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6\2026 E-Apps\Round 1\"/>
    </mc:Choice>
  </mc:AlternateContent>
  <xr:revisionPtr revIDLastSave="0" documentId="13_ncr:1_{A763B586-582C-4F33-85EC-A55DA02DD033}"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5440" windowHeight="15270" tabRatio="889" firstSheet="3" activeTab="10"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5" i="4" l="1"/>
  <c r="E83" i="4"/>
  <c r="O53" i="7" l="1"/>
  <c r="Q53" i="7" s="1"/>
  <c r="S53" i="7" s="1"/>
  <c r="G66" i="7" l="1"/>
  <c r="I66" i="7" s="1"/>
  <c r="G67" i="7"/>
  <c r="I67" i="7" s="1"/>
  <c r="K67" i="7" s="1"/>
  <c r="M67" i="7" s="1"/>
  <c r="O67" i="7" s="1"/>
  <c r="Q67" i="7" s="1"/>
  <c r="S67" i="7" s="1"/>
  <c r="U67" i="7" s="1"/>
  <c r="W67" i="7" s="1"/>
  <c r="Y67" i="7" s="1"/>
  <c r="AA67" i="7" s="1"/>
  <c r="AC67" i="7" s="1"/>
  <c r="AE67" i="7" s="1"/>
  <c r="AG67" i="7" s="1"/>
  <c r="U53" i="7"/>
  <c r="W53" i="7" s="1"/>
  <c r="AA53" i="7" s="1"/>
  <c r="AC53" i="7" s="1"/>
  <c r="AE53" i="7" s="1"/>
  <c r="AG53" i="7" s="1"/>
  <c r="G54" i="7"/>
  <c r="I54" i="7" s="1"/>
  <c r="K54" i="7" s="1"/>
  <c r="M54" i="7" s="1"/>
  <c r="O54" i="7" s="1"/>
  <c r="Q54" i="7" s="1"/>
  <c r="S54" i="7" s="1"/>
  <c r="U54" i="7" s="1"/>
  <c r="W54" i="7" s="1"/>
  <c r="Y54" i="7" s="1"/>
  <c r="AA54" i="7" s="1"/>
  <c r="AC54" i="7" s="1"/>
  <c r="AE54" i="7" s="1"/>
  <c r="AG54" i="7" s="1"/>
  <c r="E99" i="4"/>
  <c r="E18" i="4"/>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J4" i="8" l="1"/>
  <c r="J8" i="8"/>
  <c r="J11" i="8"/>
  <c r="J10" i="8"/>
  <c r="J5" i="8"/>
  <c r="J6" i="8"/>
  <c r="J9" i="8"/>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M969" i="3" s="1"/>
  <c r="M970" i="3" s="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Z1057" i="3" l="1"/>
  <c r="O26" i="21"/>
  <c r="P26" i="21" s="1" a="1"/>
  <c r="P26" i="21" s="1"/>
  <c r="S26" i="21" s="1"/>
  <c r="O27" i="21"/>
  <c r="P27" i="21" s="1" a="1"/>
  <c r="P27" i="21" s="1"/>
  <c r="S27" i="21" s="1"/>
  <c r="O24" i="21"/>
  <c r="P24" i="21" s="1" a="1"/>
  <c r="P24" i="21" s="1"/>
  <c r="S24"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T105" i="4"/>
  <c r="H97" i="13"/>
  <c r="P29" i="21" a="1"/>
  <c r="P29" i="21" s="1"/>
  <c r="S29" i="21" s="1"/>
  <c r="P31" i="21" a="1"/>
  <c r="P31" i="21" s="1"/>
  <c r="S31" i="21" s="1"/>
  <c r="P30" i="21" a="1"/>
  <c r="P30" i="21" s="1"/>
  <c r="S30" i="21" s="1"/>
  <c r="P28" i="21" a="1"/>
  <c r="P28" i="21" s="1"/>
  <c r="S28"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Q58" i="7"/>
  <c r="G45" i="21"/>
  <c r="G47" i="21" s="1"/>
  <c r="E10" i="21" s="1"/>
  <c r="E11" i="21"/>
  <c r="AP718" i="20"/>
  <c r="AP719" i="20"/>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H107" i="13" l="1"/>
  <c r="AC465" i="3"/>
  <c r="BE72" i="3"/>
  <c r="G166" i="21"/>
  <c r="G165" i="21"/>
  <c r="N181" i="24"/>
  <c r="N191" i="24"/>
  <c r="T829" i="20"/>
  <c r="AF829" i="20" s="1"/>
  <c r="T833" i="20"/>
  <c r="AF833" i="20" s="1"/>
  <c r="BE76" i="3" s="1"/>
  <c r="Y64" i="15"/>
  <c r="Y68" i="15" s="1"/>
  <c r="BA1064" i="3"/>
  <c r="BA1068" i="3" s="1"/>
  <c r="S58"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AD11" i="15"/>
  <c r="AD23" i="15" s="1"/>
  <c r="AD26" i="15" s="1"/>
  <c r="AD28" i="15" s="1"/>
  <c r="AI11" i="15"/>
  <c r="AI23" i="15" s="1"/>
  <c r="AI26" i="15" s="1"/>
  <c r="AI28" i="15" s="1"/>
  <c r="BE74" i="3"/>
  <c r="AP566" i="20"/>
  <c r="U58"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T24" i="15"/>
  <c r="AP570" i="20"/>
  <c r="AP569" i="20" s="1"/>
  <c r="K11" i="7"/>
  <c r="K37" i="7" s="1"/>
  <c r="K45" i="7" s="1"/>
  <c r="O5" i="7"/>
  <c r="Q4" i="7"/>
  <c r="M7" i="7"/>
  <c r="M11" i="7" s="1"/>
  <c r="M37" i="7" s="1"/>
  <c r="O6" i="7"/>
  <c r="G62" i="7"/>
  <c r="I48" i="7"/>
  <c r="I60" i="7"/>
  <c r="I47" i="7"/>
  <c r="G115" i="21"/>
  <c r="G127" i="21"/>
  <c r="G111" i="21"/>
  <c r="S22" i="7"/>
  <c r="S35" i="7" s="1"/>
  <c r="U15" i="7"/>
  <c r="U8" i="7"/>
  <c r="S9" i="7"/>
  <c r="AP572" i="20" l="1"/>
  <c r="AF565" i="20" s="1"/>
  <c r="AF566" i="20" s="1"/>
  <c r="AK572" i="20" s="1"/>
  <c r="T840" i="20" s="1"/>
  <c r="AF840" i="20" s="1"/>
  <c r="BE81" i="3" s="1"/>
  <c r="Y38" i="15"/>
  <c r="Y40" i="15" s="1"/>
  <c r="Y58" i="7"/>
  <c r="AD38" i="15"/>
  <c r="AD40" i="15" s="1"/>
  <c r="G129" i="21"/>
  <c r="E17" i="21" s="1"/>
  <c r="E14" i="21" s="1"/>
  <c r="E18" i="21" s="1"/>
  <c r="K49" i="7"/>
  <c r="E70" i="7"/>
  <c r="E72" i="7" s="1"/>
  <c r="S4" i="7"/>
  <c r="Q5" i="7"/>
  <c r="G70" i="7"/>
  <c r="G72" i="7" s="1"/>
  <c r="O7" i="7"/>
  <c r="O11" i="7" s="1"/>
  <c r="O37" i="7" s="1"/>
  <c r="Q6" i="7"/>
  <c r="M45" i="7"/>
  <c r="M49" i="7"/>
  <c r="I62" i="7"/>
  <c r="K47" i="7"/>
  <c r="K60" i="7"/>
  <c r="K48" i="7"/>
  <c r="U22" i="7"/>
  <c r="U35" i="7" s="1"/>
  <c r="W15" i="7"/>
  <c r="U9" i="7"/>
  <c r="W8" i="7"/>
  <c r="K62" i="7" l="1"/>
  <c r="K66" i="7" s="1"/>
  <c r="Y41" i="15"/>
  <c r="AB56" i="15" s="1"/>
  <c r="M26" i="3" s="1"/>
  <c r="AA58" i="7"/>
  <c r="U4" i="7"/>
  <c r="S5" i="7"/>
  <c r="M48" i="7"/>
  <c r="M47" i="7"/>
  <c r="M60" i="7"/>
  <c r="O45" i="7"/>
  <c r="O49" i="7"/>
  <c r="Q7" i="7"/>
  <c r="Q11" i="7" s="1"/>
  <c r="Q37" i="7" s="1"/>
  <c r="S6" i="7"/>
  <c r="I70" i="7"/>
  <c r="I72" i="7" s="1"/>
  <c r="W22" i="7"/>
  <c r="W35" i="7" s="1"/>
  <c r="Y15" i="7"/>
  <c r="W9" i="7"/>
  <c r="Y8" i="7"/>
  <c r="M62" i="7" l="1"/>
  <c r="M66" i="7" s="1"/>
  <c r="BE19" i="3"/>
  <c r="AC58" i="7"/>
  <c r="AB57" i="15"/>
  <c r="P204" i="3"/>
  <c r="U5" i="7"/>
  <c r="W4" i="7"/>
  <c r="Q49" i="7"/>
  <c r="Q45" i="7"/>
  <c r="Q60" i="7" s="1"/>
  <c r="O47" i="7"/>
  <c r="O48" i="7"/>
  <c r="O60" i="7"/>
  <c r="K70" i="7"/>
  <c r="K72" i="7" s="1"/>
  <c r="S7" i="7"/>
  <c r="S11" i="7" s="1"/>
  <c r="S37" i="7" s="1"/>
  <c r="U6" i="7"/>
  <c r="Y22" i="7"/>
  <c r="Y35" i="7" s="1"/>
  <c r="AA15" i="7"/>
  <c r="Y9" i="7"/>
  <c r="AA8" i="7"/>
  <c r="O62" i="7" l="1"/>
  <c r="O66" i="7" s="1"/>
  <c r="Q62" i="7"/>
  <c r="Q66" i="7" s="1"/>
  <c r="AG58" i="7"/>
  <c r="AE58" i="7"/>
  <c r="AB59" i="15"/>
  <c r="AB77" i="15" s="1"/>
  <c r="AB78" i="15" s="1"/>
  <c r="I10" i="21" s="1"/>
  <c r="M70" i="7"/>
  <c r="M72" i="7" s="1"/>
  <c r="W5" i="7"/>
  <c r="Y4" i="7"/>
  <c r="U7" i="7"/>
  <c r="U11" i="7" s="1"/>
  <c r="U37" i="7" s="1"/>
  <c r="W6" i="7"/>
  <c r="Q48" i="7"/>
  <c r="Q47" i="7"/>
  <c r="S49" i="7"/>
  <c r="S45" i="7"/>
  <c r="S60" i="7" s="1"/>
  <c r="AC15" i="7"/>
  <c r="AA22" i="7"/>
  <c r="AA35" i="7" s="1"/>
  <c r="AC8" i="7"/>
  <c r="AA9" i="7"/>
  <c r="S62" i="7" l="1"/>
  <c r="S66" i="7"/>
  <c r="AB79" i="15"/>
  <c r="AA4" i="7"/>
  <c r="Y5" i="7"/>
  <c r="Y6" i="7"/>
  <c r="W7" i="7"/>
  <c r="W11" i="7" s="1"/>
  <c r="W37" i="7" s="1"/>
  <c r="U45" i="7"/>
  <c r="U60" i="7" s="1"/>
  <c r="U49" i="7"/>
  <c r="S48" i="7"/>
  <c r="S47" i="7"/>
  <c r="O70" i="7"/>
  <c r="O72" i="7" s="1"/>
  <c r="AE15" i="7"/>
  <c r="AC22" i="7"/>
  <c r="AC35" i="7" s="1"/>
  <c r="AC9" i="7"/>
  <c r="AE8" i="7"/>
  <c r="U62" i="7" l="1"/>
  <c r="U66" i="7" s="1"/>
  <c r="AB81" i="15"/>
  <c r="J82" i="15" s="1"/>
  <c r="M27" i="3"/>
  <c r="I11" i="21"/>
  <c r="I18" i="21" s="1"/>
  <c r="AA5" i="7"/>
  <c r="AC4" i="7"/>
  <c r="U48"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Y49" i="7"/>
  <c r="Y45" i="7"/>
  <c r="W60" i="7"/>
  <c r="W47" i="7"/>
  <c r="W48" i="7"/>
  <c r="W62" i="7" l="1"/>
  <c r="W66" i="7" s="1"/>
  <c r="AE5" i="7"/>
  <c r="AG4" i="7"/>
  <c r="AA45" i="7"/>
  <c r="AA49" i="7"/>
  <c r="U70" i="7"/>
  <c r="U72" i="7" s="1"/>
  <c r="Y47" i="7"/>
  <c r="Y48" i="7"/>
  <c r="Y60" i="7"/>
  <c r="Y62" i="7" s="1"/>
  <c r="AE6" i="7"/>
  <c r="AC7" i="7"/>
  <c r="AC11" i="7" s="1"/>
  <c r="AC37" i="7" s="1"/>
  <c r="Y66" i="7" l="1"/>
  <c r="AG5" i="7"/>
  <c r="W70" i="7"/>
  <c r="W72" i="7" s="1"/>
  <c r="AA60" i="7"/>
  <c r="AA66" i="7" s="1"/>
  <c r="AA47" i="7"/>
  <c r="AA48" i="7"/>
  <c r="AC45" i="7"/>
  <c r="AC49" i="7"/>
  <c r="AE7" i="7"/>
  <c r="AE11" i="7" s="1"/>
  <c r="AE37" i="7" s="1"/>
  <c r="AG6" i="7"/>
  <c r="Y70" i="7" l="1"/>
  <c r="Y72" i="7" s="1"/>
  <c r="AG7" i="7"/>
  <c r="AG11" i="7" s="1"/>
  <c r="AG37" i="7" s="1"/>
  <c r="AE49" i="7"/>
  <c r="AE45" i="7"/>
  <c r="AC60" i="7"/>
  <c r="AC66" i="7" s="1"/>
  <c r="AC48" i="7"/>
  <c r="AC47" i="7"/>
  <c r="AA70" i="7" l="1"/>
  <c r="AA72" i="7" s="1"/>
  <c r="AE47" i="7"/>
  <c r="AE60" i="7"/>
  <c r="AE66" i="7" s="1"/>
  <c r="AE48" i="7"/>
  <c r="AG49" i="7"/>
  <c r="AG45" i="7"/>
  <c r="AG48" i="7" l="1"/>
  <c r="AG60" i="7"/>
  <c r="AG66" i="7" s="1"/>
  <c r="AG47" i="7"/>
  <c r="AC70" i="7"/>
  <c r="AC72" i="7" s="1"/>
  <c r="AE70" i="7" l="1"/>
  <c r="AE72" i="7" s="1"/>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H344" authorId="1" shapeId="0" xr:uid="{AABBF240-B74A-4EB1-BBE9-D63CA28A8803}">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AA344" authorId="1" shapeId="0" xr:uid="{EF64C3BD-4E24-4C11-91E9-9BACA49A10CB}">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<sst xmlns="http://schemas.openxmlformats.org/spreadsheetml/2006/main" count="5120" uniqueCount="2756">
  <si>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</si>
  <si>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</si>
  <si>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</si>
  <si>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</si>
  <si>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</si>
  <si>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</si>
  <si>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</si>
  <si>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</si>
  <si>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</si>
  <si>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</si>
  <si>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</si>
  <si>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</si>
  <si>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</si>
  <si>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</si>
  <si>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</si>
  <si>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</si>
  <si>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</si>
  <si>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</si>
  <si>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</si>
  <si>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</si>
  <si>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</si>
  <si>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</si>
  <si>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</si>
  <si>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</si>
  <si>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</si>
  <si>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</si>
  <si>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</si>
  <si>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</si>
  <si>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</si>
  <si>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</si>
  <si>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</si>
  <si>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</si>
  <si>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</si>
  <si>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</si>
  <si>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</si>
  <si>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</si>
  <si>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</si>
  <si>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</si>
  <si>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</si>
  <si>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</si>
  <si>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</si>
  <si>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</si>
  <si>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</si>
  <si>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</si>
  <si>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</si>
  <si>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</si>
  <si>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</si>
  <si>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</si>
  <si>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</si>
  <si>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</si>
  <si>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</si>
  <si>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</si>
  <si>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</si>
  <si>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</si>
  <si>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</si>
  <si>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</si>
  <si>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</si>
  <si>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</si>
  <si>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</si>
  <si>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</si>
  <si>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</si>
  <si>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</si>
  <si>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</si>
  <si>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</si>
  <si>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</si>
  <si>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</si>
  <si>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</si>
  <si>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</si>
  <si>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</si>
  <si>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</si>
  <si>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</si>
  <si>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</si>
  <si>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</si>
  <si>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</si>
  <si>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</si>
  <si>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</si>
  <si>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</si>
  <si>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</si>
  <si>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</si>
  <si>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</si>
  <si>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</si>
  <si>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</si>
  <si>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</si>
  <si>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</si>
  <si>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</si>
  <si>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</si>
  <si>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</si>
  <si>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</si>
  <si>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</si>
  <si>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</si>
  <si>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</si>
  <si>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</si>
  <si>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</si>
  <si>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</si>
  <si>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</si>
  <si>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</si>
  <si>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</si>
  <si>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</si>
  <si>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</si>
  <si>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</si>
  <si>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</si>
  <si>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</si>
  <si>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</si>
  <si>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</si>
  <si>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</si>
  <si>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</si>
  <si>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</si>
  <si>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</si>
  <si>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</si>
  <si>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</si>
  <si>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</si>
  <si>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</si>
  <si>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</si>
  <si>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</si>
  <si>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</si>
  <si>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</si>
  <si>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</si>
  <si>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</si>
  <si>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</si>
  <si>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</si>
  <si>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</si>
  <si>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</si>
  <si>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</si>
  <si>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</si>
  <si>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</si>
  <si>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</si>
  <si>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</si>
  <si>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</si>
  <si>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</si>
  <si>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</si>
  <si>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</si>
  <si>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</si>
  <si>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</si>
  <si>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</si>
  <si>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</si>
  <si>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</si>
  <si>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</si>
  <si>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</si>
  <si>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</si>
  <si>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</si>
  <si>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</si>
  <si>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</si>
  <si>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</si>
  <si>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</si>
  <si>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</si>
  <si>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</si>
  <si>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</si>
  <si>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</si>
  <si>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</si>
  <si>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</si>
  <si>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</si>
  <si>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</si>
  <si>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</si>
  <si>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</si>
  <si>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</si>
  <si>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</si>
  <si>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</si>
  <si>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</si>
  <si>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</si>
  <si>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</si>
  <si>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</si>
  <si>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</si>
  <si>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</si>
  <si>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</si>
  <si>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</si>
  <si>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</si>
  <si>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</si>
  <si>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</si>
  <si>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</si>
  <si>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</si>
  <si>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</si>
  <si>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</si>
  <si>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</si>
  <si>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</si>
  <si>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</si>
  <si>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</si>
  <si>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</si>
  <si>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</si>
  <si>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</si>
  <si>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</si>
  <si>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</si>
  <si>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</si>
  <si>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</si>
  <si>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</si>
  <si>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</si>
  <si>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</si>
  <si>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</si>
  <si>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</si>
  <si>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</si>
  <si>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</si>
  <si>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</si>
  <si>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</si>
  <si>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</si>
  <si>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</si>
  <si>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</si>
  <si>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</si>
  <si>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</si>
  <si>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</si>
  <si>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</si>
  <si>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</si>
  <si>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</si>
  <si>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</si>
  <si>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</si>
  <si>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</si>
  <si>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</si>
  <si>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</si>
  <si>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</si>
  <si>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</si>
  <si>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</si>
  <si>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</si>
  <si>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</si>
  <si>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</si>
  <si>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</si>
  <si>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</si>
  <si>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</si>
  <si>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</si>
  <si>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</si>
  <si>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</si>
  <si>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</si>
  <si>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</si>
  <si>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</si>
  <si>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</si>
  <si>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</si>
  <si>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</si>
  <si>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</si>
  <si>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</si>
  <si>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</si>
  <si>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</si>
  <si>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</si>
  <si>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</si>
  <si>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</si>
  <si>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</si>
  <si>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</si>
  <si>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</si>
  <si>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</si>
  <si>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</si>
  <si>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</si>
  <si>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</si>
  <si>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</si>
  <si>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</si>
  <si>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</si>
  <si>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</si>
  <si>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</si>
  <si>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</si>
  <si>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</si>
  <si>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</si>
  <si>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</si>
  <si>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</si>
  <si>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</si>
  <si>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</si>
  <si>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</si>
  <si>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</si>
  <si>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</si>
  <si>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</si>
  <si>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</si>
  <si>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</si>
  <si>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</si>
  <si>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</si>
  <si>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</si>
  <si>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</si>
  <si>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</si>
  <si>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</si>
  <si>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</si>
  <si>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</si>
  <si>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</si>
  <si>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</si>
  <si>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</si>
  <si>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</si>
  <si>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</si>
  <si>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</si>
  <si>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</si>
  <si>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</si>
  <si>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</si>
  <si>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</si>
  <si>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</si>
  <si>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</si>
  <si>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</si>
  <si>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</si>
  <si>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</si>
  <si>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</si>
  <si>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</si>
  <si>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</si>
  <si>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</si>
  <si>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</si>
  <si>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</si>
  <si>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</si>
  <si>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</si>
  <si>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</si>
  <si>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</si>
  <si>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</si>
  <si>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</si>
  <si>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</si>
  <si>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</si>
  <si>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</si>
  <si>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</si>
  <si>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</si>
  <si>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</si>
  <si>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</si>
  <si>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</si>
  <si>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</si>
  <si>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</si>
  <si>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</si>
  <si>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</si>
  <si>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</si>
  <si>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</si>
  <si>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</si>
  <si>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</si>
  <si>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</si>
  <si>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</si>
  <si>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</si>
  <si>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</si>
  <si>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</si>
  <si>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</si>
  <si>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</si>
  <si>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</si>
  <si>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</si>
  <si>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</si>
  <si>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</si>
  <si>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</si>
  <si>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</si>
  <si>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</si>
  <si>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</si>
  <si>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</si>
  <si>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</si>
  <si>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</si>
  <si>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</si>
  <si>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</si>
  <si>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</si>
  <si>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</si>
  <si>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</si>
  <si>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</si>
  <si>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</si>
  <si>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</si>
  <si>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</si>
  <si>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</si>
  <si>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</si>
  <si>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</si>
  <si>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</si>
  <si>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</si>
  <si>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</si>
  <si>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</si>
  <si>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</si>
  <si>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</si>
  <si>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</si>
  <si>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</si>
  <si>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</si>
  <si>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</si>
  <si>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</si>
  <si>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</si>
  <si>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</si>
  <si>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</si>
  <si>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</si>
  <si>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</si>
  <si>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</si>
  <si>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</si>
  <si>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</si>
  <si>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</si>
  <si>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</si>
  <si>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</si>
  <si>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</si>
  <si>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</si>
  <si>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</si>
  <si>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</si>
  <si>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</si>
  <si>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</si>
  <si>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</si>
  <si>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</si>
  <si>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</si>
  <si>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</si>
  <si>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</si>
  <si>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</si>
  <si>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</si>
  <si>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</si>
  <si>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</si>
  <si>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</si>
  <si>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</si>
  <si>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</si>
  <si>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</si>
  <si>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</si>
  <si>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</si>
  <si>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</si>
  <si>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</si>
  <si>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</si>
  <si>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</si>
  <si>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</si>
  <si>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</si>
  <si>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</si>
  <si>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</si>
  <si>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</si>
  <si>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</si>
  <si>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</si>
  <si>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</si>
  <si>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</si>
  <si>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</si>
  <si>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</si>
  <si>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</si>
  <si>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</si>
  <si>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</si>
  <si>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</si>
  <si>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</si>
  <si>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</si>
  <si>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</si>
  <si>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</si>
  <si>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</si>
  <si>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</si>
  <si>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</si>
  <si>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</si>
  <si>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</si>
  <si>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</si>
  <si>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</si>
  <si>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</si>
  <si>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</si>
  <si>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</si>
  <si>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</si>
  <si>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</si>
  <si>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</si>
  <si>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</si>
  <si>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</si>
  <si>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</si>
  <si>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</si>
  <si>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</si>
  <si>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</si>
  <si>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</si>
  <si>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</si>
  <si>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</si>
  <si>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</si>
  <si>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</si>
  <si>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</si>
  <si>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</si>
  <si>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</si>
  <si>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</si>
  <si>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</si>
  <si>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</si>
  <si>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</si>
  <si>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</si>
  <si>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</si>
  <si>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</si>
  <si>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</si>
  <si>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</si>
  <si>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</si>
  <si>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</si>
  <si>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</si>
  <si>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</si>
  <si>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</si>
  <si>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</si>
  <si>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</si>
  <si>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</si>
  <si>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</si>
  <si>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</si>
  <si>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</si>
  <si>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</si>
  <si>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</si>
  <si>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</si>
  <si>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</si>
  <si>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</si>
  <si>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</si>
  <si>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</si>
  <si>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</si>
  <si>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</si>
  <si>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</si>
  <si>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</si>
  <si>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</si>
  <si>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</si>
  <si>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</si>
  <si>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</si>
  <si>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</si>
  <si>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</si>
  <si>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</si>
  <si>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</si>
  <si>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</si>
  <si>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</si>
  <si>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</si>
  <si>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</si>
  <si>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</si>
  <si>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</si>
  <si>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</si>
  <si>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</si>
  <si>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</si>
  <si>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</si>
  <si>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</si>
  <si>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</si>
  <si>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</si>
  <si>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</si>
  <si>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</si>
  <si>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</si>
  <si>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</si>
  <si>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</si>
  <si>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</si>
  <si>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</si>
  <si>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</si>
  <si>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</si>
  <si>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</si>
  <si>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</si>
  <si>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</si>
  <si>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</si>
  <si>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</si>
  <si>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</si>
  <si>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</si>
  <si>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</si>
  <si>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</si>
  <si>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</si>
  <si>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</si>
  <si>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</si>
  <si>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</si>
  <si>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</si>
  <si>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</si>
  <si>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</si>
  <si>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</si>
  <si>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</si>
  <si>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</si>
  <si>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</si>
  <si>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</si>
  <si>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</si>
  <si>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</si>
  <si>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</si>
  <si>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</si>
  <si>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</si>
  <si>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</si>
  <si>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</si>
  <si>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</si>
  <si>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</si>
  <si>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</si>
  <si>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</si>
  <si>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</si>
  <si>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</si>
  <si>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</si>
  <si>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</si>
  <si>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</si>
  <si>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</si>
  <si>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</si>
  <si>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</si>
  <si>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</si>
  <si>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</si>
  <si>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</si>
  <si>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</si>
  <si>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</si>
  <si>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</si>
  <si>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</si>
  <si>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</si>
  <si>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</si>
  <si>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</si>
  <si>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</si>
  <si>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</si>
  <si>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</si>
  <si>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</si>
  <si>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</si>
  <si>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</si>
  <si>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</si>
  <si>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</si>
  <si>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</si>
  <si>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</si>
  <si>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</si>
  <si>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</si>
  <si>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</si>
  <si>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</si>
  <si>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</si>
  <si>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</si>
  <si>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</si>
  <si>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</si>
  <si>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</si>
  <si>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</si>
  <si>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</si>
  <si>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</si>
  <si>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</si>
  <si>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</si>
  <si>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</si>
  <si>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</si>
  <si>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</si>
  <si>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</si>
  <si>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</si>
  <si>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</si>
  <si>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</si>
  <si>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</si>
  <si>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</si>
  <si>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</si>
  <si>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</si>
  <si>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</si>
  <si>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</si>
  <si>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</si>
  <si>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</si>
  <si>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</si>
  <si>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</si>
  <si>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</si>
  <si>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</si>
  <si>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</si>
  <si>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</si>
  <si>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</si>
  <si>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</si>
  <si>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</si>
  <si>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</si>
  <si>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</si>
  <si>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</si>
  <si>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</si>
  <si>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</si>
  <si>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</si>
  <si>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</si>
  <si>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</si>
  <si>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</si>
  <si>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</si>
  <si>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</si>
  <si>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</si>
  <si>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</si>
  <si>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</si>
  <si>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</si>
  <si>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</si>
  <si>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</si>
  <si>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</si>
  <si>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</si>
  <si>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</si>
  <si>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</si>
  <si>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</si>
  <si>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</si>
  <si>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</si>
  <si>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</si>
  <si>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</si>
  <si>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</si>
  <si>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</si>
  <si>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</si>
  <si>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</si>
  <si>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</si>
  <si>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</si>
  <si>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</si>
  <si>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</si>
  <si>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</si>
  <si>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</si>
  <si>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</si>
  <si>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</si>
  <si>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</si>
  <si>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</si>
  <si>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</si>
  <si>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</si>
  <si>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</si>
  <si>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</si>
  <si>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</si>
  <si>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</si>
  <si>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</si>
  <si>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</si>
  <si>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</si>
  <si>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</si>
  <si>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</si>
  <si>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</si>
  <si>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</si>
  <si>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</si>
  <si>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</si>
  <si>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</si>
  <si>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</si>
  <si>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</si>
  <si>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</si>
  <si>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</si>
  <si>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</si>
  <si>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</si>
  <si>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</si>
  <si>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</si>
  <si>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</si>
  <si>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</si>
  <si>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</si>
  <si>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</si>
  <si>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</si>
  <si>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</si>
  <si>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</si>
  <si>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</si>
  <si>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</si>
  <si>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</si>
  <si>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</si>
  <si>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</si>
  <si>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</si>
  <si>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</si>
  <si>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</si>
  <si>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</si>
  <si>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</si>
  <si>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</si>
  <si>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</si>
  <si>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</si>
  <si>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Housing Authority of the County of Kern</t>
  </si>
  <si>
    <t>MIP Amount</t>
  </si>
  <si>
    <t>PROJECT NAME:</t>
  </si>
  <si>
    <t xml:space="preserve">Baker Street Village RAD </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</si>
  <si>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</si>
  <si>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</si>
  <si>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</si>
  <si>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</si>
  <si>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</si>
  <si>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</si>
  <si>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</si>
  <si>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</si>
  <si>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</si>
  <si>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</si>
  <si>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</si>
  <si>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</si>
  <si>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</si>
  <si>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</si>
  <si>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</si>
  <si>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</si>
  <si>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</si>
  <si>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</si>
  <si>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</si>
  <si>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</si>
  <si>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</si>
  <si>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</si>
  <si>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</si>
  <si>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</si>
  <si>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</si>
  <si>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</si>
  <si>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</si>
  <si>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</si>
  <si>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</si>
  <si>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</si>
  <si>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</si>
  <si>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</si>
  <si>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</si>
  <si>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</si>
  <si>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</si>
  <si>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</si>
  <si>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</si>
  <si>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</si>
  <si>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</si>
  <si>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</si>
  <si>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</si>
  <si>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</si>
  <si>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</si>
  <si>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</si>
  <si>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</si>
  <si>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</si>
  <si>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</si>
  <si>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</si>
  <si>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</si>
  <si>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</si>
  <si>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</si>
  <si>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</si>
  <si>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</si>
  <si>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</si>
  <si>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</si>
  <si>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</si>
  <si>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</si>
  <si>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</si>
  <si>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</si>
  <si>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</si>
  <si>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</si>
  <si>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</si>
  <si>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</si>
  <si>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</si>
  <si>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</si>
  <si>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</si>
  <si>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</si>
  <si>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</si>
  <si>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</si>
  <si>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</si>
  <si>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</si>
  <si>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</si>
  <si>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</si>
  <si>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</si>
  <si>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</si>
  <si>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</si>
  <si>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</si>
  <si>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</si>
  <si>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</si>
  <si>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</si>
  <si>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</si>
  <si>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</si>
  <si>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</si>
  <si>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</si>
  <si>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</si>
  <si>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</si>
  <si>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</si>
  <si>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</si>
  <si>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</si>
  <si>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</si>
  <si>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</si>
  <si>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</si>
  <si>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</si>
  <si>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</si>
  <si>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</si>
  <si>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</si>
  <si>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</si>
  <si>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</si>
  <si>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</si>
  <si>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</si>
  <si>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</si>
  <si>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</si>
  <si>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</si>
  <si>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</si>
  <si>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</si>
  <si>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</si>
  <si>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</si>
  <si>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</si>
  <si>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</si>
  <si>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</si>
  <si>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</si>
  <si>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</si>
  <si>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</si>
  <si>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</si>
  <si>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</si>
  <si>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</si>
  <si>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</si>
  <si>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</si>
  <si>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</si>
  <si>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</si>
  <si>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</si>
  <si>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</si>
  <si>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January</t>
  </si>
  <si>
    <t>, 2026 at</t>
  </si>
  <si>
    <t>Bakersfield</t>
  </si>
  <si>
    <t>, California.</t>
  </si>
  <si>
    <t xml:space="preserve">By: </t>
  </si>
  <si>
    <t>(Original Signature)</t>
  </si>
  <si>
    <t>Stephen M. Pelz</t>
  </si>
  <si>
    <t>(Typed or printed name)</t>
  </si>
  <si>
    <t xml:space="preserve">Application type: </t>
  </si>
  <si>
    <t>4%</t>
  </si>
  <si>
    <t xml:space="preserve">Please select your county: </t>
  </si>
  <si>
    <t>Executive Director</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</si>
  <si>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</si>
  <si>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</si>
  <si>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</si>
  <si>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</si>
  <si>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</si>
  <si>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</si>
  <si>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Bakersfield</t>
  </si>
  <si>
    <t>Inland (Fresno, Imperial, Kern, Kings, Madera, Merced, Riverside, San Bernardino, Stanislaus, and Tulare Counties)</t>
  </si>
  <si>
    <t>4% 2026 TBLs</t>
  </si>
  <si>
    <t>9% 2026 TBLs</t>
  </si>
  <si>
    <t>City Manager:</t>
  </si>
  <si>
    <t>Christian Clegg</t>
  </si>
  <si>
    <t>Northern (Butte, El Dorado, Placer, Sacramento, San Joaquin, Shasta, Solano, Sutter, Yuba, and Yolo Counties)</t>
  </si>
  <si>
    <t>Title:</t>
  </si>
  <si>
    <t>City Manager</t>
  </si>
  <si>
    <t>N/A</t>
  </si>
  <si>
    <t xml:space="preserve">Mailing Address: </t>
  </si>
  <si>
    <t>1600 Truxtun Ave</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</si>
  <si>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</si>
  <si>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</si>
  <si>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</si>
  <si>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</si>
  <si>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</si>
  <si>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</si>
  <si>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</si>
  <si>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</si>
  <si>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</si>
  <si>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</si>
  <si>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</si>
  <si>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661-326-3751</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</si>
  <si>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</si>
  <si>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</si>
  <si>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</si>
  <si>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</si>
  <si>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</si>
  <si>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</si>
  <si>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</si>
  <si>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</si>
  <si>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</si>
  <si>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</si>
  <si>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</si>
  <si>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</si>
  <si>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</si>
  <si>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</si>
  <si>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</si>
  <si>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</si>
  <si>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 xml:space="preserve">AdmMgr@bakersfieldcity.us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</si>
  <si>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</si>
  <si>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</si>
  <si>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</si>
  <si>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</si>
  <si>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</si>
  <si>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</si>
  <si>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</si>
  <si>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</si>
  <si>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</si>
  <si>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</si>
  <si>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</si>
  <si>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</si>
  <si>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</si>
  <si>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</si>
  <si>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</si>
  <si>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</si>
  <si>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</si>
  <si>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</si>
  <si>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</si>
  <si>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</si>
  <si>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</si>
  <si>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</si>
  <si>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</si>
  <si>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</si>
  <si>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</si>
  <si>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</si>
  <si>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</si>
  <si>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</si>
  <si>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</si>
  <si>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</si>
  <si>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</si>
  <si>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</si>
  <si>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</si>
  <si>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</si>
  <si>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</si>
  <si>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</si>
  <si>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</si>
  <si>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</si>
  <si>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</si>
  <si>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</si>
  <si>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</si>
  <si>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</si>
  <si>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</si>
  <si>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</si>
  <si>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</si>
  <si>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</si>
  <si>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NA</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</si>
  <si>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</si>
  <si>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</si>
  <si>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</si>
  <si>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</si>
  <si>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</si>
  <si>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</si>
  <si>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</si>
  <si>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</si>
  <si>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</si>
  <si>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</si>
  <si>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</si>
  <si>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</si>
  <si>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</si>
  <si>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</si>
  <si>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</si>
  <si>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</si>
  <si>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</si>
  <si>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</si>
  <si>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</si>
  <si>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</si>
  <si>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</si>
  <si>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</si>
  <si>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</si>
  <si>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</si>
  <si>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</si>
  <si>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</si>
  <si>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</si>
  <si>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</si>
  <si>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</si>
  <si>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</si>
  <si>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1015 Baker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</si>
  <si>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</si>
  <si>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</si>
  <si>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</si>
  <si>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</si>
  <si>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</si>
  <si>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</si>
  <si>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</si>
  <si>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</si>
  <si>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</si>
  <si>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</si>
  <si>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</si>
  <si>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</si>
  <si>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</si>
  <si>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</si>
  <si>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</si>
  <si>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</si>
  <si>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</si>
  <si>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</si>
  <si>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</si>
  <si>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</si>
  <si>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014-280-24</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</si>
  <si>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</si>
  <si>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</si>
  <si>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</si>
  <si>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</si>
  <si>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</si>
  <si>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</si>
  <si>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</si>
  <si>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</si>
  <si>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</si>
  <si>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</si>
  <si>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</si>
  <si>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</si>
  <si>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</si>
  <si>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</si>
  <si>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</si>
  <si>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</si>
  <si>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</si>
  <si>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</si>
  <si>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</si>
  <si>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</si>
  <si>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</si>
  <si>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</si>
  <si>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</si>
  <si>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</si>
  <si>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</si>
  <si>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</si>
  <si>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</si>
  <si>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</si>
  <si>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</si>
  <si>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</si>
  <si>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</si>
  <si>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</si>
  <si>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</si>
  <si>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</si>
  <si>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</si>
  <si>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</si>
  <si>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</si>
  <si>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</si>
  <si>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</si>
  <si>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</si>
  <si>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</si>
  <si>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</si>
  <si>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</si>
  <si>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</si>
  <si>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</si>
  <si>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</si>
  <si>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</si>
  <si>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</si>
  <si>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</si>
  <si>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</si>
  <si>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</si>
  <si>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</si>
  <si>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</si>
  <si>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</si>
  <si>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</si>
  <si>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</si>
  <si>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</si>
  <si>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</si>
  <si>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</si>
  <si>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</si>
  <si>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</si>
  <si>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</si>
  <si>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</si>
  <si>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</si>
  <si>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</si>
  <si>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</si>
  <si>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</si>
  <si>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</si>
  <si>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</si>
  <si>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</si>
  <si>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</si>
  <si>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</si>
  <si>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</si>
  <si>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</si>
  <si>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</si>
  <si>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</si>
  <si>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</si>
  <si>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</si>
  <si>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</si>
  <si>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</si>
  <si>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</si>
  <si>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</si>
  <si>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</si>
  <si>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</si>
  <si>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</si>
  <si>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</si>
  <si>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</si>
  <si>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</si>
  <si>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</si>
  <si>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</si>
  <si>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</si>
  <si>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</si>
  <si>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</si>
  <si>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</si>
  <si>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</si>
  <si>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</si>
  <si>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</si>
  <si>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</si>
  <si>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</si>
  <si>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</si>
  <si>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</si>
  <si>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</si>
  <si>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</si>
  <si>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</si>
  <si>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</si>
  <si>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</si>
  <si>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</si>
  <si>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</si>
  <si>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</si>
  <si>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</si>
  <si>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</si>
  <si>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</si>
  <si>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</si>
  <si>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</si>
  <si>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</si>
  <si>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</si>
  <si>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</si>
  <si>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</si>
  <si>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</si>
  <si>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</si>
  <si>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</si>
  <si>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</si>
  <si>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</si>
  <si>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</si>
  <si>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</si>
  <si>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601 24th Street</t>
  </si>
  <si>
    <t>State:</t>
  </si>
  <si>
    <t>CA</t>
  </si>
  <si>
    <t>Contact Person:</t>
  </si>
  <si>
    <t>Phone:</t>
  </si>
  <si>
    <t>661-631-8500</t>
  </si>
  <si>
    <t>Ext.:</t>
  </si>
  <si>
    <t>Fax:</t>
  </si>
  <si>
    <t>661-631-9500</t>
  </si>
  <si>
    <t>both nonprofits</t>
  </si>
  <si>
    <t xml:space="preserve">Email: </t>
  </si>
  <si>
    <t>spelz@kernha.org</t>
  </si>
  <si>
    <t>Legal Status of Applicant:</t>
  </si>
  <si>
    <t>Parent Company:</t>
  </si>
  <si>
    <t>If Other, Specify:</t>
  </si>
  <si>
    <t>both for-profit</t>
  </si>
  <si>
    <t>General Partner(s) Information (post-closing GPs):</t>
  </si>
  <si>
    <t>D(1)</t>
  </si>
  <si>
    <t>General Partner Name:</t>
  </si>
  <si>
    <t>Golden Empire Affordable Housing, Inc.</t>
  </si>
  <si>
    <t>Managing GP</t>
  </si>
  <si>
    <t>601 24th Street Suite B</t>
  </si>
  <si>
    <t>OWNERSHIP</t>
  </si>
  <si>
    <t>Nonprofit</t>
  </si>
  <si>
    <t>INTEREST (%):</t>
  </si>
  <si>
    <t>currently exists</t>
  </si>
  <si>
    <t>to be formed</t>
  </si>
  <si>
    <t>For Profit</t>
  </si>
  <si>
    <t>Nonprofit/For Profit:</t>
  </si>
  <si>
    <t>D(2)</t>
  </si>
  <si>
    <t>General Partner Name:*</t>
  </si>
  <si>
    <t>Administrative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</si>
  <si>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</si>
  <si>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</si>
  <si>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</si>
  <si>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</si>
  <si>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</si>
  <si>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</si>
  <si>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</si>
  <si>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</si>
  <si>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</si>
  <si>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</si>
  <si>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Applicant</t>
  </si>
  <si>
    <t>(e.g., General Partner, Consultant, etc.)</t>
  </si>
  <si>
    <t>II. APPLICATION - SECTION 4: DEVELOPMENT TEAM INFORMATION</t>
  </si>
  <si>
    <t>Indicate and List All Development Team Members</t>
  </si>
  <si>
    <t>Developer:</t>
  </si>
  <si>
    <t>Architect:</t>
  </si>
  <si>
    <t>Ordiz Melby Architects</t>
  </si>
  <si>
    <t>Address:</t>
  </si>
  <si>
    <t>5500 Ming Ave., Ste 280</t>
  </si>
  <si>
    <t>City, State, Zip</t>
  </si>
  <si>
    <t>Bakersfield, CA 93301</t>
  </si>
  <si>
    <t>City, State, Zip:</t>
  </si>
  <si>
    <t>Bakersfield, CA 93309</t>
  </si>
  <si>
    <t>Manuel Maldonado Jr.</t>
  </si>
  <si>
    <t>661-832-5258</t>
  </si>
  <si>
    <t>661-832-4291</t>
  </si>
  <si>
    <t>Email:</t>
  </si>
  <si>
    <t>jmaldonado@ordizmelby.com</t>
  </si>
  <si>
    <t>Attorney:</t>
  </si>
  <si>
    <t>Goldfarb &amp; Lipman</t>
  </si>
  <si>
    <t>General Contractor:</t>
  </si>
  <si>
    <t>TBD</t>
  </si>
  <si>
    <t>1300 Clay Street 11th Floor</t>
  </si>
  <si>
    <t>Oakland, CA 94612</t>
  </si>
  <si>
    <t>Dave Kroot</t>
  </si>
  <si>
    <t>510-836-6336</t>
  </si>
  <si>
    <t>510-836-1035</t>
  </si>
  <si>
    <t>mkroot@goldfarblipman.com</t>
  </si>
  <si>
    <t>Tax Professional:</t>
  </si>
  <si>
    <t>Energy Consultant:</t>
  </si>
  <si>
    <t>Margaret Jung</t>
  </si>
  <si>
    <t>mjung@goldfarblipman.com</t>
  </si>
  <si>
    <t>CPA:</t>
  </si>
  <si>
    <t>Daniells Phillips Vaughan and Bock</t>
  </si>
  <si>
    <t>Investor:</t>
  </si>
  <si>
    <t>PNC Bank</t>
  </si>
  <si>
    <t>300 New Stine Road</t>
  </si>
  <si>
    <t>121 SW Morrison, Suite 1300</t>
  </si>
  <si>
    <t xml:space="preserve">Bakersfield, CA 93309 </t>
  </si>
  <si>
    <t>Portland, Oregan 97204</t>
  </si>
  <si>
    <t>Patrick Paggi</t>
  </si>
  <si>
    <t>Matthew Harrington</t>
  </si>
  <si>
    <t xml:space="preserve">661-833-5129 </t>
  </si>
  <si>
    <t>patrick@dpvb.com</t>
  </si>
  <si>
    <t>matthew.harrington@pnc.com</t>
  </si>
  <si>
    <t>Consultant:</t>
  </si>
  <si>
    <t>Market Analyst:</t>
  </si>
  <si>
    <t>Kenetic Valuation Group</t>
  </si>
  <si>
    <t>11060 Oak Street, St. 6</t>
  </si>
  <si>
    <t>Omaha, NE 68144</t>
  </si>
  <si>
    <t>Jay A. Wortmann</t>
  </si>
  <si>
    <t>402-202-0771</t>
  </si>
  <si>
    <t>jay@kvgteam.com</t>
  </si>
  <si>
    <t>Appraiser:</t>
  </si>
  <si>
    <t>CNA Consultant:</t>
  </si>
  <si>
    <t>Partner Engineering and Science</t>
  </si>
  <si>
    <t>805 N. Milwaukee Ave., Suite 401C</t>
  </si>
  <si>
    <t>Chicago, IL 60642</t>
  </si>
  <si>
    <t>Joseph Lephew</t>
  </si>
  <si>
    <t>443-937-1111</t>
  </si>
  <si>
    <t>jlephew@partneresi.com</t>
  </si>
  <si>
    <t>Bond Issuer:</t>
  </si>
  <si>
    <t>Prop. Mgmt. Co.:</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</si>
  <si>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</si>
  <si>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</si>
  <si>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</si>
  <si>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</si>
  <si>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</si>
  <si>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</si>
  <si>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</si>
  <si>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</si>
  <si>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</si>
  <si>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</si>
  <si>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</si>
  <si>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</si>
  <si>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</si>
  <si>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</si>
  <si>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</si>
  <si>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</si>
  <si>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</si>
  <si>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</si>
  <si>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</si>
  <si>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</si>
  <si>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</si>
  <si>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</si>
  <si>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</si>
  <si>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 xml:space="preserve">Residential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</si>
  <si>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</si>
  <si>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</si>
  <si>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</si>
  <si>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</si>
  <si>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</si>
  <si>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</si>
  <si>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</si>
  <si>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</si>
  <si>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</si>
  <si>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</si>
  <si>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</si>
  <si>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</si>
  <si>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</si>
  <si>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</si>
  <si>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601 24th Street, Bakersfield, CA 93301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</si>
  <si>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</si>
  <si>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</si>
  <si>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</si>
  <si>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</si>
  <si>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</si>
  <si>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</si>
  <si>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</si>
  <si>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</si>
  <si>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</si>
  <si>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</si>
  <si>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</si>
  <si>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</si>
  <si>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</si>
  <si>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</si>
  <si>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</si>
  <si>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</si>
  <si>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</si>
  <si>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</si>
  <si>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</si>
  <si>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</si>
  <si>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</si>
  <si>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</si>
  <si>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</si>
  <si>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</si>
  <si>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Townhouse or Row House</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</si>
  <si>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</si>
  <si>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</si>
  <si>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</si>
  <si>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</si>
  <si>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</si>
  <si>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</si>
  <si>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</si>
  <si>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</si>
  <si>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</si>
  <si>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</si>
  <si>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</si>
  <si>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</si>
  <si>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</si>
  <si>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</si>
  <si>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</si>
  <si>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</si>
  <si>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</si>
  <si>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The first floor of Building B is comprised of Managers Office and Lobby, and Community Space. Existing Commercial space will not be included, is not included in basis and will not recieve funding with Tax Credits. It is owned by the Housing Authority and will be separated by an air rights parcel subdivision prior to closing.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</si>
  <si>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</si>
  <si>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</si>
  <si>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</si>
  <si>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</si>
  <si>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</si>
  <si>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</si>
  <si>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</si>
  <si>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</si>
  <si>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</si>
  <si>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</si>
  <si>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</si>
  <si>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</si>
  <si>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</si>
  <si>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</si>
  <si>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</si>
  <si>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</si>
  <si>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</si>
  <si>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</si>
  <si>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</si>
  <si>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</si>
  <si>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</si>
  <si>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</si>
  <si>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</si>
  <si>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</si>
  <si>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</si>
  <si>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</si>
  <si>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</si>
  <si>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</si>
  <si>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</si>
  <si>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</si>
  <si>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</si>
  <si>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</si>
  <si>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</si>
  <si>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</si>
  <si>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</si>
  <si>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</si>
  <si>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</si>
  <si>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</si>
  <si>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</si>
  <si>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</si>
  <si>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</si>
  <si>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Mixed Use</t>
  </si>
  <si>
    <t>Current Zoning and Maximum Density</t>
  </si>
  <si>
    <t xml:space="preserve"> P.C.D - Planned Commercial Development</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</si>
  <si>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</si>
  <si>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</si>
  <si>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</si>
  <si>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</si>
  <si>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</si>
  <si>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</si>
  <si>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</si>
  <si>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</si>
  <si>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</si>
  <si>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</si>
  <si>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</si>
  <si>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</si>
  <si>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</si>
  <si>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</si>
  <si>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</si>
  <si>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</si>
  <si>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</si>
  <si>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</si>
  <si>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</si>
  <si>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</si>
  <si>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</si>
  <si>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</si>
  <si>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</si>
  <si>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</si>
  <si>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</si>
  <si>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</si>
  <si>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</si>
  <si>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</si>
  <si>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</si>
  <si>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</si>
  <si>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</si>
  <si>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</si>
  <si>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</si>
  <si>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</si>
  <si>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</si>
  <si>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</si>
  <si>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</si>
  <si>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</si>
  <si>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</si>
  <si>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</si>
  <si>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</si>
  <si>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HA Seller Carryback Loan</t>
  </si>
  <si>
    <t>Equity, Other Investor</t>
  </si>
  <si>
    <t>Grant</t>
  </si>
  <si>
    <t>Closing or Award</t>
  </si>
  <si>
    <t>Loan, Conventional</t>
  </si>
  <si>
    <t xml:space="preserve">Type and Source: </t>
  </si>
  <si>
    <t>Bank Loan</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</si>
  <si>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</si>
  <si>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</si>
  <si>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</si>
  <si>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</si>
  <si>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</si>
  <si>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</si>
  <si>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</si>
  <si>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</si>
  <si>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</si>
  <si>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</si>
  <si>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</si>
  <si>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</si>
  <si>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</si>
  <si>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</si>
  <si>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</si>
  <si>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</si>
  <si>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</si>
  <si>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</si>
  <si>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</si>
  <si>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</si>
  <si>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</si>
  <si>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</si>
  <si>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</si>
  <si>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</si>
  <si>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</si>
  <si>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</si>
  <si>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</si>
  <si>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</si>
  <si>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</si>
  <si>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</si>
  <si>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</si>
  <si>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Banc of California</t>
  </si>
  <si>
    <t>Fixed</t>
  </si>
  <si>
    <t>Banc of Californa</t>
  </si>
  <si>
    <t>Deferred Costs</t>
  </si>
  <si>
    <t>PNC</t>
  </si>
  <si>
    <t>6)</t>
  </si>
  <si>
    <t>7)</t>
  </si>
  <si>
    <t>8)</t>
  </si>
  <si>
    <t>9)</t>
  </si>
  <si>
    <t>10)</t>
  </si>
  <si>
    <t>11)</t>
  </si>
  <si>
    <t>12)</t>
  </si>
  <si>
    <t>Total Funds For Construction:</t>
  </si>
  <si>
    <t>Lender/Source:</t>
  </si>
  <si>
    <t xml:space="preserve">5126 N Palm Ave </t>
  </si>
  <si>
    <t>Fresno, CA 93704</t>
  </si>
  <si>
    <t>Contact Name:</t>
  </si>
  <si>
    <t>Ryan Dhindsa</t>
  </si>
  <si>
    <t xml:space="preserve">559-790-7313 </t>
  </si>
  <si>
    <t>Type of Financing:</t>
  </si>
  <si>
    <t>Tax-Exempt Bond Construction Loan</t>
  </si>
  <si>
    <t>Taxable Construction Loan</t>
  </si>
  <si>
    <t>Variable Rate Index (if applicable):</t>
  </si>
  <si>
    <t>30 day SOFR + 1.9%</t>
  </si>
  <si>
    <t>30 day SOFR +2.25%</t>
  </si>
  <si>
    <t>Is the Lender/Source Committed?</t>
  </si>
  <si>
    <t>Seller Carryback Loan</t>
  </si>
  <si>
    <t>Portland</t>
  </si>
  <si>
    <t>503-808-1349</t>
  </si>
  <si>
    <t>LIHTC Equity Investment</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</si>
  <si>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</si>
  <si>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</si>
  <si>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</si>
  <si>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</si>
  <si>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</si>
  <si>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</si>
  <si>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</si>
  <si>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</si>
  <si>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 Developer Fee</t>
  </si>
  <si>
    <t>Deferred</t>
  </si>
  <si>
    <t>Total Permanent Financing:</t>
  </si>
  <si>
    <t>Total Tax Credit Equity:</t>
  </si>
  <si>
    <t>Total Sources of Project Funds:</t>
  </si>
  <si>
    <t>Tax-Exempt Bond Permanent Loan</t>
  </si>
  <si>
    <t>601 24th Street B</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</si>
  <si>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</si>
  <si>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</si>
  <si>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</si>
  <si>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</si>
  <si>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</si>
  <si>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</si>
  <si>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</si>
  <si>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</si>
  <si>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</si>
  <si>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</si>
  <si>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</si>
  <si>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</si>
  <si>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</si>
  <si>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</si>
  <si>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</si>
  <si>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</si>
  <si>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</si>
  <si>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</si>
  <si>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</si>
  <si>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</si>
  <si>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</si>
  <si>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</si>
  <si>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</si>
  <si>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</si>
  <si>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</si>
  <si>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</si>
  <si>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</si>
  <si>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</si>
  <si>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</si>
  <si>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</si>
  <si>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</si>
  <si>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</si>
  <si>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</si>
  <si>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</si>
  <si>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</si>
  <si>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</si>
  <si>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</si>
  <si>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</si>
  <si>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</si>
  <si>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</si>
  <si>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</si>
  <si>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</si>
  <si>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</si>
  <si>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</si>
  <si>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</si>
  <si>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</si>
  <si>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</si>
  <si>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</si>
  <si>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</si>
  <si>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</si>
  <si>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</si>
  <si>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</si>
  <si>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</si>
  <si>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</si>
  <si>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</si>
  <si>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</si>
  <si>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</si>
  <si>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</si>
  <si>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</si>
  <si>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</si>
  <si>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</si>
  <si>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</si>
  <si>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</si>
  <si>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</si>
  <si>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</si>
  <si>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</si>
  <si>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</si>
  <si>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</si>
  <si>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</si>
  <si>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</si>
  <si>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</si>
  <si>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</si>
  <si>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</si>
  <si>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</si>
  <si>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</si>
  <si>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</si>
  <si>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</si>
  <si>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</si>
  <si>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</si>
  <si>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</si>
  <si>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</si>
  <si>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</si>
  <si>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</si>
  <si>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</si>
  <si>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</si>
  <si>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</si>
  <si>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</si>
  <si>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</si>
  <si>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</si>
  <si>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</si>
  <si>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</si>
  <si>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</si>
  <si>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</si>
  <si>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</si>
  <si>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</si>
  <si>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</si>
  <si>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</si>
  <si>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</si>
  <si>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</si>
  <si>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</si>
  <si>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</si>
  <si>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</si>
  <si>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</si>
  <si>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</si>
  <si>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</si>
  <si>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</si>
  <si>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</si>
  <si>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</si>
  <si>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</si>
  <si>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</si>
  <si>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</si>
  <si>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</si>
  <si>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</si>
  <si>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</si>
  <si>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</si>
  <si>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</si>
  <si>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</si>
  <si>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</si>
  <si>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</si>
  <si>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</si>
  <si>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Supplies ($22.2K) and Contracts</t>
  </si>
  <si>
    <t>Total Maintenance:</t>
  </si>
  <si>
    <t>Other Operating</t>
  </si>
  <si>
    <t>Telephone</t>
  </si>
  <si>
    <t>Expenses</t>
  </si>
  <si>
    <t>Property &amp; liability insurance</t>
  </si>
  <si>
    <t>Business Tax</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</si>
  <si>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</si>
  <si>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</si>
  <si>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</si>
  <si>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</si>
  <si>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</si>
  <si>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</si>
  <si>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</si>
  <si>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</si>
  <si>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</si>
  <si>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</si>
  <si>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</si>
  <si>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</si>
  <si>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</si>
  <si>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</si>
  <si>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</si>
  <si>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</si>
  <si>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</si>
  <si>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</si>
  <si>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</si>
  <si>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</si>
  <si>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</si>
  <si>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</si>
  <si>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</si>
  <si>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</si>
  <si>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</si>
  <si>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</si>
  <si>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</si>
  <si>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</si>
  <si>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</si>
  <si>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</si>
  <si>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</si>
  <si>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</si>
  <si>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</si>
  <si>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</si>
  <si>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</si>
  <si>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</si>
  <si>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</si>
  <si>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</si>
  <si>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</si>
  <si>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</si>
  <si>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</si>
  <si>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</si>
  <si>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</si>
  <si>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</si>
  <si>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</si>
  <si>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</si>
  <si>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</si>
  <si>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</si>
  <si>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</si>
  <si>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</si>
  <si>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</si>
  <si>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</si>
  <si>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</si>
  <si>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</si>
  <si>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</si>
  <si>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</si>
  <si>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</si>
  <si>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</si>
  <si>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</si>
  <si>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Housing Authority Loan</t>
  </si>
  <si>
    <t>Indicate By Percent Of Units Affected, Any Rental Subsidy Expected To Be Available To The Project.</t>
  </si>
  <si>
    <t>Approval Date:</t>
  </si>
  <si>
    <t>Source:</t>
  </si>
  <si>
    <t>HUD</t>
  </si>
  <si>
    <t>If Section 8:</t>
  </si>
  <si>
    <t>RAD conversion -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</si>
  <si>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</si>
  <si>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</si>
  <si>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</si>
  <si>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</si>
  <si>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</si>
  <si>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</si>
  <si>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</si>
  <si>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</si>
  <si>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</si>
  <si>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</si>
  <si>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</si>
  <si>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</si>
  <si>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</si>
  <si>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</si>
  <si>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</si>
  <si>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</si>
  <si>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</si>
  <si>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</si>
  <si>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</si>
  <si>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</si>
  <si>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</si>
  <si>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</si>
  <si>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</si>
  <si>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</si>
  <si>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</si>
  <si>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</si>
  <si>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</si>
  <si>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</si>
  <si>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</si>
  <si>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</si>
  <si>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</si>
  <si>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</si>
  <si>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Project Based Housing Choice Vouchers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</si>
  <si>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</si>
  <si>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</si>
  <si>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</si>
  <si>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</si>
  <si>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</si>
  <si>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</si>
  <si>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</si>
  <si>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</si>
  <si>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</si>
  <si>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</si>
  <si>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</si>
  <si>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</si>
  <si>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</si>
  <si>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</si>
  <si>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</si>
  <si>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</si>
  <si>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</si>
  <si>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</si>
  <si>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</si>
  <si>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</si>
  <si>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</si>
  <si>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</si>
  <si>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</si>
  <si>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</si>
  <si>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</si>
  <si>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</si>
  <si>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</si>
  <si>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</si>
  <si>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</si>
  <si>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</si>
  <si>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</si>
  <si>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</si>
  <si>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</si>
  <si>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</si>
  <si>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</si>
  <si>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</si>
  <si>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</si>
  <si>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</si>
  <si>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</si>
  <si>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</si>
  <si>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</si>
  <si>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</si>
  <si>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</si>
  <si>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</si>
  <si>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</si>
  <si>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</si>
  <si>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</si>
  <si>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</si>
  <si>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</si>
  <si>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</si>
  <si>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</si>
  <si>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</si>
  <si>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</si>
  <si>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</si>
  <si>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</si>
  <si>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</si>
  <si>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</si>
  <si>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</si>
  <si>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</si>
  <si>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</si>
  <si>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</si>
  <si>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</si>
  <si>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</si>
  <si>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</si>
  <si>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</si>
  <si>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</si>
  <si>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</si>
  <si>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</si>
  <si>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</si>
  <si>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</si>
  <si>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</si>
  <si>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</si>
  <si>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</si>
  <si>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</si>
  <si>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</si>
  <si>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</si>
  <si>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</si>
  <si>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</si>
  <si>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</si>
  <si>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</si>
  <si>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</si>
  <si>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</si>
  <si>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</si>
  <si>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</si>
  <si>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</si>
  <si>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</si>
  <si>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</si>
  <si>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</si>
  <si>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</si>
  <si>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</si>
  <si>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</si>
  <si>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</si>
  <si>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</si>
  <si>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</si>
  <si>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</si>
  <si>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</si>
  <si>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</si>
  <si>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</si>
  <si>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</si>
  <si>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</si>
  <si>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</si>
  <si>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</si>
  <si>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</si>
  <si>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</si>
  <si>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</si>
  <si>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</si>
  <si>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</si>
  <si>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</si>
  <si>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</si>
  <si>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</si>
  <si>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</si>
  <si>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</si>
  <si>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</si>
  <si>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</si>
  <si>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</si>
  <si>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</si>
  <si>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</si>
  <si>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</si>
  <si>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</si>
  <si>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</si>
  <si>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</si>
  <si>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</si>
  <si>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</si>
  <si>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</si>
  <si>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</si>
  <si>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</si>
  <si>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</si>
  <si>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</si>
  <si>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Bank Consultant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</si>
  <si>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</si>
  <si>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</si>
  <si>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</si>
  <si>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</si>
  <si>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</si>
  <si>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</si>
  <si>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</si>
  <si>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</si>
  <si>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</si>
  <si>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Bond Counsel $50K; Transaction Legal $100K</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</si>
  <si>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</si>
  <si>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</si>
  <si>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</si>
  <si>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</si>
  <si>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</si>
  <si>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</si>
  <si>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</si>
  <si>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</si>
  <si>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</si>
  <si>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</si>
  <si>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</si>
  <si>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</si>
  <si>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</si>
  <si>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</si>
  <si>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</si>
  <si>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</si>
  <si>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</si>
  <si>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</si>
  <si>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</si>
  <si>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</si>
  <si>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</si>
  <si>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</si>
  <si>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CDLAC fee</t>
  </si>
  <si>
    <t>Other: PNA</t>
  </si>
  <si>
    <t>Other: Audit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</si>
  <si>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</si>
  <si>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</si>
  <si>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</si>
  <si>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</si>
  <si>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</si>
  <si>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</si>
  <si>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</si>
  <si>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</si>
  <si>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</si>
  <si>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</si>
  <si>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</si>
  <si>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</si>
  <si>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</si>
  <si>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</si>
  <si>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</si>
  <si>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</si>
  <si>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</si>
  <si>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</si>
  <si>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</si>
  <si>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</si>
  <si>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</si>
  <si>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</si>
  <si>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</si>
  <si>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</si>
  <si>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</si>
  <si>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</si>
  <si>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</si>
  <si>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</si>
  <si>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</si>
  <si>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</si>
  <si>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</si>
  <si>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</si>
  <si>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</si>
  <si>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</si>
  <si>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</si>
  <si>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</si>
  <si>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</si>
  <si>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</si>
  <si>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</si>
  <si>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</si>
  <si>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</si>
  <si>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</si>
  <si>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</si>
  <si>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</si>
  <si>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</si>
  <si>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</si>
  <si>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</si>
  <si>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</si>
  <si>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</si>
  <si>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</si>
  <si>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</si>
  <si>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</si>
  <si>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</si>
  <si>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</si>
  <si>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</si>
  <si>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</si>
  <si>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</si>
  <si>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</si>
  <si>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</si>
  <si>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</si>
  <si>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</si>
  <si>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</si>
  <si>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</si>
  <si>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</si>
  <si>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</si>
  <si>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</si>
  <si>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</si>
  <si>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</si>
  <si>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</si>
  <si>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</si>
  <si>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</si>
  <si>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</si>
  <si>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</si>
  <si>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</si>
  <si>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</si>
  <si>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</si>
  <si>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</si>
  <si>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</si>
  <si>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</si>
  <si>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</si>
  <si>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</si>
  <si>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</si>
  <si>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</si>
  <si>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</si>
  <si>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</si>
  <si>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</si>
  <si>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</si>
  <si>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</si>
  <si>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</si>
  <si>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</si>
  <si>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</si>
  <si>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</si>
  <si>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</si>
  <si>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</si>
  <si>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</si>
  <si>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</si>
  <si>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</si>
  <si>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</si>
  <si>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</si>
  <si>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</si>
  <si>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</si>
  <si>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</si>
  <si>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</si>
  <si>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</si>
  <si>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</si>
  <si>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</si>
  <si>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</si>
  <si>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</si>
  <si>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</si>
  <si>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</si>
  <si>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</si>
  <si>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</si>
  <si>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</si>
  <si>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</si>
  <si>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</si>
  <si>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</si>
  <si>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</si>
  <si>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</si>
  <si>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</si>
  <si>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</si>
  <si>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</si>
  <si>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</si>
  <si>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</si>
  <si>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</si>
  <si>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</si>
  <si>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</si>
  <si>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</si>
  <si>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</si>
  <si>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</si>
  <si>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</si>
  <si>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</si>
  <si>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</si>
  <si>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</si>
  <si>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</si>
  <si>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</si>
  <si>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</si>
  <si>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</si>
  <si>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</si>
  <si>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</si>
  <si>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</si>
  <si>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</si>
  <si>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</si>
  <si>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</si>
  <si>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</si>
  <si>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</si>
  <si>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</si>
  <si>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</si>
  <si>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</si>
  <si>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</si>
  <si>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</si>
  <si>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</si>
  <si>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</si>
  <si>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</si>
  <si>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</si>
  <si>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</si>
  <si>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</si>
  <si>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</si>
  <si>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</si>
  <si>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</si>
  <si>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</si>
  <si>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</si>
  <si>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</si>
  <si>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</si>
  <si>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</si>
  <si>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</si>
  <si>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</si>
  <si>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</si>
  <si>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</si>
  <si>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</si>
  <si>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</si>
  <si>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</si>
  <si>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</si>
  <si>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</si>
  <si>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</si>
  <si>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</si>
  <si>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</si>
  <si>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</si>
  <si>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</si>
  <si>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</si>
  <si>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</si>
  <si>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</si>
  <si>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</si>
  <si>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</si>
  <si>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</si>
  <si>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</si>
  <si>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</si>
  <si>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</si>
  <si>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</si>
  <si>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</si>
  <si>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</si>
  <si>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</si>
  <si>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</si>
  <si>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</si>
  <si>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</si>
  <si>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</si>
  <si>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</si>
  <si>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</si>
  <si>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</si>
  <si>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</si>
  <si>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</si>
  <si>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</si>
  <si>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</si>
  <si>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</si>
  <si>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</si>
  <si>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</si>
  <si>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</si>
  <si>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</si>
  <si>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</si>
  <si>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</si>
  <si>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</si>
  <si>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</si>
  <si>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</si>
  <si>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</si>
  <si>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</si>
  <si>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</si>
  <si>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</si>
  <si>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</si>
  <si>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</si>
  <si>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</si>
  <si>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</si>
  <si>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</si>
  <si>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</si>
  <si>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</si>
  <si>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</si>
  <si>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</si>
  <si>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</si>
  <si>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</si>
  <si>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</si>
  <si>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</si>
  <si>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</si>
  <si>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</si>
  <si>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</si>
  <si>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</si>
  <si>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</si>
  <si>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</si>
  <si>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</si>
  <si>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</si>
  <si>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</si>
  <si>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</si>
  <si>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</si>
  <si>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</si>
  <si>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</si>
  <si>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</si>
  <si>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</si>
  <si>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</si>
  <si>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</si>
  <si>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</si>
  <si>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</si>
  <si>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</si>
  <si>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</si>
  <si>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</si>
  <si>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</si>
  <si>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</si>
  <si>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</si>
  <si>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</si>
  <si>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</si>
  <si>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</si>
  <si>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</si>
  <si>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</si>
  <si>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</si>
  <si>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</si>
  <si>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</si>
  <si>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</si>
  <si>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</si>
  <si>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</si>
  <si>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</si>
  <si>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</si>
  <si>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</si>
  <si>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</si>
  <si>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</si>
  <si>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</si>
  <si>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</si>
  <si>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</si>
  <si>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</si>
  <si>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</si>
  <si>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</si>
  <si>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</si>
  <si>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</si>
  <si>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</si>
  <si>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</si>
  <si>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</si>
  <si>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</si>
  <si>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</si>
  <si>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</si>
  <si>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</si>
  <si>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</si>
  <si>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</si>
  <si>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</si>
  <si>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</si>
  <si>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</si>
  <si>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</si>
  <si>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</si>
  <si>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</si>
  <si>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</si>
  <si>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</si>
  <si>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</si>
  <si>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</si>
  <si>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</si>
  <si>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</si>
  <si>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</si>
  <si>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</si>
  <si>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</si>
  <si>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</si>
  <si>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</si>
  <si>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</si>
  <si>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</si>
  <si>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</si>
  <si>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</si>
  <si>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</si>
  <si>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</si>
  <si>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</si>
  <si>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</si>
  <si>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</si>
  <si>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</si>
  <si>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</si>
  <si>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</si>
  <si>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</si>
  <si>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</si>
  <si>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</si>
  <si>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</si>
  <si>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</si>
  <si>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</si>
  <si>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</si>
  <si>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</si>
  <si>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</si>
  <si>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</si>
  <si>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</si>
  <si>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</si>
  <si>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</si>
  <si>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</si>
  <si>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</si>
  <si>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</si>
  <si>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</si>
  <si>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</si>
  <si>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</si>
  <si>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</si>
  <si>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</si>
  <si>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</si>
  <si>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</si>
  <si>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</si>
  <si>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</si>
  <si>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</si>
  <si>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</si>
  <si>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</si>
  <si>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</si>
  <si>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</si>
  <si>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</si>
  <si>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</si>
  <si>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</si>
  <si>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</si>
  <si>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</si>
  <si>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</si>
  <si>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</si>
  <si>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</si>
  <si>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</si>
  <si>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</si>
  <si>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</si>
  <si>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</si>
  <si>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</si>
  <si>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</si>
  <si>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</si>
  <si>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</si>
  <si>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</si>
  <si>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</si>
  <si>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</si>
  <si>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</si>
  <si>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</si>
  <si>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</si>
  <si>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</si>
  <si>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</si>
  <si>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</si>
  <si>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</si>
  <si>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</si>
  <si>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</si>
  <si>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</si>
  <si>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</si>
  <si>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</si>
  <si>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</si>
  <si>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</si>
  <si>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</si>
  <si>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</si>
  <si>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</si>
  <si>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</si>
  <si>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</si>
  <si>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</si>
  <si>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</si>
  <si>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</si>
  <si>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</si>
  <si>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</si>
  <si>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</si>
  <si>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</si>
  <si>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</si>
  <si>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</si>
  <si>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</si>
  <si>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</si>
  <si>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</si>
  <si>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</si>
  <si>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</si>
  <si>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</si>
  <si>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</si>
  <si>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</si>
  <si>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</si>
  <si>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</si>
  <si>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</si>
  <si>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</si>
  <si>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</si>
  <si>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</si>
  <si>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</si>
  <si>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</si>
  <si>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</si>
  <si>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</si>
  <si>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</si>
  <si>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</si>
  <si>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</si>
  <si>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</si>
  <si>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</si>
  <si>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</si>
  <si>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</si>
  <si>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</si>
  <si>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</si>
  <si>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</si>
  <si>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</si>
  <si>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</si>
  <si>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</si>
  <si>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</si>
  <si>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</si>
  <si>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</si>
  <si>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</si>
  <si>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</si>
  <si>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</si>
  <si>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</si>
  <si>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</si>
  <si>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</si>
  <si>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</si>
  <si>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</si>
  <si>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</si>
  <si>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</si>
  <si>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</si>
  <si>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</si>
  <si>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</si>
  <si>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</si>
  <si>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</si>
  <si>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</si>
  <si>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</si>
  <si>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</si>
  <si>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</si>
  <si>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</si>
  <si>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</si>
  <si>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</si>
  <si>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</si>
  <si>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</si>
  <si>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</si>
  <si>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</si>
  <si>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</si>
  <si>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</si>
  <si>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</si>
  <si>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</si>
  <si>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</si>
  <si>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</si>
  <si>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</si>
  <si>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</si>
  <si>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</si>
  <si>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</si>
  <si>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</si>
  <si>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</si>
  <si>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</si>
  <si>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</si>
  <si>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</si>
  <si>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</si>
  <si>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</si>
  <si>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</si>
  <si>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</si>
  <si>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</si>
  <si>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</si>
  <si>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</si>
  <si>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</si>
  <si>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</si>
  <si>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</si>
  <si>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</si>
  <si>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</si>
  <si>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</si>
  <si>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</si>
  <si>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</si>
  <si>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</si>
  <si>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</si>
  <si>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</si>
  <si>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</si>
  <si>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</si>
  <si>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</si>
  <si>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</si>
  <si>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</si>
  <si>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</si>
  <si>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</si>
  <si>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</si>
  <si>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</si>
  <si>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</si>
  <si>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</si>
  <si>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</si>
  <si>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</si>
  <si>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</si>
  <si>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</si>
  <si>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</si>
  <si>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</si>
  <si>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</si>
  <si>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</si>
  <si>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</si>
  <si>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</si>
  <si>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</si>
  <si>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</si>
  <si>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</si>
  <si>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</si>
  <si>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</si>
  <si>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</si>
  <si>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</si>
  <si>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</si>
  <si>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</si>
  <si>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</si>
  <si>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</si>
  <si>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</si>
  <si>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</si>
  <si>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</si>
  <si>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</si>
  <si>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</si>
  <si>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</si>
  <si>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</si>
  <si>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</si>
  <si>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</si>
  <si>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</si>
  <si>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</si>
  <si>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</si>
  <si>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</si>
  <si>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</si>
  <si>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</si>
  <si>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</si>
  <si>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</si>
  <si>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</si>
  <si>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</si>
  <si>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</si>
  <si>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</si>
  <si>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</si>
  <si>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</si>
  <si>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</si>
  <si>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</si>
  <si>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</si>
  <si>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</si>
  <si>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</si>
  <si>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</si>
  <si>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</si>
  <si>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</si>
  <si>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</si>
  <si>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</si>
  <si>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</si>
  <si>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</si>
  <si>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</si>
  <si>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</si>
  <si>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</si>
  <si>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</si>
  <si>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</si>
  <si>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</si>
  <si>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</si>
  <si>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</si>
  <si>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</si>
  <si>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</si>
  <si>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</si>
  <si>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</si>
  <si>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</si>
  <si>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</si>
  <si>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</si>
  <si>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</si>
  <si>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</si>
  <si>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</si>
  <si>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</si>
  <si>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</si>
  <si>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</si>
  <si>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</si>
  <si>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</si>
  <si>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</si>
  <si>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</si>
  <si>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</si>
  <si>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</si>
  <si>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</si>
  <si>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</si>
  <si>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</si>
  <si>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</si>
  <si>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</si>
  <si>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</si>
  <si>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</si>
  <si>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</si>
  <si>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</si>
  <si>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</si>
  <si>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</si>
  <si>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</si>
  <si>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</si>
  <si>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</si>
  <si>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</si>
  <si>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</si>
  <si>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</si>
  <si>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</si>
  <si>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</si>
  <si>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</si>
  <si>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</si>
  <si>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</si>
  <si>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</si>
  <si>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</si>
  <si>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</si>
  <si>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</si>
  <si>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</si>
  <si>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</si>
  <si>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</si>
  <si>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</si>
  <si>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</si>
  <si>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</si>
  <si>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</si>
  <si>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</si>
  <si>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</si>
  <si>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</si>
  <si>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</si>
  <si>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</si>
  <si>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</si>
  <si>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</si>
  <si>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</si>
  <si>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</si>
  <si>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</si>
  <si>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</si>
  <si>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</si>
  <si>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</si>
  <si>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</si>
  <si>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</si>
  <si>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</si>
  <si>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</si>
  <si>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</si>
  <si>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</si>
  <si>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</si>
  <si>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</si>
  <si>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</si>
  <si>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</si>
  <si>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</si>
  <si>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</si>
  <si>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</si>
  <si>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</si>
  <si>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</si>
  <si>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</si>
  <si>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</si>
  <si>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</si>
  <si>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</si>
  <si>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</si>
  <si>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</si>
  <si>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</si>
  <si>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</si>
  <si>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</si>
  <si>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</si>
  <si>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</si>
  <si>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</si>
  <si>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</si>
  <si>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</si>
  <si>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</si>
  <si>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</si>
  <si>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</si>
  <si>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</si>
  <si>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</si>
  <si>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</si>
  <si>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</si>
  <si>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</si>
  <si>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</si>
  <si>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</si>
  <si>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</si>
  <si>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</si>
  <si>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</si>
  <si>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</si>
  <si>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</si>
  <si>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</si>
  <si>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</si>
  <si>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</si>
  <si>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</si>
  <si>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</si>
  <si>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</si>
  <si>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</si>
  <si>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</si>
  <si>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</si>
  <si>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</si>
  <si>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</si>
  <si>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</si>
  <si>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</si>
  <si>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</si>
  <si>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</si>
  <si>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</si>
  <si>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</si>
  <si>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</si>
  <si>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</si>
  <si>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</si>
  <si>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</si>
  <si>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</si>
  <si>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</si>
  <si>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</si>
  <si>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</si>
  <si>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</si>
  <si>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</si>
  <si>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</si>
  <si>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</si>
  <si>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</si>
  <si>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</si>
  <si>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</si>
  <si>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</si>
  <si>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</si>
  <si>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</si>
  <si>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</si>
  <si>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</si>
  <si>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</si>
  <si>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</si>
  <si>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</si>
  <si>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</si>
  <si>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</si>
  <si>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</si>
  <si>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</si>
  <si>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</si>
  <si>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</si>
  <si>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</si>
  <si>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</si>
  <si>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</si>
  <si>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</si>
  <si>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</si>
  <si>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</si>
  <si>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</si>
  <si>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</si>
  <si>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</si>
  <si>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</si>
  <si>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</si>
  <si>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</si>
  <si>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</si>
  <si>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</si>
  <si>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</si>
  <si>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</si>
  <si>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</si>
  <si>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</si>
  <si>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</si>
  <si>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</si>
  <si>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</si>
  <si>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</si>
  <si>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</si>
  <si>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</si>
  <si>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</si>
  <si>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</si>
  <si>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</si>
  <si>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</si>
  <si>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</si>
  <si>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</si>
  <si>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</si>
  <si>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</si>
  <si>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</si>
  <si>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</si>
  <si>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</si>
  <si>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</si>
  <si>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</si>
  <si>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</si>
  <si>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</si>
  <si>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</si>
  <si>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</si>
  <si>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</si>
  <si>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</si>
  <si>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</si>
  <si>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</si>
  <si>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</si>
  <si>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</si>
  <si>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</si>
  <si>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</si>
  <si>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</si>
  <si>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</si>
  <si>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</si>
  <si>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</si>
  <si>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</si>
  <si>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</si>
  <si>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</si>
  <si>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</si>
  <si>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</si>
  <si>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</si>
  <si>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</si>
  <si>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</si>
  <si>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</si>
  <si>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</si>
  <si>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</si>
  <si>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</si>
  <si>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</si>
  <si>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</si>
  <si>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</si>
  <si>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</si>
  <si>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</si>
  <si>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</si>
  <si>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</si>
  <si>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</si>
  <si>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</si>
  <si>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</si>
  <si>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</si>
  <si>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</si>
  <si>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</si>
  <si>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</si>
  <si>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</si>
  <si>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</si>
  <si>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</si>
  <si>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</si>
  <si>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</si>
  <si>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</si>
  <si>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</si>
  <si>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</si>
  <si>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</si>
  <si>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</si>
  <si>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</si>
  <si>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</si>
  <si>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</si>
  <si>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</si>
  <si>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</si>
  <si>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</si>
  <si>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</si>
  <si>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</si>
  <si>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</si>
  <si>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</si>
  <si>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</si>
  <si>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</si>
  <si>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</si>
  <si>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</si>
  <si>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</si>
  <si>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</si>
  <si>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</si>
  <si>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</si>
  <si>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</si>
  <si>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</si>
  <si>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</si>
  <si>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</si>
  <si>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</si>
  <si>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</si>
  <si>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</si>
  <si>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</si>
  <si>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</si>
  <si>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</si>
  <si>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</si>
  <si>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</si>
  <si>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</si>
  <si>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</si>
  <si>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Project-Based Housing Choice Vouchers</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</si>
  <si>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</si>
  <si>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</si>
  <si>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</si>
  <si>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</si>
  <si>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</si>
  <si>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</si>
  <si>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</si>
  <si>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</si>
  <si>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</si>
  <si>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</si>
  <si>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</si>
  <si>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</si>
  <si>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</si>
  <si>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</si>
  <si>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</si>
  <si>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</si>
  <si>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</si>
  <si>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</si>
  <si>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</si>
  <si>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</si>
  <si>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</si>
  <si>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</si>
  <si>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</si>
  <si>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</si>
  <si>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</si>
  <si>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</si>
  <si>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</si>
  <si>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</si>
  <si>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</si>
  <si>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</si>
  <si>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</si>
  <si>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</si>
  <si>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</si>
  <si>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</si>
  <si>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</si>
  <si>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</si>
  <si>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</si>
  <si>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</si>
  <si>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</si>
  <si>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</si>
  <si>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</si>
  <si>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</si>
  <si>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</si>
  <si>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</si>
  <si>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</si>
  <si>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</si>
  <si>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</si>
  <si>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</si>
  <si>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</si>
  <si>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Insurance &amp; Telephone</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</si>
  <si>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</si>
  <si>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</si>
  <si>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</si>
  <si>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</si>
  <si>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</si>
  <si>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</si>
  <si>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</si>
  <si>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</si>
  <si>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</si>
  <si>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</si>
  <si>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</si>
  <si>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</si>
  <si>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</si>
  <si>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</si>
  <si>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</si>
  <si>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</si>
  <si>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</si>
  <si>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</si>
  <si>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</si>
  <si>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</si>
  <si>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</si>
  <si>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HA Loan $4,810,000</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</si>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</sst>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912">
    <xf numFmtId="0" fontId="0" fillId="0" borderId="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80" fillId="36" borderId="18" applyNumberFormat="0" applyAlignment="0" applyProtection="0"/>
    <xf numFmtId="0" fontId="80" fillId="36" borderId="18" applyNumberFormat="0" applyAlignment="0" applyProtection="0"/>
    <xf numFmtId="0" fontId="81" fillId="37" borderId="19"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54" fillId="0" borderId="0" applyFont="0" applyFill="0" applyBorder="0" applyAlignment="0" applyProtection="0"/>
    <xf numFmtId="43" fontId="28" fillId="0" borderId="0" applyFont="0" applyFill="0" applyBorder="0" applyAlignment="0" applyProtection="0"/>
    <xf numFmtId="43" fontId="54" fillId="0" borderId="0" applyFont="0" applyFill="0" applyBorder="0" applyAlignment="0" applyProtection="0"/>
    <xf numFmtId="44" fontId="7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54" fillId="0" borderId="0" applyFont="0" applyFill="0" applyBorder="0" applyAlignment="0" applyProtection="0"/>
    <xf numFmtId="44" fontId="70" fillId="0" borderId="0" applyFont="0" applyFill="0" applyBorder="0" applyAlignment="0" applyProtection="0"/>
    <xf numFmtId="44" fontId="28"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28"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44" fontId="6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54"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28"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28"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28" fillId="0" borderId="0" applyFont="0" applyFill="0" applyBorder="0" applyAlignment="0" applyProtection="0"/>
    <xf numFmtId="44" fontId="54" fillId="0" borderId="0" applyFont="0" applyFill="0" applyBorder="0" applyAlignment="0" applyProtection="0"/>
    <xf numFmtId="44" fontId="28" fillId="0" borderId="0" applyFont="0" applyFill="0" applyBorder="0" applyAlignment="0" applyProtection="0"/>
    <xf numFmtId="44" fontId="6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8" fillId="0" borderId="0" applyFont="0" applyFill="0" applyBorder="0" applyAlignment="0" applyProtection="0"/>
    <xf numFmtId="44" fontId="28" fillId="0" borderId="0" applyFont="0" applyFill="0" applyBorder="0" applyAlignment="0" applyProtection="0"/>
    <xf numFmtId="0" fontId="82" fillId="0" borderId="0" applyNumberFormat="0" applyFill="0" applyBorder="0" applyAlignment="0" applyProtection="0"/>
    <xf numFmtId="0" fontId="83" fillId="38" borderId="0" applyNumberFormat="0" applyBorder="0" applyAlignment="0" applyProtection="0"/>
    <xf numFmtId="0" fontId="84" fillId="0" borderId="20" applyNumberFormat="0" applyFill="0" applyAlignment="0" applyProtection="0"/>
    <xf numFmtId="0" fontId="84" fillId="0" borderId="20"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6" fillId="0" borderId="22" applyNumberFormat="0" applyFill="0" applyAlignment="0" applyProtection="0"/>
    <xf numFmtId="0" fontId="86" fillId="0" borderId="22"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4" fillId="0" borderId="0" applyNumberFormat="0" applyFill="0" applyBorder="0" applyAlignment="0" applyProtection="0">
      <alignment vertical="top"/>
      <protection locked="0"/>
    </xf>
    <xf numFmtId="0" fontId="8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88" fillId="0" borderId="23" applyNumberFormat="0" applyFill="0" applyAlignment="0" applyProtection="0"/>
    <xf numFmtId="0" fontId="89" fillId="40" borderId="0" applyNumberFormat="0" applyBorder="0" applyAlignment="0" applyProtection="0"/>
    <xf numFmtId="0" fontId="90" fillId="0" borderId="0"/>
    <xf numFmtId="0" fontId="54" fillId="0" borderId="0"/>
    <xf numFmtId="0" fontId="90" fillId="0" borderId="0"/>
    <xf numFmtId="0" fontId="54" fillId="0" borderId="0"/>
    <xf numFmtId="0" fontId="54" fillId="0" borderId="0"/>
    <xf numFmtId="0" fontId="2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1" fillId="0" borderId="0"/>
    <xf numFmtId="0" fontId="54" fillId="0" borderId="0"/>
    <xf numFmtId="169" fontId="55" fillId="0" borderId="0"/>
    <xf numFmtId="0" fontId="77" fillId="0" borderId="0"/>
    <xf numFmtId="0" fontId="28" fillId="0" borderId="0"/>
    <xf numFmtId="0" fontId="28" fillId="0" borderId="0"/>
    <xf numFmtId="0" fontId="60" fillId="0" borderId="0"/>
    <xf numFmtId="0" fontId="54" fillId="0" borderId="0"/>
    <xf numFmtId="0" fontId="60" fillId="0" borderId="0"/>
    <xf numFmtId="0" fontId="54" fillId="0" borderId="0"/>
    <xf numFmtId="0" fontId="65" fillId="0" borderId="0"/>
    <xf numFmtId="0" fontId="54" fillId="0" borderId="0"/>
    <xf numFmtId="0" fontId="77" fillId="0" borderId="0"/>
    <xf numFmtId="0" fontId="54"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5" fillId="0" borderId="0"/>
    <xf numFmtId="0" fontId="77" fillId="0" borderId="0"/>
    <xf numFmtId="0" fontId="77" fillId="0" borderId="0"/>
    <xf numFmtId="0" fontId="77" fillId="0" borderId="0"/>
    <xf numFmtId="0" fontId="77" fillId="0" borderId="0"/>
    <xf numFmtId="0" fontId="54"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4" fillId="0" borderId="0"/>
    <xf numFmtId="0" fontId="77" fillId="0" borderId="0"/>
    <xf numFmtId="0" fontId="77" fillId="0" borderId="0"/>
    <xf numFmtId="0" fontId="77" fillId="0" borderId="0"/>
    <xf numFmtId="0" fontId="77" fillId="0" borderId="0"/>
    <xf numFmtId="0" fontId="65" fillId="0" borderId="0"/>
    <xf numFmtId="0" fontId="54" fillId="0" borderId="0">
      <alignment vertical="top"/>
    </xf>
    <xf numFmtId="0" fontId="77" fillId="0" borderId="0"/>
    <xf numFmtId="0" fontId="77" fillId="0" borderId="0"/>
    <xf numFmtId="0" fontId="77" fillId="0" borderId="0"/>
    <xf numFmtId="0" fontId="77" fillId="0" borderId="0"/>
    <xf numFmtId="0" fontId="65" fillId="0" borderId="0"/>
    <xf numFmtId="0" fontId="28" fillId="0" borderId="0"/>
    <xf numFmtId="0" fontId="77" fillId="0" borderId="0"/>
    <xf numFmtId="0" fontId="28" fillId="0" borderId="0"/>
    <xf numFmtId="0" fontId="77" fillId="0" borderId="0"/>
    <xf numFmtId="0" fontId="77" fillId="0" borderId="0"/>
    <xf numFmtId="0" fontId="77" fillId="0" borderId="0"/>
    <xf numFmtId="0" fontId="77"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77" fillId="0" borderId="0"/>
    <xf numFmtId="0" fontId="60" fillId="0" borderId="0"/>
    <xf numFmtId="0" fontId="77" fillId="0" borderId="0"/>
    <xf numFmtId="0" fontId="54"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8" fillId="0" borderId="0"/>
    <xf numFmtId="0" fontId="54" fillId="0" borderId="0">
      <alignment vertical="top"/>
    </xf>
    <xf numFmtId="0" fontId="77" fillId="0" borderId="0"/>
    <xf numFmtId="0" fontId="77" fillId="0" borderId="0"/>
    <xf numFmtId="0" fontId="77" fillId="0" borderId="0"/>
    <xf numFmtId="0" fontId="77" fillId="0" borderId="0"/>
    <xf numFmtId="0" fontId="2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8" fillId="0" borderId="0"/>
    <xf numFmtId="0" fontId="77" fillId="0" borderId="0"/>
    <xf numFmtId="0" fontId="77" fillId="0" borderId="0"/>
    <xf numFmtId="0" fontId="77" fillId="0" borderId="0"/>
    <xf numFmtId="0" fontId="19" fillId="0" borderId="0" applyProtection="0">
      <protection locked="0"/>
    </xf>
    <xf numFmtId="0" fontId="28" fillId="0" borderId="0" applyProtection="0">
      <protection locked="0"/>
    </xf>
    <xf numFmtId="0" fontId="28" fillId="0" borderId="0" applyProtection="0">
      <protection locked="0"/>
    </xf>
    <xf numFmtId="0" fontId="55" fillId="0" borderId="0"/>
    <xf numFmtId="0" fontId="19" fillId="0" borderId="0"/>
    <xf numFmtId="0" fontId="69"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69"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92" fillId="36" borderId="25" applyNumberFormat="0" applyAlignment="0" applyProtection="0"/>
    <xf numFmtId="0" fontId="92" fillId="36" borderId="25" applyNumberFormat="0" applyAlignment="0" applyProtection="0"/>
    <xf numFmtId="0" fontId="24" fillId="0" borderId="0" applyNumberFormat="0" applyFill="0" applyBorder="0">
      <alignment horizontal="left"/>
    </xf>
    <xf numFmtId="0" fontId="93" fillId="0" borderId="0" applyNumberFormat="0" applyFill="0" applyBorder="0" applyAlignment="0" applyProtection="0"/>
    <xf numFmtId="0" fontId="94" fillId="0" borderId="26" applyNumberFormat="0" applyFill="0" applyAlignment="0" applyProtection="0"/>
    <xf numFmtId="0" fontId="94" fillId="0" borderId="26" applyNumberFormat="0" applyFill="0" applyAlignment="0" applyProtection="0"/>
    <xf numFmtId="0" fontId="9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4" fontId="102"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10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9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12" fillId="0" borderId="0" applyFont="0" applyFill="0" applyBorder="0" applyAlignment="0" applyProtection="0"/>
    <xf numFmtId="0" fontId="11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3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4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7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54" fillId="0" borderId="0">
      <alignment vertical="top"/>
    </xf>
    <xf numFmtId="0" fontId="54" fillId="0" borderId="0">
      <alignment vertical="top"/>
    </xf>
    <xf numFmtId="0" fontId="2" fillId="0" borderId="0"/>
    <xf numFmtId="0" fontId="2" fillId="0" borderId="0"/>
    <xf numFmtId="0" fontId="54" fillId="0" borderId="0">
      <alignment vertical="top"/>
    </xf>
    <xf numFmtId="0" fontId="180" fillId="0" borderId="0">
      <alignment vertical="top"/>
    </xf>
    <xf numFmtId="0" fontId="54" fillId="0" borderId="0">
      <alignment vertical="top"/>
    </xf>
    <xf numFmtId="0" fontId="54" fillId="0" borderId="0">
      <alignment vertical="top"/>
    </xf>
    <xf numFmtId="0" fontId="18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6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6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54" fillId="0" borderId="0">
      <alignment vertical="top"/>
    </xf>
    <xf numFmtId="0" fontId="54" fillId="0" borderId="0">
      <alignment vertical="top"/>
    </xf>
    <xf numFmtId="43"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0" fontId="91" fillId="0" borderId="0"/>
    <xf numFmtId="0" fontId="69" fillId="41" borderId="24" applyNumberFormat="0" applyFont="0" applyAlignment="0" applyProtection="0"/>
    <xf numFmtId="0" fontId="6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8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cellStyleXfs>
  <cellXfs count="2615">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49" fontId="19" fillId="0" borderId="0" xfId="543" applyNumberFormat="1"/>
    <xf numFmtId="0" fontId="19" fillId="0" borderId="8" xfId="543" applyBorder="1"/>
    <xf numFmtId="0" fontId="19" fillId="0" borderId="9" xfId="543" applyBorder="1"/>
    <xf numFmtId="0" fontId="19" fillId="0" borderId="10" xfId="543" applyBorder="1"/>
    <xf numFmtId="0" fontId="19" fillId="0" borderId="1" xfId="543" applyBorder="1"/>
    <xf numFmtId="0" fontId="19" fillId="0" borderId="12" xfId="543" applyBorder="1"/>
    <xf numFmtId="0" fontId="19" fillId="0" borderId="2" xfId="543" applyBorder="1"/>
    <xf numFmtId="0" fontId="19" fillId="0" borderId="7" xfId="543" applyBorder="1"/>
    <xf numFmtId="0" fontId="19" fillId="0" borderId="0" xfId="543" applyAlignment="1">
      <alignment horizontal="center"/>
    </xf>
    <xf numFmtId="0" fontId="27" fillId="0" borderId="6" xfId="543" applyFont="1" applyBorder="1" applyAlignment="1">
      <alignment vertical="top" wrapText="1"/>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3"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19" fillId="0" borderId="0" xfId="0" applyFont="1" applyAlignment="1">
      <alignment horizontal="left"/>
    </xf>
    <xf numFmtId="0" fontId="19" fillId="0" borderId="0" xfId="0" applyFont="1" applyAlignment="1">
      <alignment vertical="top"/>
    </xf>
    <xf numFmtId="0" fontId="42"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44" fillId="0" borderId="0" xfId="0" applyFont="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0" borderId="11" xfId="0" applyFont="1" applyBorder="1" applyAlignment="1">
      <alignment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0" fontId="49" fillId="2" borderId="11" xfId="0" applyFont="1" applyFill="1" applyBorder="1" applyAlignment="1">
      <alignment vertical="top" wrapText="1"/>
    </xf>
    <xf numFmtId="0" fontId="49" fillId="0" borderId="11" xfId="0" applyFont="1" applyBorder="1" applyAlignment="1">
      <alignment vertical="top" wrapText="1"/>
    </xf>
    <xf numFmtId="0" fontId="22" fillId="0" borderId="11" xfId="0" applyFont="1" applyBorder="1" applyAlignment="1">
      <alignment horizontal="right" vertical="top" wrapText="1"/>
    </xf>
    <xf numFmtId="0" fontId="49" fillId="0" borderId="0" xfId="0" applyFont="1" applyAlignment="1">
      <alignment horizontal="left" vertical="top"/>
    </xf>
    <xf numFmtId="0" fontId="51" fillId="0" borderId="0" xfId="0" applyFont="1" applyAlignment="1">
      <alignment vertical="top" wrapText="1"/>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0" fontId="19"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46" fillId="0" borderId="0" xfId="0" applyFont="1" applyAlignment="1">
      <alignment horizontal="center"/>
    </xf>
    <xf numFmtId="0" fontId="48" fillId="0" borderId="3" xfId="0" applyFont="1" applyBorder="1"/>
    <xf numFmtId="168" fontId="0" fillId="0" borderId="0" xfId="0" applyNumberFormat="1" applyAlignment="1">
      <alignment horizontal="center"/>
    </xf>
    <xf numFmtId="0" fontId="49" fillId="0" borderId="4" xfId="0" applyFont="1" applyBorder="1" applyAlignment="1">
      <alignment horizontal="right"/>
    </xf>
    <xf numFmtId="0" fontId="54" fillId="0" borderId="0" xfId="0" applyFont="1"/>
    <xf numFmtId="168" fontId="19" fillId="0" borderId="0" xfId="0" applyNumberFormat="1" applyFont="1" applyAlignment="1">
      <alignment horizontal="left" vertical="top"/>
    </xf>
    <xf numFmtId="0" fontId="51" fillId="0" borderId="0" xfId="0" applyFont="1" applyAlignment="1">
      <alignment horizontal="right" vertical="top" wrapText="1"/>
    </xf>
    <xf numFmtId="0" fontId="51" fillId="0" borderId="14" xfId="0" applyFont="1" applyBorder="1" applyAlignment="1">
      <alignment vertical="top" wrapText="1"/>
    </xf>
    <xf numFmtId="0" fontId="51" fillId="0" borderId="11" xfId="0" applyFont="1" applyBorder="1" applyAlignment="1" applyProtection="1">
      <alignment vertical="top"/>
      <protection locked="0"/>
    </xf>
    <xf numFmtId="0" fontId="26" fillId="0" borderId="0" xfId="542" applyFont="1" applyProtection="1">
      <protection locked="0"/>
    </xf>
    <xf numFmtId="0" fontId="19" fillId="0" borderId="0" xfId="539" applyProtection="1"/>
    <xf numFmtId="0" fontId="26" fillId="0" borderId="0" xfId="543" applyFont="1"/>
    <xf numFmtId="0" fontId="19" fillId="0" borderId="0" xfId="0" applyFont="1" applyProtection="1">
      <protection locked="0"/>
    </xf>
    <xf numFmtId="0" fontId="57"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24" fillId="0" borderId="0" xfId="0" applyFont="1"/>
    <xf numFmtId="0" fontId="59" fillId="0" borderId="0" xfId="0" applyFont="1"/>
    <xf numFmtId="0" fontId="57" fillId="0" borderId="0" xfId="0" applyFont="1"/>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58" fillId="0" borderId="0" xfId="0" applyFont="1"/>
    <xf numFmtId="168" fontId="24" fillId="0" borderId="0" xfId="0" applyNumberFormat="1" applyFont="1"/>
    <xf numFmtId="10" fontId="24" fillId="0" borderId="0" xfId="0" applyNumberFormat="1" applyFont="1" applyAlignment="1">
      <alignment horizontal="center"/>
    </xf>
    <xf numFmtId="3" fontId="61" fillId="0" borderId="0" xfId="0" applyNumberFormat="1" applyFont="1"/>
    <xf numFmtId="3" fontId="24" fillId="0" borderId="0" xfId="0" applyNumberFormat="1" applyFont="1"/>
    <xf numFmtId="168" fontId="58" fillId="0" borderId="0" xfId="0" applyNumberFormat="1" applyFont="1"/>
    <xf numFmtId="168" fontId="58"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3" fontId="28" fillId="0" borderId="0" xfId="0" applyNumberFormat="1" applyFont="1" applyAlignment="1">
      <alignment vertical="top"/>
    </xf>
    <xf numFmtId="10" fontId="26" fillId="0" borderId="0" xfId="0" applyNumberFormat="1" applyFont="1" applyAlignment="1">
      <alignment horizontal="center"/>
    </xf>
    <xf numFmtId="0" fontId="57" fillId="0" borderId="6" xfId="0" applyFont="1" applyBorder="1" applyAlignment="1">
      <alignment horizontal="center"/>
    </xf>
    <xf numFmtId="0" fontId="28" fillId="0" borderId="4" xfId="271" applyBorder="1"/>
    <xf numFmtId="0" fontId="28"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6" fillId="0" borderId="0" xfId="0" applyNumberFormat="1" applyFont="1" applyAlignment="1">
      <alignment horizontal="center"/>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44"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36"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66" fillId="0" borderId="0" xfId="0" applyFont="1" applyAlignment="1">
      <alignment vertical="center" wrapText="1"/>
    </xf>
    <xf numFmtId="0" fontId="66" fillId="0" borderId="0" xfId="0" applyFont="1" applyAlignment="1">
      <alignment vertical="center"/>
    </xf>
    <xf numFmtId="0" fontId="66" fillId="0" borderId="0" xfId="0" applyFont="1" applyAlignment="1">
      <alignment horizontal="left" vertical="center" indent="1"/>
    </xf>
    <xf numFmtId="0" fontId="67" fillId="0" borderId="0" xfId="0" applyFont="1" applyAlignment="1">
      <alignment horizontal="left" vertical="center"/>
    </xf>
    <xf numFmtId="49" fontId="43" fillId="0" borderId="0" xfId="0" applyNumberFormat="1" applyFont="1" applyAlignment="1">
      <alignment horizontal="center"/>
    </xf>
    <xf numFmtId="0" fontId="48" fillId="0" borderId="0" xfId="0" applyFont="1"/>
    <xf numFmtId="5" fontId="71" fillId="0" borderId="11" xfId="541" applyNumberFormat="1" applyFont="1" applyBorder="1" applyAlignment="1" applyProtection="1">
      <alignment horizontal="center"/>
    </xf>
    <xf numFmtId="5" fontId="71" fillId="42" borderId="11" xfId="541" applyNumberFormat="1" applyFont="1" applyFill="1" applyBorder="1" applyAlignment="1" applyProtection="1">
      <alignment horizontal="center"/>
    </xf>
    <xf numFmtId="5" fontId="71"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3" fillId="0" borderId="13" xfId="0" applyFont="1" applyBorder="1" applyAlignment="1">
      <alignment vertical="top" wrapText="1"/>
    </xf>
    <xf numFmtId="0" fontId="33" fillId="0" borderId="0" xfId="0" applyFont="1" applyAlignment="1">
      <alignment vertical="top" wrapText="1"/>
    </xf>
    <xf numFmtId="0" fontId="73" fillId="2" borderId="13" xfId="0" applyFont="1" applyFill="1" applyBorder="1" applyAlignment="1">
      <alignment vertical="top" wrapText="1"/>
    </xf>
    <xf numFmtId="0" fontId="73" fillId="0" borderId="0" xfId="0" applyFont="1" applyAlignment="1">
      <alignment vertical="top" wrapText="1"/>
    </xf>
    <xf numFmtId="0" fontId="73"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26" fillId="0" borderId="0" xfId="0" applyFont="1" applyAlignment="1">
      <alignment horizontal="left" vertical="top" wrapText="1"/>
    </xf>
    <xf numFmtId="0" fontId="57"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97" fillId="0" borderId="0" xfId="0" applyFont="1" applyAlignment="1">
      <alignment horizontal="left" vertical="top"/>
    </xf>
    <xf numFmtId="0" fontId="98" fillId="0" borderId="0" xfId="0" applyFont="1" applyAlignment="1">
      <alignment horizontal="left" vertical="top"/>
    </xf>
    <xf numFmtId="0" fontId="6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56" fillId="8" borderId="11" xfId="542" applyFont="1" applyFill="1" applyBorder="1" applyAlignment="1">
      <alignment horizontal="left"/>
    </xf>
    <xf numFmtId="0" fontId="56"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22"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98"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26" fillId="0" borderId="0" xfId="569" applyFont="1" applyAlignment="1">
      <alignment horizontal="left" vertical="top"/>
    </xf>
    <xf numFmtId="0" fontId="101" fillId="0" borderId="0" xfId="569" applyFont="1" applyAlignment="1">
      <alignment horizontal="left" vertical="top"/>
    </xf>
    <xf numFmtId="0" fontId="57"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48" fillId="0" borderId="0" xfId="569" applyFont="1" applyAlignment="1">
      <alignment horizontal="right" vertical="top" wrapText="1"/>
    </xf>
    <xf numFmtId="0" fontId="26" fillId="0" borderId="0" xfId="569" applyFont="1" applyAlignment="1">
      <alignment horizontal="left" vertical="top" wrapText="1"/>
    </xf>
    <xf numFmtId="168" fontId="48"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73" fillId="0" borderId="0" xfId="569" applyFont="1" applyAlignment="1">
      <alignment vertical="top" wrapText="1"/>
    </xf>
    <xf numFmtId="0" fontId="73" fillId="0" borderId="12" xfId="569" applyFont="1" applyBorder="1" applyAlignment="1">
      <alignment vertical="top" wrapText="1"/>
    </xf>
    <xf numFmtId="0" fontId="73" fillId="0" borderId="8" xfId="569" applyFont="1" applyBorder="1" applyAlignment="1">
      <alignment vertical="top" wrapText="1"/>
    </xf>
    <xf numFmtId="0" fontId="33" fillId="0" borderId="0" xfId="569" applyFont="1" applyAlignment="1">
      <alignment horizontal="right" vertical="top" wrapText="1"/>
    </xf>
    <xf numFmtId="0" fontId="73"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38"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9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58" fillId="0" borderId="0" xfId="271" applyFont="1" applyAlignment="1">
      <alignment horizontal="left"/>
    </xf>
    <xf numFmtId="0" fontId="58" fillId="0" borderId="0" xfId="271" applyFont="1" applyAlignment="1">
      <alignment horizontal="right"/>
    </xf>
    <xf numFmtId="168" fontId="24" fillId="0" borderId="11" xfId="271" applyNumberFormat="1" applyFont="1" applyBorder="1"/>
    <xf numFmtId="168" fontId="24" fillId="0" borderId="0" xfId="271" applyNumberFormat="1" applyFont="1"/>
    <xf numFmtId="0" fontId="48" fillId="0" borderId="0" xfId="569" applyFont="1" applyAlignment="1">
      <alignment horizontal="left"/>
    </xf>
    <xf numFmtId="0" fontId="19" fillId="0" borderId="3" xfId="569" applyBorder="1"/>
    <xf numFmtId="0" fontId="100" fillId="0" borderId="0" xfId="1834"/>
    <xf numFmtId="0" fontId="0" fillId="0" borderId="0" xfId="0" applyAlignment="1">
      <alignment horizontal="left" vertical="top"/>
    </xf>
    <xf numFmtId="0" fontId="99" fillId="0" borderId="0" xfId="0" applyFont="1" applyAlignment="1">
      <alignment vertical="top" wrapText="1"/>
    </xf>
    <xf numFmtId="0" fontId="48"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2" fillId="0" borderId="0" xfId="1192" applyFont="1"/>
    <xf numFmtId="0" fontId="48" fillId="0" borderId="11" xfId="0" applyFont="1" applyBorder="1" applyAlignment="1">
      <alignment horizontal="right" vertical="center"/>
    </xf>
    <xf numFmtId="0" fontId="19"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49" fillId="0" borderId="0" xfId="569" applyNumberFormat="1" applyFont="1" applyAlignment="1">
      <alignment horizontal="right" vertical="top"/>
    </xf>
    <xf numFmtId="0" fontId="19" fillId="0" borderId="0" xfId="0" applyFont="1" applyAlignment="1">
      <alignment vertical="top" wrapText="1"/>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46"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46"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44" fillId="0" borderId="0" xfId="569" applyFont="1" applyAlignment="1">
      <alignment horizontal="left"/>
    </xf>
    <xf numFmtId="4" fontId="46"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3" fillId="0" borderId="0" xfId="569" applyFont="1" applyAlignment="1">
      <alignment horizontal="left"/>
    </xf>
    <xf numFmtId="0" fontId="20"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0" fontId="19" fillId="0" borderId="11" xfId="271" applyFont="1" applyBorder="1" applyAlignment="1">
      <alignment horizontal="right" vertical="top" wrapText="1"/>
    </xf>
    <xf numFmtId="0" fontId="27" fillId="0" borderId="0" xfId="569" applyFont="1" applyAlignment="1">
      <alignment horizontal="left"/>
    </xf>
    <xf numFmtId="0" fontId="97" fillId="0" borderId="0" xfId="0" applyFont="1"/>
    <xf numFmtId="0" fontId="108" fillId="0" borderId="0" xfId="0" applyFont="1" applyAlignment="1">
      <alignment horizontal="left" vertical="top"/>
    </xf>
    <xf numFmtId="0" fontId="109" fillId="0" borderId="0" xfId="0" applyFont="1" applyAlignment="1">
      <alignment horizontal="left" vertical="top"/>
    </xf>
    <xf numFmtId="168" fontId="27"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9" fillId="0" borderId="0" xfId="271" applyFont="1" applyAlignment="1">
      <alignment horizontal="left" vertical="top"/>
    </xf>
    <xf numFmtId="0" fontId="48"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53" fillId="0" borderId="0" xfId="569" applyFont="1"/>
    <xf numFmtId="0" fontId="38" fillId="0" borderId="0" xfId="569" applyFont="1"/>
    <xf numFmtId="0" fontId="19" fillId="0" borderId="0" xfId="1192" applyAlignment="1">
      <alignment vertical="top" wrapText="1"/>
    </xf>
    <xf numFmtId="49" fontId="19" fillId="0" borderId="0" xfId="1192" applyNumberFormat="1" applyAlignment="1">
      <alignment vertical="top" wrapText="1"/>
    </xf>
    <xf numFmtId="0" fontId="50" fillId="0" borderId="9" xfId="543" applyFont="1" applyBorder="1" applyAlignment="1">
      <alignment vertical="top"/>
    </xf>
    <xf numFmtId="0" fontId="19" fillId="0" borderId="0" xfId="0" applyFont="1" applyAlignment="1">
      <alignment vertical="center"/>
    </xf>
    <xf numFmtId="0" fontId="110" fillId="0" borderId="0" xfId="0" applyFont="1"/>
    <xf numFmtId="3" fontId="97" fillId="0" borderId="0" xfId="0" applyNumberFormat="1" applyFont="1"/>
    <xf numFmtId="0" fontId="97" fillId="0" borderId="0" xfId="0" applyFont="1" applyAlignment="1">
      <alignment horizontal="left"/>
    </xf>
    <xf numFmtId="168" fontId="111" fillId="0" borderId="0" xfId="0" applyNumberFormat="1" applyFont="1" applyAlignment="1">
      <alignment horizontal="left" vertical="top"/>
    </xf>
    <xf numFmtId="0" fontId="97" fillId="0" borderId="0" xfId="0" applyFont="1" applyAlignment="1">
      <alignment horizontal="left" vertical="center"/>
    </xf>
    <xf numFmtId="0" fontId="11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3"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14" fillId="0" borderId="0" xfId="4496" applyFont="1" applyAlignment="1">
      <alignment horizontal="left" vertical="top" wrapText="1"/>
    </xf>
    <xf numFmtId="0" fontId="114" fillId="0" borderId="54" xfId="4496" applyFont="1" applyBorder="1" applyAlignment="1">
      <alignment horizontal="left" vertical="top" wrapText="1"/>
    </xf>
    <xf numFmtId="0" fontId="19" fillId="0" borderId="0" xfId="4495" applyFont="1" applyAlignment="1">
      <alignment horizontal="left" vertical="center"/>
    </xf>
    <xf numFmtId="0" fontId="115" fillId="0" borderId="0" xfId="4496" applyFont="1" applyAlignment="1">
      <alignment vertical="center"/>
    </xf>
    <xf numFmtId="0" fontId="114" fillId="0" borderId="0" xfId="4496" applyFont="1"/>
    <xf numFmtId="0" fontId="114" fillId="0" borderId="0" xfId="4496" applyFont="1" applyAlignment="1">
      <alignment vertical="center"/>
    </xf>
    <xf numFmtId="0" fontId="11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1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1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14" fillId="0" borderId="53" xfId="4496" applyFont="1" applyBorder="1" applyAlignment="1">
      <alignment vertical="top" wrapText="1"/>
    </xf>
    <xf numFmtId="0" fontId="114" fillId="0" borderId="0" xfId="4496" applyFont="1" applyAlignment="1">
      <alignment vertical="top" wrapText="1"/>
    </xf>
    <xf numFmtId="10" fontId="114" fillId="0" borderId="0" xfId="4496" applyNumberFormat="1" applyFont="1" applyAlignment="1">
      <alignment vertical="top" wrapText="1"/>
    </xf>
    <xf numFmtId="0" fontId="114" fillId="0" borderId="54" xfId="4496" applyFont="1" applyBorder="1" applyAlignment="1">
      <alignment vertical="top" wrapText="1"/>
    </xf>
    <xf numFmtId="0" fontId="114" fillId="0" borderId="0" xfId="4496" applyFont="1" applyAlignment="1">
      <alignment vertical="top"/>
    </xf>
    <xf numFmtId="165" fontId="11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14" fillId="0" borderId="53" xfId="4496" applyFont="1" applyBorder="1" applyAlignment="1">
      <alignment horizontal="left" vertical="top" wrapText="1"/>
    </xf>
    <xf numFmtId="0" fontId="11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48"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48"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1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1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54"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54"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1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1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3" fillId="0" borderId="0" xfId="4495" applyFont="1"/>
    <xf numFmtId="0" fontId="27" fillId="0" borderId="3" xfId="4495" applyFont="1" applyBorder="1" applyAlignment="1">
      <alignment horizontal="center"/>
    </xf>
    <xf numFmtId="0" fontId="112" fillId="0" borderId="8" xfId="4495" applyBorder="1"/>
    <xf numFmtId="0" fontId="26" fillId="0" borderId="8" xfId="4495" applyFont="1" applyBorder="1" applyAlignment="1">
      <alignment vertical="top"/>
    </xf>
    <xf numFmtId="0" fontId="112" fillId="0" borderId="0" xfId="4495" applyAlignment="1">
      <alignment vertical="top"/>
    </xf>
    <xf numFmtId="0" fontId="26" fillId="0" borderId="4" xfId="4495" applyFont="1" applyBorder="1" applyAlignment="1">
      <alignment horizontal="center" vertical="top"/>
    </xf>
    <xf numFmtId="0" fontId="117" fillId="0" borderId="0" xfId="4495" applyFont="1" applyAlignment="1">
      <alignment horizontal="left" vertical="top"/>
    </xf>
    <xf numFmtId="0" fontId="11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21" fillId="0" borderId="0" xfId="4495" applyFont="1" applyAlignment="1">
      <alignment vertical="top" wrapText="1"/>
    </xf>
    <xf numFmtId="0" fontId="12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12" fillId="0" borderId="12" xfId="4495" applyBorder="1"/>
    <xf numFmtId="0" fontId="27" fillId="0" borderId="9" xfId="4495" applyFont="1" applyBorder="1"/>
    <xf numFmtId="0" fontId="112" fillId="0" borderId="10" xfId="4495" applyBorder="1"/>
    <xf numFmtId="0" fontId="35" fillId="0" borderId="3" xfId="4495" applyFont="1" applyBorder="1"/>
    <xf numFmtId="0" fontId="26" fillId="0" borderId="4" xfId="4495" applyFont="1" applyBorder="1"/>
    <xf numFmtId="0" fontId="112" fillId="0" borderId="12" xfId="4495" applyBorder="1" applyAlignment="1">
      <alignment vertical="top"/>
    </xf>
    <xf numFmtId="0" fontId="35" fillId="0" borderId="1" xfId="4495" applyFont="1" applyBorder="1"/>
    <xf numFmtId="0" fontId="121" fillId="0" borderId="2" xfId="4495" applyFont="1" applyBorder="1" applyAlignment="1">
      <alignment horizontal="left" wrapText="1"/>
    </xf>
    <xf numFmtId="0" fontId="121" fillId="0" borderId="2" xfId="4495" applyFont="1" applyBorder="1" applyAlignment="1">
      <alignment horizontal="left"/>
    </xf>
    <xf numFmtId="0" fontId="121" fillId="0" borderId="7" xfId="4495" applyFont="1" applyBorder="1" applyAlignment="1">
      <alignment horizontal="left" wrapText="1"/>
    </xf>
    <xf numFmtId="0" fontId="121" fillId="0" borderId="0" xfId="4495" applyFont="1" applyAlignment="1">
      <alignment horizontal="left" wrapText="1"/>
    </xf>
    <xf numFmtId="0" fontId="35" fillId="0" borderId="9" xfId="4495" applyFont="1" applyBorder="1"/>
    <xf numFmtId="0" fontId="27" fillId="0" borderId="10" xfId="4495" applyFont="1" applyBorder="1"/>
    <xf numFmtId="0" fontId="12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1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12" fillId="0" borderId="61" xfId="4495" applyBorder="1"/>
    <xf numFmtId="0" fontId="11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1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1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20" fillId="0" borderId="0" xfId="4495" applyFont="1"/>
    <xf numFmtId="0" fontId="11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1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48" fillId="0" borderId="0" xfId="4495" applyFont="1" applyAlignment="1">
      <alignment horizontal="left" vertical="top"/>
    </xf>
    <xf numFmtId="0" fontId="27"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99" fillId="0" borderId="0" xfId="4495" applyFont="1"/>
    <xf numFmtId="0" fontId="48"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48" fillId="0" borderId="51" xfId="4495" applyFont="1" applyBorder="1" applyAlignment="1">
      <alignment horizontal="left" vertical="top"/>
    </xf>
    <xf numFmtId="0" fontId="112" fillId="0" borderId="53" xfId="4495" applyBorder="1"/>
    <xf numFmtId="0" fontId="9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1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57" fillId="0" borderId="0" xfId="4495" applyNumberFormat="1" applyFont="1" applyAlignment="1">
      <alignment horizontal="center" vertical="center"/>
    </xf>
    <xf numFmtId="0" fontId="19" fillId="0" borderId="12" xfId="4495" applyFont="1" applyBorder="1" applyAlignment="1">
      <alignment vertical="top"/>
    </xf>
    <xf numFmtId="0" fontId="43"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3"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3" fillId="0" borderId="0" xfId="1192" applyFont="1"/>
    <xf numFmtId="168" fontId="19" fillId="0" borderId="0" xfId="4495" applyNumberFormat="1" applyFont="1"/>
    <xf numFmtId="0" fontId="26" fillId="0" borderId="0" xfId="1192" applyFont="1" applyAlignment="1">
      <alignment vertical="center"/>
    </xf>
    <xf numFmtId="0" fontId="110" fillId="0" borderId="0" xfId="1192" applyFont="1" applyAlignment="1">
      <alignment horizontal="left"/>
    </xf>
    <xf numFmtId="0" fontId="107" fillId="0" borderId="0" xfId="1192" applyFont="1" applyAlignment="1">
      <alignment horizontal="left"/>
    </xf>
    <xf numFmtId="0" fontId="10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49" fillId="0" borderId="4" xfId="4495" applyFont="1" applyBorder="1"/>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14" fillId="0" borderId="0" xfId="4496" applyNumberFormat="1" applyFont="1" applyAlignment="1">
      <alignment horizontal="center" vertical="top" wrapText="1"/>
    </xf>
    <xf numFmtId="168" fontId="114" fillId="0" borderId="0" xfId="4496" applyNumberFormat="1" applyFont="1" applyAlignment="1">
      <alignment vertical="top" wrapText="1"/>
    </xf>
    <xf numFmtId="165" fontId="114" fillId="0" borderId="64" xfId="4496" applyNumberFormat="1" applyFont="1" applyBorder="1" applyAlignment="1">
      <alignment horizontal="center" vertical="top" wrapText="1"/>
    </xf>
    <xf numFmtId="165" fontId="114" fillId="0" borderId="53" xfId="4496" applyNumberFormat="1" applyFont="1" applyBorder="1" applyAlignment="1">
      <alignment horizontal="left" vertical="top"/>
    </xf>
    <xf numFmtId="165" fontId="114" fillId="0" borderId="53" xfId="4496" applyNumberFormat="1" applyFont="1" applyBorder="1" applyAlignment="1">
      <alignment horizontal="center" vertical="top" wrapText="1"/>
    </xf>
    <xf numFmtId="168" fontId="114" fillId="0" borderId="0" xfId="4496" applyNumberFormat="1" applyFont="1" applyAlignment="1">
      <alignment vertical="top"/>
    </xf>
    <xf numFmtId="1" fontId="11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2" fillId="0" borderId="50" xfId="1192" applyFont="1" applyBorder="1" applyAlignment="1">
      <alignment horizontal="left"/>
    </xf>
    <xf numFmtId="0" fontId="133" fillId="0" borderId="51" xfId="4495" applyFont="1" applyBorder="1" applyAlignment="1">
      <alignment vertical="top"/>
    </xf>
    <xf numFmtId="0" fontId="132" fillId="0" borderId="51" xfId="4495" applyFont="1" applyBorder="1" applyAlignment="1">
      <alignment vertical="top" wrapText="1"/>
    </xf>
    <xf numFmtId="0" fontId="133" fillId="0" borderId="51" xfId="4495" applyFont="1" applyBorder="1"/>
    <xf numFmtId="0" fontId="133" fillId="0" borderId="53" xfId="1192" applyFont="1" applyBorder="1" applyAlignment="1">
      <alignment horizontal="left"/>
    </xf>
    <xf numFmtId="0" fontId="133" fillId="0" borderId="0" xfId="4495" applyFont="1" applyAlignment="1">
      <alignment vertical="top"/>
    </xf>
    <xf numFmtId="0" fontId="132" fillId="0" borderId="0" xfId="4495" applyFont="1" applyAlignment="1">
      <alignment vertical="top" wrapText="1"/>
    </xf>
    <xf numFmtId="0" fontId="133" fillId="0" borderId="0" xfId="4495" applyFont="1"/>
    <xf numFmtId="0" fontId="132" fillId="0" borderId="53" xfId="1192" applyFont="1" applyBorder="1" applyAlignment="1">
      <alignment horizontal="left"/>
    </xf>
    <xf numFmtId="0" fontId="132" fillId="0" borderId="57" xfId="1192" applyFont="1" applyBorder="1" applyAlignment="1">
      <alignment horizontal="left"/>
    </xf>
    <xf numFmtId="0" fontId="133" fillId="0" borderId="58" xfId="4495" applyFont="1" applyBorder="1" applyAlignment="1">
      <alignment vertical="top"/>
    </xf>
    <xf numFmtId="0" fontId="132" fillId="0" borderId="58" xfId="4495" applyFont="1" applyBorder="1" applyAlignment="1">
      <alignment vertical="top" wrapText="1"/>
    </xf>
    <xf numFmtId="0" fontId="133" fillId="0" borderId="58" xfId="4495" applyFont="1" applyBorder="1"/>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45"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19" fillId="0" borderId="12" xfId="543" quotePrefix="1" applyBorder="1"/>
    <xf numFmtId="0" fontId="48"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3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3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1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44" fillId="0" borderId="0" xfId="4496" applyFont="1"/>
    <xf numFmtId="168" fontId="48"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46"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3"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3" fillId="0" borderId="0" xfId="1192" applyFont="1" applyAlignment="1">
      <alignment horizontal="left"/>
    </xf>
    <xf numFmtId="0" fontId="46"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14" fillId="0" borderId="0" xfId="4496" applyNumberFormat="1" applyFont="1" applyAlignment="1">
      <alignment horizontal="center" vertical="top" wrapText="1"/>
    </xf>
    <xf numFmtId="10" fontId="114" fillId="0" borderId="64" xfId="4496" applyNumberFormat="1" applyFont="1" applyBorder="1" applyAlignment="1">
      <alignment horizontal="center" vertical="top" wrapText="1"/>
    </xf>
    <xf numFmtId="10" fontId="11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14" fillId="0" borderId="0" xfId="4495" applyFont="1"/>
    <xf numFmtId="10" fontId="114" fillId="0" borderId="0" xfId="4495" applyNumberFormat="1" applyFont="1"/>
    <xf numFmtId="172" fontId="19" fillId="0" borderId="0" xfId="4495" applyNumberFormat="1" applyFont="1"/>
    <xf numFmtId="0" fontId="0" fillId="0" borderId="10" xfId="0" applyBorder="1" applyAlignment="1">
      <alignment horizontal="left"/>
    </xf>
    <xf numFmtId="1" fontId="19" fillId="0" borderId="0" xfId="1192" applyNumberFormat="1" applyAlignment="1">
      <alignment horizontal="center"/>
    </xf>
    <xf numFmtId="0" fontId="112" fillId="0" borderId="63" xfId="4495" applyBorder="1"/>
    <xf numFmtId="0" fontId="48"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4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175" fontId="19" fillId="0" borderId="0" xfId="543" applyNumberFormat="1" applyAlignment="1">
      <alignment vertical="center"/>
    </xf>
    <xf numFmtId="0" fontId="90" fillId="43" borderId="6" xfId="4496" applyFont="1" applyFill="1" applyBorder="1" applyAlignment="1" applyProtection="1">
      <alignment horizontal="center"/>
      <protection locked="0"/>
    </xf>
    <xf numFmtId="0" fontId="90" fillId="0" borderId="0" xfId="4496" applyFont="1"/>
    <xf numFmtId="0" fontId="90" fillId="0" borderId="0" xfId="4496" applyFont="1" applyAlignment="1">
      <alignment wrapText="1"/>
    </xf>
    <xf numFmtId="0" fontId="128" fillId="0" borderId="0" xfId="4496" applyFont="1"/>
    <xf numFmtId="181" fontId="129" fillId="0" borderId="0" xfId="4498" applyNumberFormat="1" applyFont="1" applyBorder="1" applyProtection="1"/>
    <xf numFmtId="0" fontId="130" fillId="0" borderId="0" xfId="4496" applyFont="1" applyAlignment="1">
      <alignment vertical="center" wrapText="1"/>
    </xf>
    <xf numFmtId="49" fontId="90" fillId="0" borderId="0" xfId="4496" applyNumberFormat="1" applyFont="1" applyAlignment="1">
      <alignment horizontal="center"/>
    </xf>
    <xf numFmtId="182" fontId="90" fillId="0" borderId="6" xfId="4496" applyNumberFormat="1" applyFont="1" applyBorder="1"/>
    <xf numFmtId="0" fontId="90" fillId="0" borderId="0" xfId="4496" applyFont="1" applyAlignment="1">
      <alignment vertical="center"/>
    </xf>
    <xf numFmtId="182" fontId="90" fillId="0" borderId="0" xfId="4496" applyNumberFormat="1" applyFont="1" applyAlignment="1">
      <alignment vertical="center"/>
    </xf>
    <xf numFmtId="175" fontId="90" fillId="0" borderId="0" xfId="4499" applyNumberFormat="1" applyFont="1" applyFill="1" applyBorder="1" applyAlignment="1" applyProtection="1">
      <alignment horizontal="left" vertical="center"/>
    </xf>
    <xf numFmtId="9" fontId="90" fillId="0" borderId="0" xfId="4499" applyFont="1" applyFill="1" applyBorder="1" applyAlignment="1" applyProtection="1">
      <alignment vertical="center"/>
    </xf>
    <xf numFmtId="183" fontId="90" fillId="0" borderId="0" xfId="4496" applyNumberFormat="1" applyFont="1" applyAlignment="1">
      <alignment vertical="center" wrapText="1"/>
    </xf>
    <xf numFmtId="9" fontId="90" fillId="0" borderId="0" xfId="4499" applyFont="1" applyBorder="1" applyAlignment="1" applyProtection="1">
      <alignment vertical="center"/>
    </xf>
    <xf numFmtId="164" fontId="90" fillId="0" borderId="0" xfId="4496" applyNumberFormat="1" applyFont="1" applyAlignment="1">
      <alignment vertical="center" wrapText="1"/>
    </xf>
    <xf numFmtId="0" fontId="90" fillId="0" borderId="0" xfId="4496" applyFont="1" applyAlignment="1">
      <alignment horizontal="center" vertical="center"/>
    </xf>
    <xf numFmtId="182" fontId="90" fillId="0" borderId="11" xfId="8721" applyNumberFormat="1" applyFont="1" applyBorder="1" applyProtection="1"/>
    <xf numFmtId="182" fontId="90" fillId="0" borderId="11" xfId="4496" applyNumberFormat="1" applyFont="1" applyBorder="1"/>
    <xf numFmtId="164" fontId="90" fillId="0" borderId="0" xfId="4496" applyNumberFormat="1" applyFont="1" applyAlignment="1">
      <alignment wrapText="1"/>
    </xf>
    <xf numFmtId="49" fontId="90" fillId="0" borderId="0" xfId="4496" applyNumberFormat="1" applyFont="1" applyAlignment="1">
      <alignment horizontal="left"/>
    </xf>
    <xf numFmtId="0" fontId="131" fillId="0" borderId="0" xfId="4496" applyFont="1"/>
    <xf numFmtId="9" fontId="90" fillId="0" borderId="11" xfId="4494" applyFont="1" applyFill="1" applyBorder="1" applyAlignment="1" applyProtection="1">
      <alignment horizontal="right"/>
    </xf>
    <xf numFmtId="1" fontId="90" fillId="0" borderId="0" xfId="4496" applyNumberFormat="1" applyFont="1"/>
    <xf numFmtId="0" fontId="128" fillId="45" borderId="3" xfId="4496" applyFont="1" applyFill="1" applyBorder="1" applyAlignment="1">
      <alignment horizontal="left" indent="1"/>
    </xf>
    <xf numFmtId="0" fontId="90" fillId="45" borderId="4" xfId="4496" applyFont="1" applyFill="1" applyBorder="1"/>
    <xf numFmtId="2" fontId="90" fillId="45" borderId="5" xfId="4496" applyNumberFormat="1" applyFont="1" applyFill="1" applyBorder="1"/>
    <xf numFmtId="181" fontId="90" fillId="0" borderId="0" xfId="4496" applyNumberFormat="1" applyFont="1"/>
    <xf numFmtId="165" fontId="129" fillId="0" borderId="0" xfId="4499" applyNumberFormat="1" applyFont="1" applyFill="1" applyBorder="1" applyProtection="1"/>
    <xf numFmtId="9" fontId="90" fillId="0" borderId="0" xfId="4494" applyFont="1" applyFill="1" applyProtection="1"/>
    <xf numFmtId="0" fontId="90" fillId="0" borderId="11" xfId="4496" applyFont="1" applyBorder="1" applyAlignment="1">
      <alignment horizontal="center"/>
    </xf>
    <xf numFmtId="2" fontId="90" fillId="0" borderId="11" xfId="4496" applyNumberFormat="1" applyFont="1" applyBorder="1" applyAlignment="1">
      <alignment horizontal="center"/>
    </xf>
    <xf numFmtId="0" fontId="90" fillId="0" borderId="0" xfId="4496" applyFont="1" applyAlignment="1">
      <alignment vertical="top" wrapText="1"/>
    </xf>
    <xf numFmtId="0" fontId="90" fillId="0" borderId="11" xfId="4496" applyFont="1" applyBorder="1" applyAlignment="1">
      <alignment horizontal="center" vertical="top" wrapText="1"/>
    </xf>
    <xf numFmtId="182" fontId="90" fillId="0" borderId="0" xfId="8721" applyNumberFormat="1" applyFont="1" applyBorder="1" applyProtection="1"/>
    <xf numFmtId="0" fontId="90" fillId="0" borderId="0" xfId="4496" applyFont="1" applyAlignment="1">
      <alignment horizontal="left" indent="1"/>
    </xf>
    <xf numFmtId="182" fontId="90" fillId="0" borderId="0" xfId="4496" applyNumberFormat="1" applyFont="1"/>
    <xf numFmtId="184" fontId="90" fillId="0" borderId="0" xfId="4496" applyNumberFormat="1" applyFont="1"/>
    <xf numFmtId="0" fontId="90" fillId="0" borderId="0" xfId="4496" applyFont="1" applyAlignment="1">
      <alignment horizontal="left"/>
    </xf>
    <xf numFmtId="0" fontId="9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90" fillId="0" borderId="0" xfId="4496" applyFont="1" applyAlignment="1">
      <alignment horizontal="right"/>
    </xf>
    <xf numFmtId="0" fontId="90" fillId="0" borderId="15" xfId="4496" applyFont="1" applyBorder="1" applyAlignment="1">
      <alignment horizontal="center" vertical="top" wrapText="1"/>
    </xf>
    <xf numFmtId="2" fontId="90" fillId="0" borderId="15" xfId="4496" applyNumberFormat="1" applyFont="1" applyBorder="1" applyAlignment="1">
      <alignment horizontal="center"/>
    </xf>
    <xf numFmtId="0" fontId="90" fillId="0" borderId="15" xfId="4496" applyFont="1" applyBorder="1" applyAlignment="1">
      <alignment horizontal="center"/>
    </xf>
    <xf numFmtId="0" fontId="128" fillId="0" borderId="68" xfId="4496" applyFont="1" applyBorder="1" applyAlignment="1">
      <alignment horizontal="center" vertical="top" wrapText="1"/>
    </xf>
    <xf numFmtId="0" fontId="128" fillId="0" borderId="68" xfId="4496" applyFont="1" applyBorder="1" applyAlignment="1">
      <alignment horizontal="center"/>
    </xf>
    <xf numFmtId="0" fontId="142" fillId="0" borderId="0" xfId="4496" applyFont="1" applyAlignment="1">
      <alignment horizontal="right" vertical="center"/>
    </xf>
    <xf numFmtId="175" fontId="90" fillId="0" borderId="0" xfId="4499" applyNumberFormat="1" applyFont="1" applyFill="1" applyBorder="1" applyAlignment="1" applyProtection="1">
      <alignment horizontal="right" vertical="center"/>
    </xf>
    <xf numFmtId="0" fontId="90" fillId="0" borderId="66" xfId="4496" applyFont="1" applyBorder="1" applyAlignment="1">
      <alignment vertical="center"/>
    </xf>
    <xf numFmtId="0" fontId="90" fillId="0" borderId="41" xfId="4496" applyFont="1" applyBorder="1" applyAlignment="1">
      <alignment vertical="center"/>
    </xf>
    <xf numFmtId="182" fontId="90" fillId="0" borderId="73" xfId="4496" applyNumberFormat="1" applyFont="1" applyBorder="1" applyAlignment="1">
      <alignment vertical="center"/>
    </xf>
    <xf numFmtId="175" fontId="90" fillId="0" borderId="42" xfId="4499" applyNumberFormat="1" applyFont="1" applyFill="1" applyBorder="1" applyAlignment="1" applyProtection="1">
      <alignment horizontal="left" vertical="center"/>
    </xf>
    <xf numFmtId="0" fontId="90" fillId="0" borderId="42" xfId="4496" applyFont="1" applyBorder="1" applyAlignment="1">
      <alignment vertical="center"/>
    </xf>
    <xf numFmtId="0" fontId="90" fillId="0" borderId="44" xfId="4496" applyFont="1" applyBorder="1" applyAlignment="1">
      <alignment vertical="center"/>
    </xf>
    <xf numFmtId="49" fontId="90" fillId="0" borderId="0" xfId="4496" applyNumberFormat="1" applyFont="1" applyAlignment="1">
      <alignment horizontal="center" vertical="center"/>
    </xf>
    <xf numFmtId="0" fontId="90" fillId="0" borderId="65" xfId="4496" applyFont="1" applyBorder="1" applyAlignment="1">
      <alignment vertical="center"/>
    </xf>
    <xf numFmtId="0" fontId="90" fillId="0" borderId="29" xfId="4496" applyFont="1" applyBorder="1" applyAlignment="1">
      <alignment vertical="center"/>
    </xf>
    <xf numFmtId="0" fontId="90" fillId="0" borderId="29" xfId="4496" applyFont="1" applyBorder="1" applyAlignment="1">
      <alignment horizontal="right" vertical="center"/>
    </xf>
    <xf numFmtId="5" fontId="90" fillId="0" borderId="29" xfId="4496" applyNumberFormat="1" applyFont="1" applyBorder="1" applyAlignment="1">
      <alignment vertical="center"/>
    </xf>
    <xf numFmtId="0" fontId="90" fillId="0" borderId="31" xfId="4496" applyFont="1" applyBorder="1" applyAlignment="1">
      <alignment vertical="center"/>
    </xf>
    <xf numFmtId="175" fontId="128" fillId="0" borderId="42" xfId="4494" applyNumberFormat="1" applyFont="1" applyFill="1" applyBorder="1" applyAlignment="1" applyProtection="1">
      <alignment horizontal="center" vertical="center"/>
    </xf>
    <xf numFmtId="0" fontId="128" fillId="0" borderId="29" xfId="4496" applyFont="1" applyBorder="1" applyAlignment="1">
      <alignment vertical="center"/>
    </xf>
    <xf numFmtId="0" fontId="128" fillId="0" borderId="0" xfId="4496" applyFont="1" applyAlignment="1">
      <alignment vertical="center"/>
    </xf>
    <xf numFmtId="0" fontId="128" fillId="0" borderId="42" xfId="4496" applyFont="1" applyBorder="1" applyAlignment="1">
      <alignment vertical="center"/>
    </xf>
    <xf numFmtId="9" fontId="128" fillId="0" borderId="42" xfId="4499" applyFont="1" applyFill="1" applyBorder="1" applyAlignment="1" applyProtection="1">
      <alignment vertical="center"/>
    </xf>
    <xf numFmtId="182" fontId="128" fillId="0" borderId="68" xfId="8721" applyNumberFormat="1" applyFont="1" applyBorder="1" applyProtection="1"/>
    <xf numFmtId="182" fontId="128" fillId="0" borderId="68" xfId="4496" applyNumberFormat="1" applyFont="1" applyBorder="1"/>
    <xf numFmtId="0" fontId="142" fillId="0" borderId="0" xfId="4496" applyFont="1" applyAlignment="1">
      <alignment horizontal="right"/>
    </xf>
    <xf numFmtId="0" fontId="90" fillId="0" borderId="0" xfId="4496" applyFont="1" applyAlignment="1">
      <alignment horizontal="right" vertical="top" wrapText="1" indent="1"/>
    </xf>
    <xf numFmtId="182" fontId="90" fillId="0" borderId="6" xfId="8721" applyNumberFormat="1" applyFont="1" applyBorder="1" applyAlignment="1" applyProtection="1">
      <alignment horizontal="center"/>
    </xf>
    <xf numFmtId="0" fontId="90" fillId="0" borderId="0" xfId="4496" applyFont="1" applyAlignment="1">
      <alignment horizontal="right" indent="1"/>
    </xf>
    <xf numFmtId="0" fontId="90" fillId="0" borderId="0" xfId="4496" applyFont="1" applyAlignment="1">
      <alignment horizontal="right" vertical="top"/>
    </xf>
    <xf numFmtId="0" fontId="128" fillId="0" borderId="0" xfId="4496" applyFont="1" applyAlignment="1">
      <alignment horizontal="right"/>
    </xf>
    <xf numFmtId="182" fontId="128" fillId="0" borderId="0" xfId="8721" applyNumberFormat="1" applyFont="1" applyBorder="1" applyAlignment="1" applyProtection="1">
      <alignment horizontal="center"/>
    </xf>
    <xf numFmtId="10" fontId="90" fillId="0" borderId="0" xfId="4494" applyNumberFormat="1" applyFont="1" applyBorder="1" applyAlignment="1" applyProtection="1">
      <alignment horizontal="center"/>
    </xf>
    <xf numFmtId="184" fontId="90" fillId="0" borderId="6" xfId="4496" applyNumberFormat="1" applyFont="1" applyBorder="1"/>
    <xf numFmtId="0" fontId="128" fillId="0" borderId="0" xfId="4496" applyFont="1" applyAlignment="1">
      <alignment horizontal="right" vertical="top"/>
    </xf>
    <xf numFmtId="182" fontId="128" fillId="0" borderId="0" xfId="4496" applyNumberFormat="1" applyFont="1"/>
    <xf numFmtId="182" fontId="90" fillId="0" borderId="6" xfId="8721" applyNumberFormat="1" applyFont="1" applyBorder="1" applyProtection="1"/>
    <xf numFmtId="184" fontId="90" fillId="0" borderId="0" xfId="4496" applyNumberFormat="1" applyFont="1" applyAlignment="1">
      <alignment horizontal="center"/>
    </xf>
    <xf numFmtId="0" fontId="90" fillId="0" borderId="6" xfId="4496" applyFont="1" applyBorder="1" applyAlignment="1">
      <alignment horizontal="right" vertical="top" wrapText="1" indent="1"/>
    </xf>
    <xf numFmtId="0" fontId="90" fillId="0" borderId="67" xfId="4496" applyFont="1" applyBorder="1" applyAlignment="1">
      <alignment horizontal="right" indent="1"/>
    </xf>
    <xf numFmtId="0" fontId="90" fillId="0" borderId="72" xfId="4496" applyFont="1" applyBorder="1" applyAlignment="1">
      <alignment horizontal="right" indent="1"/>
    </xf>
    <xf numFmtId="0" fontId="90" fillId="0" borderId="72" xfId="4496" quotePrefix="1" applyFont="1" applyBorder="1" applyAlignment="1">
      <alignment horizontal="right" indent="1"/>
    </xf>
    <xf numFmtId="0" fontId="90" fillId="0" borderId="69" xfId="4496" applyFont="1" applyBorder="1" applyAlignment="1">
      <alignment horizontal="right" indent="1"/>
    </xf>
    <xf numFmtId="182" fontId="90" fillId="0" borderId="71" xfId="4496" applyNumberFormat="1" applyFont="1" applyBorder="1"/>
    <xf numFmtId="182" fontId="90" fillId="0" borderId="76" xfId="4496" applyNumberFormat="1" applyFont="1" applyBorder="1"/>
    <xf numFmtId="182" fontId="90" fillId="0" borderId="77" xfId="4496" applyNumberFormat="1" applyFont="1" applyBorder="1"/>
    <xf numFmtId="175" fontId="26" fillId="0" borderId="0" xfId="543" applyNumberFormat="1" applyFont="1" applyAlignment="1">
      <alignment vertical="center"/>
    </xf>
    <xf numFmtId="10" fontId="128" fillId="0" borderId="0" xfId="4494" applyNumberFormat="1" applyFont="1" applyProtection="1"/>
    <xf numFmtId="0" fontId="26" fillId="0" borderId="0" xfId="1192" applyFont="1" applyAlignment="1">
      <alignment horizontal="left" indent="1"/>
    </xf>
    <xf numFmtId="168" fontId="90" fillId="0" borderId="11" xfId="4499" applyNumberFormat="1" applyFont="1" applyFill="1" applyBorder="1" applyAlignment="1" applyProtection="1">
      <alignment horizontal="left" vertical="center" indent="1"/>
    </xf>
    <xf numFmtId="168" fontId="128" fillId="0" borderId="68" xfId="4499" applyNumberFormat="1" applyFont="1" applyFill="1" applyBorder="1" applyAlignment="1" applyProtection="1">
      <alignment horizontal="left" vertical="center" indent="1"/>
    </xf>
    <xf numFmtId="182" fontId="90" fillId="0" borderId="13" xfId="4496" applyNumberFormat="1" applyFont="1" applyBorder="1"/>
    <xf numFmtId="182" fontId="90" fillId="0" borderId="70" xfId="4496" applyNumberFormat="1" applyFont="1" applyBorder="1"/>
    <xf numFmtId="0" fontId="37" fillId="0" borderId="0" xfId="4495" applyFont="1" applyAlignment="1">
      <alignment vertical="center"/>
    </xf>
    <xf numFmtId="0" fontId="114" fillId="0" borderId="0" xfId="4496" applyFont="1" applyAlignment="1">
      <alignment vertical="center" wrapText="1"/>
    </xf>
    <xf numFmtId="0" fontId="24" fillId="43" borderId="0" xfId="1192" applyFont="1" applyFill="1"/>
    <xf numFmtId="3" fontId="61" fillId="43" borderId="6" xfId="1192" applyNumberFormat="1" applyFont="1" applyFill="1" applyBorder="1"/>
    <xf numFmtId="0" fontId="144" fillId="0" borderId="0" xfId="0" applyFont="1"/>
    <xf numFmtId="0" fontId="24" fillId="0" borderId="11" xfId="253" applyFont="1" applyBorder="1" applyAlignment="1" applyProtection="1">
      <alignment horizontal="center" wrapText="1"/>
      <protection locked="0"/>
    </xf>
    <xf numFmtId="0" fontId="145" fillId="0" borderId="0" xfId="0" applyFont="1"/>
    <xf numFmtId="0" fontId="146" fillId="0" borderId="0" xfId="0" applyFont="1" applyAlignment="1">
      <alignment horizontal="center"/>
    </xf>
    <xf numFmtId="0" fontId="48" fillId="5" borderId="11" xfId="0" applyFont="1" applyFill="1" applyBorder="1" applyAlignment="1" applyProtection="1">
      <alignment horizontal="right" vertical="top" wrapText="1"/>
      <protection locked="0"/>
    </xf>
    <xf numFmtId="0" fontId="19" fillId="43" borderId="3" xfId="569" applyFill="1" applyBorder="1"/>
    <xf numFmtId="0" fontId="14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90" fillId="43" borderId="6" xfId="4496" applyFont="1" applyFill="1" applyBorder="1" applyProtection="1">
      <protection locked="0"/>
    </xf>
    <xf numFmtId="1" fontId="90" fillId="0" borderId="0" xfId="4496" applyNumberFormat="1" applyFont="1" applyProtection="1">
      <protection locked="0"/>
    </xf>
    <xf numFmtId="182" fontId="154" fillId="0" borderId="11" xfId="4496" applyNumberFormat="1" applyFont="1" applyBorder="1"/>
    <xf numFmtId="44" fontId="90" fillId="0" borderId="0" xfId="4496" applyNumberFormat="1" applyFont="1"/>
    <xf numFmtId="182" fontId="24" fillId="0" borderId="11" xfId="4496" applyNumberFormat="1" applyFont="1" applyBorder="1"/>
    <xf numFmtId="9" fontId="90" fillId="0" borderId="0" xfId="4494" applyFont="1"/>
    <xf numFmtId="182" fontId="90" fillId="43" borderId="6" xfId="8721" applyNumberFormat="1" applyFont="1" applyFill="1" applyBorder="1" applyProtection="1">
      <protection locked="0"/>
    </xf>
    <xf numFmtId="0" fontId="19" fillId="0" borderId="0" xfId="4495" applyFont="1" applyAlignment="1">
      <alignment wrapText="1"/>
    </xf>
    <xf numFmtId="168" fontId="166" fillId="48" borderId="79" xfId="700" applyNumberFormat="1" applyFont="1" applyFill="1" applyBorder="1" applyAlignment="1" applyProtection="1">
      <protection locked="0"/>
    </xf>
    <xf numFmtId="3" fontId="41" fillId="10" borderId="0" xfId="543" applyNumberFormat="1" applyFont="1" applyFill="1" applyAlignment="1">
      <alignment vertical="center" wrapText="1"/>
    </xf>
    <xf numFmtId="0" fontId="173" fillId="0" borderId="0" xfId="543" applyFont="1" applyAlignment="1">
      <alignment horizontal="left" vertical="center"/>
    </xf>
    <xf numFmtId="0" fontId="174" fillId="0" borderId="0" xfId="543" applyFont="1" applyAlignment="1">
      <alignment horizontal="right" vertical="top" wrapText="1"/>
    </xf>
    <xf numFmtId="168" fontId="174" fillId="0" borderId="0" xfId="543" applyNumberFormat="1" applyFont="1" applyAlignment="1">
      <alignment horizontal="center" vertical="center"/>
    </xf>
    <xf numFmtId="0" fontId="175" fillId="0" borderId="0" xfId="543" applyFont="1" applyAlignment="1">
      <alignment horizontal="left" vertical="center"/>
    </xf>
    <xf numFmtId="0" fontId="175" fillId="0" borderId="0" xfId="543" applyFont="1" applyAlignment="1">
      <alignment horizontal="right" vertical="top" wrapText="1"/>
    </xf>
    <xf numFmtId="168" fontId="174" fillId="0" borderId="104" xfId="543" applyNumberFormat="1" applyFont="1" applyBorder="1" applyAlignment="1">
      <alignment horizontal="center" vertical="center"/>
    </xf>
    <xf numFmtId="0" fontId="17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4" fillId="52" borderId="113" xfId="0" applyFont="1" applyFill="1" applyBorder="1"/>
    <xf numFmtId="0" fontId="11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60" fillId="0" borderId="0" xfId="698" applyNumberFormat="1" applyFont="1"/>
    <xf numFmtId="0" fontId="177" fillId="0" borderId="0" xfId="0" applyFont="1" applyAlignment="1">
      <alignment horizontal="center"/>
    </xf>
    <xf numFmtId="0" fontId="19" fillId="0" borderId="0" xfId="569" quotePrefix="1"/>
    <xf numFmtId="168" fontId="147" fillId="0" borderId="0" xfId="0" applyNumberFormat="1" applyFont="1" applyAlignment="1">
      <alignment vertical="center" wrapText="1"/>
    </xf>
    <xf numFmtId="168" fontId="17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14" fillId="0" borderId="58" xfId="4496" applyFont="1" applyBorder="1" applyAlignment="1">
      <alignment vertical="center"/>
    </xf>
    <xf numFmtId="0" fontId="26" fillId="0" borderId="5" xfId="4495" applyFont="1" applyBorder="1"/>
    <xf numFmtId="182" fontId="90" fillId="0" borderId="6" xfId="4496" applyNumberFormat="1" applyFont="1" applyBorder="1" applyAlignment="1">
      <alignment vertical="center"/>
    </xf>
    <xf numFmtId="1" fontId="90" fillId="0" borderId="0" xfId="4496" applyNumberFormat="1" applyFont="1" applyAlignment="1">
      <alignment horizontal="right" vertical="top" wrapText="1" indent="1"/>
    </xf>
    <xf numFmtId="3" fontId="90" fillId="43" borderId="6" xfId="4496" applyNumberFormat="1" applyFont="1" applyFill="1" applyBorder="1" applyAlignment="1" applyProtection="1">
      <alignment horizontal="center"/>
      <protection locked="0"/>
    </xf>
    <xf numFmtId="0" fontId="3" fillId="0" borderId="0" xfId="8736"/>
    <xf numFmtId="0" fontId="160" fillId="0" borderId="0" xfId="8736" applyFont="1"/>
    <xf numFmtId="0" fontId="95" fillId="0" borderId="0" xfId="8736" applyFont="1"/>
    <xf numFmtId="0" fontId="3" fillId="47" borderId="66" xfId="8736" applyFill="1" applyBorder="1"/>
    <xf numFmtId="0" fontId="3" fillId="47" borderId="0" xfId="8736" applyFill="1"/>
    <xf numFmtId="0" fontId="94" fillId="47" borderId="0" xfId="8736" applyFont="1" applyFill="1"/>
    <xf numFmtId="0" fontId="94" fillId="47" borderId="41" xfId="8736" applyFont="1" applyFill="1" applyBorder="1" applyAlignment="1">
      <alignment horizontal="center"/>
    </xf>
    <xf numFmtId="182" fontId="165" fillId="47" borderId="0" xfId="8737" applyNumberFormat="1" applyFont="1" applyFill="1" applyBorder="1" applyAlignment="1"/>
    <xf numFmtId="0" fontId="3" fillId="47" borderId="41" xfId="8736" applyFill="1" applyBorder="1"/>
    <xf numFmtId="0" fontId="95" fillId="47" borderId="0" xfId="8736" applyFont="1" applyFill="1"/>
    <xf numFmtId="0" fontId="169" fillId="47" borderId="0" xfId="8736" applyFont="1" applyFill="1"/>
    <xf numFmtId="0" fontId="94" fillId="47" borderId="41" xfId="8736" applyFont="1" applyFill="1" applyBorder="1"/>
    <xf numFmtId="0" fontId="94" fillId="0" borderId="0" xfId="8736" applyFont="1"/>
    <xf numFmtId="0" fontId="157" fillId="0" borderId="0" xfId="8736" applyFont="1"/>
    <xf numFmtId="0" fontId="94" fillId="54" borderId="100" xfId="8736" applyFont="1" applyFill="1" applyBorder="1"/>
    <xf numFmtId="0" fontId="3" fillId="53" borderId="99" xfId="8736" applyFill="1" applyBorder="1"/>
    <xf numFmtId="0" fontId="3" fillId="52" borderId="99" xfId="8736" applyFill="1" applyBorder="1"/>
    <xf numFmtId="0" fontId="9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94" fillId="45" borderId="0" xfId="8736" applyFont="1" applyFill="1"/>
    <xf numFmtId="0" fontId="94" fillId="45" borderId="12" xfId="8736" applyFont="1" applyFill="1" applyBorder="1"/>
    <xf numFmtId="0" fontId="94" fillId="45" borderId="29" xfId="8736" applyFont="1" applyFill="1" applyBorder="1"/>
    <xf numFmtId="0" fontId="94" fillId="45" borderId="80" xfId="8736" applyFont="1" applyFill="1" applyBorder="1"/>
    <xf numFmtId="0" fontId="94" fillId="45" borderId="79" xfId="8736" applyFont="1" applyFill="1" applyBorder="1"/>
    <xf numFmtId="0" fontId="94" fillId="45" borderId="78" xfId="8736" applyFont="1" applyFill="1" applyBorder="1"/>
    <xf numFmtId="0" fontId="94" fillId="45" borderId="93" xfId="8736" applyFont="1" applyFill="1" applyBorder="1"/>
    <xf numFmtId="0" fontId="94" fillId="45" borderId="6" xfId="8736" applyFont="1" applyFill="1" applyBorder="1"/>
    <xf numFmtId="0" fontId="94" fillId="45" borderId="10" xfId="8736" applyFont="1" applyFill="1" applyBorder="1"/>
    <xf numFmtId="0" fontId="160" fillId="44" borderId="0" xfId="8736" applyFont="1" applyFill="1"/>
    <xf numFmtId="10" fontId="160" fillId="44" borderId="0" xfId="1022" applyNumberFormat="1" applyFont="1" applyFill="1"/>
    <xf numFmtId="0" fontId="3" fillId="45" borderId="29" xfId="8736" applyFill="1" applyBorder="1"/>
    <xf numFmtId="0" fontId="3" fillId="45" borderId="31" xfId="8736" applyFill="1" applyBorder="1"/>
    <xf numFmtId="0" fontId="94" fillId="45" borderId="92" xfId="8736" applyFont="1" applyFill="1" applyBorder="1"/>
    <xf numFmtId="0" fontId="94" fillId="45" borderId="74" xfId="8736" applyFont="1" applyFill="1" applyBorder="1"/>
    <xf numFmtId="0" fontId="171" fillId="47" borderId="0" xfId="8736" applyFont="1" applyFill="1"/>
    <xf numFmtId="0" fontId="94" fillId="45" borderId="31" xfId="8736" applyFont="1" applyFill="1" applyBorder="1"/>
    <xf numFmtId="0" fontId="3" fillId="47" borderId="0" xfId="8736" applyFill="1" applyAlignment="1">
      <alignment horizontal="left"/>
    </xf>
    <xf numFmtId="0" fontId="163" fillId="51" borderId="11" xfId="8736" applyFont="1" applyFill="1" applyBorder="1"/>
    <xf numFmtId="0" fontId="163" fillId="51" borderId="76" xfId="8736" applyFont="1" applyFill="1" applyBorder="1"/>
    <xf numFmtId="0" fontId="164" fillId="51" borderId="11" xfId="8736" applyFont="1" applyFill="1" applyBorder="1" applyAlignment="1">
      <alignment horizontal="center"/>
    </xf>
    <xf numFmtId="0" fontId="16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94" fillId="47" borderId="66" xfId="8736" applyFont="1" applyFill="1" applyBorder="1"/>
    <xf numFmtId="49" fontId="9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55" fillId="0" borderId="0" xfId="8736" applyFont="1"/>
    <xf numFmtId="0" fontId="19" fillId="0" borderId="3" xfId="0" applyFont="1" applyBorder="1" applyAlignment="1">
      <alignment horizontal="center"/>
    </xf>
    <xf numFmtId="0" fontId="19" fillId="0" borderId="5" xfId="0" applyFont="1" applyBorder="1" applyAlignment="1">
      <alignment horizontal="center"/>
    </xf>
    <xf numFmtId="0" fontId="19" fillId="0" borderId="4" xfId="0" applyFont="1" applyBorder="1" applyAlignment="1">
      <alignment horizontal="center"/>
    </xf>
    <xf numFmtId="0" fontId="19" fillId="0" borderId="4" xfId="0" applyFont="1" applyBorder="1"/>
    <xf numFmtId="0" fontId="41" fillId="0" borderId="0" xfId="0" applyFont="1"/>
    <xf numFmtId="0" fontId="19" fillId="8" borderId="0" xfId="542" quotePrefix="1" applyFont="1" applyFill="1" applyAlignment="1">
      <alignment horizontal="left"/>
    </xf>
    <xf numFmtId="0" fontId="26" fillId="8" borderId="0" xfId="539" applyFont="1" applyFill="1" applyAlignment="1" applyProtection="1">
      <alignment horizontal="centerContinuous"/>
    </xf>
    <xf numFmtId="0" fontId="19" fillId="8" borderId="0" xfId="542" applyFont="1" applyFill="1"/>
    <xf numFmtId="168" fontId="26" fillId="0" borderId="6" xfId="543" applyNumberFormat="1" applyFont="1" applyBorder="1" applyAlignment="1">
      <alignment horizontal="left"/>
    </xf>
    <xf numFmtId="168" fontId="26" fillId="0" borderId="6" xfId="543" applyNumberFormat="1" applyFont="1" applyBorder="1" applyAlignment="1">
      <alignment horizontal="center"/>
    </xf>
    <xf numFmtId="0" fontId="43" fillId="0" borderId="0" xfId="244" applyFont="1" applyFill="1" applyBorder="1" applyAlignment="1" applyProtection="1">
      <alignment horizontal="left"/>
    </xf>
    <xf numFmtId="0" fontId="19" fillId="0" borderId="0" xfId="0" applyFont="1" applyAlignment="1">
      <alignment horizontal="left" indent="4"/>
    </xf>
    <xf numFmtId="0" fontId="19" fillId="9" borderId="6" xfId="0" applyFont="1" applyFill="1" applyBorder="1"/>
    <xf numFmtId="166" fontId="19" fillId="0" borderId="0" xfId="0" applyNumberFormat="1" applyFont="1" applyAlignment="1">
      <alignment horizontal="left"/>
    </xf>
    <xf numFmtId="166" fontId="19" fillId="0" borderId="0" xfId="0" applyNumberFormat="1" applyFont="1"/>
    <xf numFmtId="168" fontId="19" fillId="0" borderId="0" xfId="0" applyNumberFormat="1" applyFont="1" applyAlignment="1">
      <alignment horizontal="right"/>
    </xf>
    <xf numFmtId="168" fontId="19" fillId="0" borderId="3" xfId="0" applyNumberFormat="1" applyFont="1" applyBorder="1" applyAlignment="1">
      <alignment vertical="top"/>
    </xf>
    <xf numFmtId="168" fontId="19" fillId="0" borderId="4" xfId="0" applyNumberFormat="1" applyFont="1" applyBorder="1" applyAlignment="1">
      <alignment vertical="top"/>
    </xf>
    <xf numFmtId="168" fontId="19" fillId="0" borderId="5" xfId="0" applyNumberFormat="1" applyFont="1" applyBorder="1" applyAlignment="1">
      <alignment vertical="top"/>
    </xf>
    <xf numFmtId="168" fontId="19" fillId="0" borderId="8" xfId="0" applyNumberFormat="1" applyFont="1" applyBorder="1" applyAlignment="1">
      <alignment vertical="top"/>
    </xf>
    <xf numFmtId="168" fontId="19" fillId="0" borderId="0" xfId="0" applyNumberFormat="1" applyFont="1" applyAlignment="1">
      <alignment vertical="top"/>
    </xf>
    <xf numFmtId="0" fontId="19" fillId="0" borderId="0" xfId="0" applyFont="1" applyAlignment="1">
      <alignment horizontal="right" vertical="top"/>
    </xf>
    <xf numFmtId="0" fontId="19" fillId="0" borderId="12" xfId="0" applyFont="1" applyBorder="1" applyAlignment="1">
      <alignment horizontal="right" vertical="top"/>
    </xf>
    <xf numFmtId="0" fontId="19" fillId="5" borderId="4" xfId="0" applyFont="1" applyFill="1" applyBorder="1" applyAlignment="1" applyProtection="1">
      <alignment horizontal="left" vertical="top"/>
      <protection locked="0"/>
    </xf>
    <xf numFmtId="0" fontId="19" fillId="5" borderId="5" xfId="0" applyFont="1" applyFill="1" applyBorder="1" applyAlignment="1" applyProtection="1">
      <alignment horizontal="left" vertical="top"/>
      <protection locked="0"/>
    </xf>
    <xf numFmtId="5" fontId="19" fillId="0" borderId="0" xfId="542" applyNumberFormat="1" applyFont="1"/>
    <xf numFmtId="0" fontId="19" fillId="0" borderId="11" xfId="0" applyFont="1" applyBorder="1" applyAlignment="1">
      <alignment horizontal="left"/>
    </xf>
    <xf numFmtId="0" fontId="19" fillId="0" borderId="7" xfId="0" applyFont="1" applyBorder="1"/>
    <xf numFmtId="0" fontId="19" fillId="0" borderId="12" xfId="0" applyFont="1" applyBorder="1"/>
    <xf numFmtId="0" fontId="19" fillId="0" borderId="10" xfId="0" applyFont="1" applyBorder="1"/>
    <xf numFmtId="0" fontId="29" fillId="0" borderId="0" xfId="543" applyFont="1"/>
    <xf numFmtId="0" fontId="19" fillId="0" borderId="1" xfId="0" applyFont="1" applyBorder="1"/>
    <xf numFmtId="0" fontId="37" fillId="0" borderId="7" xfId="543" applyFont="1" applyBorder="1"/>
    <xf numFmtId="0" fontId="26" fillId="0" borderId="12" xfId="543" applyFont="1" applyBorder="1" applyAlignment="1">
      <alignment horizontal="center" vertical="top"/>
    </xf>
    <xf numFmtId="0" fontId="27" fillId="0" borderId="8" xfId="543" applyFont="1" applyBorder="1" applyAlignment="1">
      <alignment horizontal="left" vertical="top" wrapText="1"/>
    </xf>
    <xf numFmtId="0" fontId="27" fillId="0" borderId="12" xfId="543" applyFont="1" applyBorder="1" applyAlignment="1">
      <alignment horizontal="center" vertical="top" wrapText="1"/>
    </xf>
    <xf numFmtId="0" fontId="27" fillId="0" borderId="1" xfId="543" applyFont="1" applyBorder="1" applyAlignment="1">
      <alignment horizontal="left" vertical="top" wrapText="1"/>
    </xf>
    <xf numFmtId="0" fontId="27" fillId="0" borderId="2" xfId="543" applyFont="1" applyBorder="1" applyAlignment="1">
      <alignment horizontal="center" vertical="top" wrapText="1"/>
    </xf>
    <xf numFmtId="0" fontId="27" fillId="0" borderId="0" xfId="543" applyFont="1" applyAlignment="1">
      <alignment horizontal="center" vertical="top" wrapText="1"/>
    </xf>
    <xf numFmtId="0" fontId="27" fillId="0" borderId="9" xfId="543" applyFont="1" applyBorder="1" applyAlignment="1">
      <alignment horizontal="left" vertical="top" wrapText="1"/>
    </xf>
    <xf numFmtId="0" fontId="27" fillId="0" borderId="6" xfId="543" applyFont="1" applyBorder="1" applyAlignment="1">
      <alignment horizontal="center" vertical="top" wrapText="1"/>
    </xf>
    <xf numFmtId="0" fontId="26" fillId="0" borderId="0" xfId="543" applyFont="1" applyAlignment="1">
      <alignment horizontal="center"/>
    </xf>
    <xf numFmtId="0" fontId="35" fillId="0" borderId="9" xfId="543" applyFont="1" applyBorder="1" applyAlignment="1">
      <alignment horizontal="left" vertical="top" wrapText="1"/>
    </xf>
    <xf numFmtId="0" fontId="19" fillId="0" borderId="15" xfId="0" applyFont="1" applyBorder="1"/>
    <xf numFmtId="0" fontId="35" fillId="0" borderId="8" xfId="543" applyFont="1" applyBorder="1" applyAlignment="1">
      <alignment horizontal="left" vertical="top" wrapText="1"/>
    </xf>
    <xf numFmtId="0" fontId="35" fillId="0" borderId="0" xfId="543" applyFont="1" applyAlignment="1">
      <alignment horizontal="center" vertical="top" wrapText="1"/>
    </xf>
    <xf numFmtId="2" fontId="19" fillId="0" borderId="11" xfId="0" applyNumberFormat="1" applyFont="1" applyBorder="1"/>
    <xf numFmtId="0" fontId="27" fillId="0" borderId="0" xfId="543" applyFont="1" applyAlignment="1">
      <alignment horizontal="center"/>
    </xf>
    <xf numFmtId="0" fontId="35" fillId="0" borderId="4" xfId="543" applyFont="1" applyBorder="1" applyAlignment="1">
      <alignment horizontal="right" vertical="top" wrapText="1"/>
    </xf>
    <xf numFmtId="0" fontId="35" fillId="0" borderId="0" xfId="543" applyFont="1" applyAlignment="1">
      <alignment horizontal="right" vertical="top" wrapText="1"/>
    </xf>
    <xf numFmtId="0" fontId="26" fillId="0" borderId="0" xfId="543" applyFont="1" applyAlignment="1">
      <alignment horizontal="right" vertical="top" wrapText="1"/>
    </xf>
    <xf numFmtId="0" fontId="26" fillId="0" borderId="2" xfId="543" applyFont="1" applyBorder="1" applyAlignment="1">
      <alignment horizontal="right" vertical="top" wrapText="1"/>
    </xf>
    <xf numFmtId="0" fontId="26" fillId="0" borderId="0" xfId="543" applyFont="1" applyAlignment="1">
      <alignment vertical="center" wrapText="1"/>
    </xf>
    <xf numFmtId="0" fontId="27" fillId="0" borderId="0" xfId="543" applyFont="1"/>
    <xf numFmtId="0" fontId="19" fillId="0" borderId="0" xfId="543" applyAlignment="1">
      <alignment horizontal="left"/>
    </xf>
    <xf numFmtId="0" fontId="48" fillId="4" borderId="11" xfId="0" applyFont="1" applyFill="1" applyBorder="1" applyAlignment="1">
      <alignment vertical="top" wrapText="1"/>
    </xf>
    <xf numFmtId="0" fontId="48" fillId="2" borderId="11" xfId="0" applyFont="1" applyFill="1" applyBorder="1" applyAlignment="1">
      <alignment vertical="top" wrapText="1"/>
    </xf>
    <xf numFmtId="168" fontId="48" fillId="6" borderId="11" xfId="0" applyNumberFormat="1" applyFont="1" applyFill="1" applyBorder="1" applyAlignment="1">
      <alignment horizontal="center" vertical="top" wrapText="1"/>
    </xf>
    <xf numFmtId="0" fontId="48" fillId="0" borderId="11" xfId="0" applyFont="1" applyBorder="1" applyAlignment="1">
      <alignment horizontal="right" vertical="top"/>
    </xf>
    <xf numFmtId="168" fontId="48" fillId="0" borderId="11" xfId="0" applyNumberFormat="1" applyFont="1" applyBorder="1" applyAlignment="1">
      <alignment vertical="top"/>
    </xf>
    <xf numFmtId="168" fontId="48" fillId="5" borderId="11" xfId="0" applyNumberFormat="1" applyFont="1" applyFill="1" applyBorder="1" applyAlignment="1" applyProtection="1">
      <alignment vertical="top"/>
      <protection locked="0"/>
    </xf>
    <xf numFmtId="168" fontId="48" fillId="6" borderId="11" xfId="0" applyNumberFormat="1" applyFont="1" applyFill="1" applyBorder="1" applyAlignment="1">
      <alignment horizontal="center" vertical="top"/>
    </xf>
    <xf numFmtId="0" fontId="48" fillId="2" borderId="11" xfId="0" applyFont="1" applyFill="1" applyBorder="1" applyAlignment="1" applyProtection="1">
      <alignment vertical="top"/>
      <protection locked="0"/>
    </xf>
    <xf numFmtId="168" fontId="48" fillId="44" borderId="11" xfId="0" applyNumberFormat="1" applyFont="1" applyFill="1" applyBorder="1" applyAlignment="1">
      <alignment vertical="top" wrapText="1"/>
    </xf>
    <xf numFmtId="0" fontId="48" fillId="0" borderId="0" xfId="0" applyFont="1" applyAlignment="1">
      <alignment horizontal="left" vertical="top"/>
    </xf>
    <xf numFmtId="3" fontId="48" fillId="0" borderId="11" xfId="0" applyNumberFormat="1" applyFont="1" applyBorder="1" applyAlignment="1">
      <alignment vertical="top" wrapText="1"/>
    </xf>
    <xf numFmtId="0" fontId="48" fillId="2" borderId="12" xfId="0" applyFont="1" applyFill="1" applyBorder="1" applyAlignment="1">
      <alignment vertical="top" wrapText="1"/>
    </xf>
    <xf numFmtId="0" fontId="19" fillId="0" borderId="0" xfId="0" applyFont="1" applyAlignment="1">
      <alignment horizontal="right" vertical="top" wrapText="1"/>
    </xf>
    <xf numFmtId="10" fontId="19"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9" fillId="0" borderId="0" xfId="0" applyNumberFormat="1" applyFont="1" applyAlignment="1">
      <alignment horizontal="center"/>
    </xf>
    <xf numFmtId="10" fontId="41" fillId="0" borderId="0" xfId="0" applyNumberFormat="1" applyFont="1" applyAlignment="1">
      <alignment horizontal="center"/>
    </xf>
    <xf numFmtId="172" fontId="19" fillId="5" borderId="0" xfId="0" applyNumberFormat="1" applyFont="1" applyFill="1" applyAlignment="1">
      <alignment horizontal="center"/>
    </xf>
    <xf numFmtId="3" fontId="19" fillId="0" borderId="0" xfId="0" applyNumberFormat="1" applyFont="1" applyAlignment="1">
      <alignment vertical="top"/>
    </xf>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9" fillId="0" borderId="0" xfId="0" applyFont="1" applyAlignment="1">
      <alignment horizontal="left" vertical="top" wrapText="1"/>
    </xf>
    <xf numFmtId="0" fontId="97" fillId="0" borderId="0" xfId="0" applyFont="1" applyAlignment="1">
      <alignment horizontal="left" vertical="top" wrapText="1"/>
    </xf>
    <xf numFmtId="0" fontId="20" fillId="0" borderId="0" xfId="244" applyAlignment="1">
      <alignment horizontal="left" vertical="top"/>
    </xf>
    <xf numFmtId="0" fontId="42" fillId="0" borderId="0" xfId="0" applyFont="1" applyAlignment="1">
      <alignment horizontal="left" vertical="top" wrapText="1"/>
    </xf>
    <xf numFmtId="0" fontId="105" fillId="0" borderId="0" xfId="0" applyFont="1" applyAlignment="1">
      <alignment horizontal="left" wrapText="1"/>
    </xf>
    <xf numFmtId="0" fontId="19" fillId="0" borderId="0" xfId="0" applyFont="1" applyAlignment="1">
      <alignment horizontal="left" wrapText="1"/>
    </xf>
    <xf numFmtId="0" fontId="28" fillId="0" borderId="0" xfId="0" applyFont="1" applyAlignment="1">
      <alignment horizontal="left" wrapText="1"/>
    </xf>
    <xf numFmtId="0" fontId="20" fillId="0" borderId="0" xfId="244" applyAlignment="1" applyProtection="1">
      <alignment horizontal="left"/>
    </xf>
    <xf numFmtId="0" fontId="20" fillId="0" borderId="0" xfId="244" applyAlignment="1"/>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106" fillId="0" borderId="0" xfId="569" applyFont="1" applyAlignment="1">
      <alignment horizontal="center"/>
    </xf>
    <xf numFmtId="0" fontId="10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0" applyFont="1" applyAlignment="1">
      <alignment horizontal="left" vertical="top"/>
    </xf>
    <xf numFmtId="4" fontId="19" fillId="0" borderId="0" xfId="569" applyNumberFormat="1" applyAlignment="1">
      <alignment horizontal="left"/>
    </xf>
    <xf numFmtId="0" fontId="37" fillId="0" borderId="0" xfId="569" applyFont="1" applyAlignment="1">
      <alignment horizontal="left" vertical="top"/>
    </xf>
    <xf numFmtId="4" fontId="37" fillId="0" borderId="0" xfId="0" applyNumberFormat="1" applyFont="1" applyAlignment="1">
      <alignment horizontal="left"/>
    </xf>
    <xf numFmtId="4" fontId="19" fillId="0" borderId="0" xfId="0" applyNumberFormat="1" applyFont="1" applyAlignment="1">
      <alignment horizontal="left"/>
    </xf>
    <xf numFmtId="0" fontId="26" fillId="0" borderId="4" xfId="0" applyFont="1" applyBorder="1" applyAlignment="1">
      <alignment horizontal="left"/>
    </xf>
    <xf numFmtId="0" fontId="37" fillId="0" borderId="0" xfId="0" applyFont="1" applyAlignment="1">
      <alignment horizontal="left" vertical="top"/>
    </xf>
    <xf numFmtId="49" fontId="19" fillId="0" borderId="0" xfId="0" applyNumberFormat="1" applyFont="1" applyAlignment="1">
      <alignment horizontal="left" vertical="top" wrapText="1"/>
    </xf>
    <xf numFmtId="0" fontId="37" fillId="0" borderId="0" xfId="0" applyFont="1" applyAlignment="1">
      <alignment horizontal="left"/>
    </xf>
    <xf numFmtId="0" fontId="19" fillId="0" borderId="0" xfId="0" applyFont="1" applyAlignment="1">
      <alignment horizontal="left"/>
    </xf>
    <xf numFmtId="0" fontId="26" fillId="0" borderId="0" xfId="0" applyFont="1" applyAlignment="1">
      <alignment vertical="top" wrapText="1"/>
    </xf>
    <xf numFmtId="4" fontId="19" fillId="0" borderId="0" xfId="0" applyNumberFormat="1" applyFont="1" applyAlignment="1">
      <alignment horizontal="left" vertical="top" wrapText="1"/>
    </xf>
    <xf numFmtId="0" fontId="19" fillId="0" borderId="0" xfId="0" applyFont="1" applyAlignment="1">
      <alignment horizontal="left" vertical="center" wrapText="1"/>
    </xf>
    <xf numFmtId="0" fontId="19" fillId="0" borderId="0" xfId="569" applyAlignment="1">
      <alignment horizontal="left" wrapText="1"/>
    </xf>
    <xf numFmtId="0" fontId="19" fillId="0" borderId="0" xfId="0" applyFont="1" applyAlignment="1">
      <alignment vertical="top" wrapText="1"/>
    </xf>
    <xf numFmtId="0" fontId="20" fillId="0" borderId="0" xfId="244" applyFill="1" applyBorder="1" applyAlignment="1">
      <alignment horizontal="left" vertical="top" wrapText="1"/>
    </xf>
    <xf numFmtId="0" fontId="19" fillId="0" borderId="0" xfId="0" applyFont="1" applyAlignment="1">
      <alignment vertical="center" wrapText="1"/>
    </xf>
    <xf numFmtId="0" fontId="26" fillId="0" borderId="0" xfId="1192" applyFont="1" applyAlignment="1">
      <alignment horizontal="left" vertical="top" wrapText="1"/>
    </xf>
    <xf numFmtId="4" fontId="19" fillId="0" borderId="0" xfId="569" applyNumberFormat="1" applyAlignment="1">
      <alignment horizontal="left" vertical="top" wrapText="1"/>
    </xf>
    <xf numFmtId="0" fontId="19" fillId="0" borderId="0" xfId="569" applyAlignment="1">
      <alignment horizontal="left" vertical="top" wrapText="1"/>
    </xf>
    <xf numFmtId="0" fontId="26" fillId="0" borderId="4" xfId="569" applyFont="1" applyBorder="1" applyAlignment="1">
      <alignment horizontal="left"/>
    </xf>
    <xf numFmtId="0" fontId="19" fillId="0" borderId="0" xfId="569" applyAlignment="1">
      <alignment horizontal="left"/>
    </xf>
    <xf numFmtId="0" fontId="37" fillId="0" borderId="0" xfId="569" applyFont="1" applyAlignment="1">
      <alignment horizontal="left"/>
    </xf>
    <xf numFmtId="0" fontId="26" fillId="0" borderId="4" xfId="569" applyFont="1" applyBorder="1" applyAlignment="1">
      <alignment horizontal="left" vertical="top"/>
    </xf>
    <xf numFmtId="0" fontId="20" fillId="0" borderId="0" xfId="244" quotePrefix="1" applyAlignment="1" applyProtection="1">
      <alignment horizontal="left"/>
    </xf>
    <xf numFmtId="0" fontId="19" fillId="0" borderId="0" xfId="569" applyAlignment="1">
      <alignment horizontal="left" vertical="top"/>
    </xf>
    <xf numFmtId="0" fontId="19" fillId="0" borderId="0" xfId="0" quotePrefix="1" applyFont="1" applyAlignment="1">
      <alignment horizontal="left" vertical="top"/>
    </xf>
    <xf numFmtId="0" fontId="37" fillId="0" borderId="0" xfId="0" applyFont="1" applyAlignment="1">
      <alignment horizontal="left" vertical="top" wrapText="1"/>
    </xf>
    <xf numFmtId="0" fontId="19" fillId="0" borderId="0" xfId="0" quotePrefix="1" applyFont="1" applyAlignment="1">
      <alignment horizontal="left" vertical="top" wrapText="1"/>
    </xf>
    <xf numFmtId="0" fontId="19" fillId="0" borderId="0" xfId="1192"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4" fontId="19" fillId="0" borderId="0" xfId="1192" applyNumberFormat="1" applyAlignment="1">
      <alignment horizontal="left" vertical="top" wrapText="1"/>
    </xf>
    <xf numFmtId="0" fontId="19" fillId="0" borderId="0" xfId="569" applyAlignment="1">
      <alignmen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0" fontId="37" fillId="0" borderId="0" xfId="569" applyFont="1" applyAlignment="1">
      <alignment horizontal="left" vertical="top" wrapText="1"/>
    </xf>
    <xf numFmtId="0" fontId="19" fillId="0" borderId="27" xfId="569" applyBorder="1" applyAlignment="1">
      <alignment horizontal="left"/>
    </xf>
    <xf numFmtId="0" fontId="26" fillId="0" borderId="0" xfId="569" applyFont="1" applyAlignment="1">
      <alignment horizontal="center"/>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49" fontId="19" fillId="0" borderId="0" xfId="1192" applyNumberFormat="1" applyAlignment="1">
      <alignment horizontal="left" vertical="top" wrapText="1"/>
    </xf>
    <xf numFmtId="0" fontId="19" fillId="0" borderId="0" xfId="569" applyAlignment="1">
      <alignment horizontal="left" vertical="center" wrapText="1"/>
    </xf>
    <xf numFmtId="0" fontId="26" fillId="0" borderId="0" xfId="0" applyFont="1" applyAlignment="1">
      <alignment horizontal="left" vertical="top"/>
    </xf>
    <xf numFmtId="0" fontId="26" fillId="0" borderId="0" xfId="569" applyFont="1" applyAlignment="1">
      <alignment horizontal="left"/>
    </xf>
    <xf numFmtId="0" fontId="37" fillId="0" borderId="0" xfId="1192" applyFont="1" applyAlignment="1">
      <alignment horizontal="left"/>
    </xf>
    <xf numFmtId="0" fontId="20" fillId="0" borderId="0" xfId="244" applyAlignment="1" applyProtection="1">
      <alignment horizontal="left" vertical="top" wrapText="1"/>
    </xf>
    <xf numFmtId="0" fontId="37" fillId="0" borderId="0" xfId="569" applyFon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0" fontId="0" fillId="0" borderId="0" xfId="0" applyAlignment="1">
      <alignment horizontal="center"/>
    </xf>
    <xf numFmtId="0" fontId="0" fillId="5" borderId="6" xfId="0" applyFill="1" applyBorder="1" applyAlignment="1" applyProtection="1">
      <alignment horizontal="center"/>
      <protection locked="0"/>
    </xf>
    <xf numFmtId="0" fontId="19" fillId="0" borderId="0" xfId="543" applyAlignment="1">
      <alignment horizontal="center"/>
    </xf>
    <xf numFmtId="0" fontId="19" fillId="0" borderId="0" xfId="543" applyAlignment="1">
      <alignment wrapText="1"/>
    </xf>
    <xf numFmtId="0" fontId="26" fillId="0" borderId="4" xfId="543" applyFont="1" applyBorder="1" applyAlignment="1">
      <alignment horizontal="right" vertical="top" wrapText="1"/>
    </xf>
    <xf numFmtId="0" fontId="26" fillId="0" borderId="5" xfId="543" applyFont="1" applyBorder="1" applyAlignment="1">
      <alignment horizontal="right" vertical="top" wrapText="1"/>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27" fillId="5" borderId="3" xfId="543" applyFont="1" applyFill="1" applyBorder="1" applyAlignment="1" applyProtection="1">
      <alignment horizontal="center"/>
      <protection locked="0"/>
    </xf>
    <xf numFmtId="0" fontId="27" fillId="5" borderId="5" xfId="543" applyFont="1" applyFill="1" applyBorder="1" applyAlignment="1" applyProtection="1">
      <alignment horizontal="center"/>
      <protection locked="0"/>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25" fillId="3" borderId="0" xfId="0" applyFont="1" applyFill="1" applyAlignment="1">
      <alignment horizontal="center" vertical="center"/>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26" fillId="0" borderId="0" xfId="0" applyFont="1" applyAlignment="1">
      <alignment horizontal="center"/>
    </xf>
    <xf numFmtId="0" fontId="150" fillId="0" borderId="8" xfId="543" applyFont="1" applyBorder="1" applyAlignment="1">
      <alignment horizontal="center" wrapText="1"/>
    </xf>
    <xf numFmtId="0" fontId="150" fillId="0" borderId="0" xfId="543" applyFont="1" applyAlignment="1">
      <alignment horizontal="center" wrapText="1"/>
    </xf>
    <xf numFmtId="0" fontId="150" fillId="0" borderId="12" xfId="543" applyFont="1" applyBorder="1" applyAlignment="1">
      <alignment horizontal="center" wrapText="1"/>
    </xf>
    <xf numFmtId="0" fontId="150" fillId="0" borderId="9" xfId="543" applyFont="1" applyBorder="1" applyAlignment="1">
      <alignment horizontal="center" wrapText="1"/>
    </xf>
    <xf numFmtId="0" fontId="150" fillId="0" borderId="6" xfId="543" applyFont="1" applyBorder="1" applyAlignment="1">
      <alignment horizontal="center" wrapText="1"/>
    </xf>
    <xf numFmtId="0" fontId="150" fillId="0" borderId="10" xfId="543" applyFont="1" applyBorder="1" applyAlignment="1">
      <alignment horizontal="center" wrapText="1"/>
    </xf>
    <xf numFmtId="0" fontId="150" fillId="0" borderId="8" xfId="543" applyFont="1" applyBorder="1" applyAlignment="1">
      <alignment horizontal="center" vertical="top" wrapText="1"/>
    </xf>
    <xf numFmtId="0" fontId="150" fillId="0" borderId="0" xfId="543" applyFont="1" applyAlignment="1">
      <alignment horizontal="center" vertical="top" wrapText="1"/>
    </xf>
    <xf numFmtId="0" fontId="150" fillId="0" borderId="12" xfId="543" applyFont="1" applyBorder="1" applyAlignment="1">
      <alignment horizontal="center" vertical="top" wrapText="1"/>
    </xf>
    <xf numFmtId="0" fontId="150" fillId="0" borderId="9" xfId="543" applyFont="1" applyBorder="1" applyAlignment="1">
      <alignment horizontal="center" vertical="top" wrapText="1"/>
    </xf>
    <xf numFmtId="0" fontId="150" fillId="0" borderId="6" xfId="543" applyFont="1" applyBorder="1" applyAlignment="1">
      <alignment horizontal="center" vertical="top" wrapText="1"/>
    </xf>
    <xf numFmtId="0" fontId="150" fillId="0" borderId="10" xfId="543" applyFont="1" applyBorder="1" applyAlignment="1">
      <alignment horizontal="center" vertical="top" wrapText="1"/>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19" fillId="0" borderId="11" xfId="543" applyNumberFormat="1" applyBorder="1" applyAlignment="1">
      <alignment horizontal="center"/>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0" borderId="1" xfId="0" applyFont="1" applyBorder="1" applyAlignment="1">
      <alignment horizontal="center" vertical="top" wrapText="1"/>
    </xf>
    <xf numFmtId="0" fontId="19" fillId="0" borderId="2" xfId="0" applyFont="1" applyBorder="1" applyAlignment="1">
      <alignment horizontal="center" vertical="top" wrapText="1"/>
    </xf>
    <xf numFmtId="0" fontId="19" fillId="0" borderId="7" xfId="0" applyFont="1" applyBorder="1" applyAlignment="1">
      <alignment horizontal="center" vertical="top" wrapText="1"/>
    </xf>
    <xf numFmtId="0" fontId="19" fillId="0" borderId="8" xfId="0" applyFont="1" applyBorder="1" applyAlignment="1">
      <alignment horizontal="center" vertical="top" wrapText="1"/>
    </xf>
    <xf numFmtId="0" fontId="19" fillId="0" borderId="0" xfId="0" applyFont="1" applyAlignment="1">
      <alignment horizontal="center" vertical="top" wrapText="1"/>
    </xf>
    <xf numFmtId="0" fontId="19" fillId="0" borderId="12" xfId="0" applyFont="1" applyBorder="1" applyAlignment="1">
      <alignment horizontal="center" vertical="top" wrapText="1"/>
    </xf>
    <xf numFmtId="0" fontId="19" fillId="0" borderId="9" xfId="0" applyFont="1" applyBorder="1" applyAlignment="1">
      <alignment horizontal="center" vertical="top" wrapText="1"/>
    </xf>
    <xf numFmtId="0" fontId="19" fillId="0" borderId="6" xfId="0" applyFont="1" applyBorder="1" applyAlignment="1">
      <alignment horizontal="center" vertical="top" wrapText="1"/>
    </xf>
    <xf numFmtId="0" fontId="19" fillId="0" borderId="10" xfId="0" applyFont="1" applyBorder="1" applyAlignment="1">
      <alignment horizontal="center" vertical="top"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5" fontId="19" fillId="0" borderId="1" xfId="0" applyNumberFormat="1" applyFont="1" applyBorder="1" applyAlignment="1">
      <alignment horizontal="right"/>
    </xf>
    <xf numFmtId="165" fontId="19" fillId="0" borderId="2" xfId="0" applyNumberFormat="1" applyFont="1" applyBorder="1" applyAlignment="1">
      <alignment horizontal="right"/>
    </xf>
    <xf numFmtId="165" fontId="19" fillId="0" borderId="7" xfId="0" applyNumberFormat="1" applyFont="1" applyBorder="1" applyAlignment="1">
      <alignment horizontal="right"/>
    </xf>
    <xf numFmtId="0" fontId="147" fillId="0" borderId="0" xfId="0" applyFont="1" applyAlignment="1">
      <alignment horizontal="center" vertic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6" fillId="0" borderId="11" xfId="0" applyFont="1" applyBorder="1" applyAlignment="1">
      <alignment horizontal="center" vertical="center" wrapText="1"/>
    </xf>
    <xf numFmtId="0" fontId="19"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wrapText="1"/>
      <protection locked="0"/>
    </xf>
    <xf numFmtId="168" fontId="19" fillId="0" borderId="3" xfId="0" applyNumberFormat="1" applyFont="1" applyBorder="1" applyAlignment="1">
      <alignment horizontal="center"/>
    </xf>
    <xf numFmtId="168" fontId="19" fillId="0" borderId="4" xfId="0" applyNumberFormat="1" applyFont="1" applyBorder="1" applyAlignment="1">
      <alignment horizontal="center"/>
    </xf>
    <xf numFmtId="168" fontId="19" fillId="0" borderId="5" xfId="0" applyNumberFormat="1" applyFont="1" applyBorder="1" applyAlignment="1">
      <alignment horizontal="center"/>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19" fillId="5" borderId="9"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19" fillId="5" borderId="11" xfId="0" applyFont="1" applyFill="1" applyBorder="1" applyAlignment="1" applyProtection="1">
      <alignment horizontal="left" vertical="center" wrapText="1"/>
      <protection locked="0"/>
    </xf>
    <xf numFmtId="0" fontId="26" fillId="0" borderId="11" xfId="0" applyFont="1" applyBorder="1" applyAlignment="1">
      <alignment horizontal="center" vertical="center"/>
    </xf>
    <xf numFmtId="14" fontId="0" fillId="5" borderId="6"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45"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wrapText="1"/>
    </xf>
    <xf numFmtId="0" fontId="19" fillId="0" borderId="0" xfId="0" applyFont="1" applyAlignment="1">
      <alignment horizontal="center" vertical="top"/>
    </xf>
    <xf numFmtId="0" fontId="19" fillId="5" borderId="6" xfId="0" applyFont="1" applyFill="1" applyBorder="1" applyAlignment="1" applyProtection="1">
      <alignment horizontal="left"/>
      <protection locked="0"/>
    </xf>
    <xf numFmtId="168" fontId="19" fillId="0" borderId="6" xfId="0" applyNumberFormat="1" applyFont="1" applyBorder="1" applyAlignment="1">
      <alignment horizontal="center"/>
    </xf>
    <xf numFmtId="0" fontId="19" fillId="5" borderId="6" xfId="0" applyFont="1" applyFill="1" applyBorder="1" applyAlignment="1" applyProtection="1">
      <alignment horizontal="left" wrapText="1"/>
      <protection locked="0"/>
    </xf>
    <xf numFmtId="0" fontId="27" fillId="0" borderId="0" xfId="0" applyFont="1" applyAlignment="1">
      <alignment horizontal="center"/>
    </xf>
    <xf numFmtId="166" fontId="19" fillId="5" borderId="6" xfId="0" applyNumberFormat="1" applyFont="1" applyFill="1" applyBorder="1" applyAlignment="1" applyProtection="1">
      <alignment horizontal="left"/>
      <protection locked="0"/>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 fontId="19" fillId="5" borderId="3" xfId="0" applyNumberFormat="1" applyFont="1" applyFill="1" applyBorder="1" applyAlignment="1" applyProtection="1">
      <alignment horizontal="right" vertical="top"/>
      <protection locked="0"/>
    </xf>
    <xf numFmtId="1" fontId="19" fillId="5" borderId="4" xfId="0" applyNumberFormat="1" applyFont="1" applyFill="1" applyBorder="1" applyAlignment="1" applyProtection="1">
      <alignment horizontal="right" vertical="top"/>
      <protection locked="0"/>
    </xf>
    <xf numFmtId="1" fontId="19"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11" xfId="0" applyBorder="1" applyAlignment="1">
      <alignment horizontal="center"/>
    </xf>
    <xf numFmtId="0" fontId="26" fillId="0" borderId="3" xfId="0" applyFont="1" applyBorder="1" applyAlignment="1">
      <alignment horizontal="right"/>
    </xf>
    <xf numFmtId="0" fontId="26" fillId="0" borderId="4" xfId="0" applyFont="1" applyBorder="1" applyAlignment="1">
      <alignment horizontal="right"/>
    </xf>
    <xf numFmtId="0" fontId="26" fillId="0" borderId="5" xfId="0" applyFont="1" applyBorder="1" applyAlignment="1">
      <alignment horizontal="right"/>
    </xf>
    <xf numFmtId="0" fontId="26" fillId="0" borderId="9" xfId="0" applyFont="1" applyBorder="1" applyAlignment="1">
      <alignment horizontal="center"/>
    </xf>
    <xf numFmtId="0" fontId="26" fillId="0" borderId="6"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45" borderId="11" xfId="0" applyFont="1" applyFill="1" applyBorder="1" applyAlignment="1">
      <alignment horizontal="center"/>
    </xf>
    <xf numFmtId="0" fontId="19" fillId="0" borderId="11" xfId="0" applyFont="1" applyBorder="1" applyAlignment="1">
      <alignment horizontal="center"/>
    </xf>
    <xf numFmtId="0" fontId="19" fillId="45" borderId="3" xfId="0" applyFont="1" applyFill="1" applyBorder="1" applyAlignment="1">
      <alignment horizontal="center"/>
    </xf>
    <xf numFmtId="0" fontId="19" fillId="45" borderId="4" xfId="0" applyFont="1" applyFill="1" applyBorder="1" applyAlignment="1">
      <alignment horizontal="center"/>
    </xf>
    <xf numFmtId="0" fontId="19" fillId="45" borderId="5" xfId="0" applyFont="1" applyFill="1" applyBorder="1" applyAlignment="1">
      <alignment horizontal="center"/>
    </xf>
    <xf numFmtId="0" fontId="19" fillId="0" borderId="3" xfId="0" applyFont="1" applyBorder="1" applyAlignment="1">
      <alignment horizontal="center"/>
    </xf>
    <xf numFmtId="0" fontId="19" fillId="0" borderId="5" xfId="0" applyFont="1" applyBorder="1" applyAlignment="1">
      <alignment horizontal="center"/>
    </xf>
    <xf numFmtId="0" fontId="19" fillId="0" borderId="4" xfId="0" applyFont="1" applyBorder="1" applyAlignment="1">
      <alignment horizontal="center"/>
    </xf>
    <xf numFmtId="0" fontId="19" fillId="2" borderId="11" xfId="0" applyFont="1" applyFill="1" applyBorder="1" applyAlignment="1">
      <alignment horizontal="center"/>
    </xf>
    <xf numFmtId="0" fontId="19"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9" fillId="5" borderId="3" xfId="543" applyFill="1" applyBorder="1" applyAlignment="1" applyProtection="1">
      <alignment horizontal="left" vertical="top" wrapText="1"/>
      <protection locked="0"/>
    </xf>
    <xf numFmtId="0" fontId="19" fillId="5" borderId="4" xfId="543" applyFill="1" applyBorder="1" applyAlignment="1" applyProtection="1">
      <alignment horizontal="left" vertical="top" wrapText="1"/>
      <protection locked="0"/>
    </xf>
    <xf numFmtId="0" fontId="19" fillId="5" borderId="5" xfId="543" applyFill="1" applyBorder="1" applyAlignment="1" applyProtection="1">
      <alignment horizontal="left" vertical="top" wrapText="1"/>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7" fillId="5" borderId="9" xfId="543" applyFont="1" applyFill="1" applyBorder="1" applyAlignment="1" applyProtection="1">
      <alignment horizontal="center"/>
      <protection locked="0"/>
    </xf>
    <xf numFmtId="0" fontId="27" fillId="5" borderId="10" xfId="543" applyFont="1" applyFill="1" applyBorder="1" applyAlignment="1" applyProtection="1">
      <alignment horizontal="center"/>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43" fillId="0" borderId="8" xfId="543" applyFont="1" applyBorder="1" applyAlignment="1">
      <alignment horizontal="center" vertical="center" wrapText="1"/>
    </xf>
    <xf numFmtId="0" fontId="143" fillId="0" borderId="0" xfId="543" applyFont="1" applyAlignment="1">
      <alignment horizontal="center" vertical="center" wrapText="1"/>
    </xf>
    <xf numFmtId="0" fontId="143" fillId="0" borderId="12" xfId="543" applyFont="1" applyBorder="1" applyAlignment="1">
      <alignment horizontal="center" vertical="center" wrapText="1"/>
    </xf>
    <xf numFmtId="182" fontId="27" fillId="43" borderId="11" xfId="8721" applyNumberFormat="1" applyFont="1" applyFill="1" applyBorder="1" applyAlignment="1" applyProtection="1">
      <alignment horizontal="center" vertical="center" wrapText="1"/>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9" fillId="0" borderId="3" xfId="0" applyFont="1" applyBorder="1"/>
    <xf numFmtId="0" fontId="19" fillId="0" borderId="4" xfId="0" applyFont="1" applyBorder="1"/>
    <xf numFmtId="0" fontId="19" fillId="0" borderId="5" xfId="0" applyFont="1" applyBorder="1"/>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26" fillId="0" borderId="1" xfId="543" applyFont="1" applyBorder="1" applyAlignment="1">
      <alignment horizontal="right"/>
    </xf>
    <xf numFmtId="0" fontId="26" fillId="0" borderId="2" xfId="543" applyFont="1" applyBorder="1" applyAlignment="1">
      <alignment horizontal="right"/>
    </xf>
    <xf numFmtId="0" fontId="26" fillId="0" borderId="7" xfId="543" applyFont="1" applyBorder="1" applyAlignment="1">
      <alignment horizontal="right"/>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26" fillId="0" borderId="1" xfId="0" applyFont="1" applyBorder="1" applyAlignment="1">
      <alignment horizontal="center" wrapText="1"/>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9" xfId="0" applyFont="1" applyBorder="1" applyAlignment="1">
      <alignment horizontal="center" wrapText="1"/>
    </xf>
    <xf numFmtId="0" fontId="26" fillId="0" borderId="6"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27" fillId="5" borderId="3" xfId="543" applyFont="1" applyFill="1" applyBorder="1" applyAlignment="1" applyProtection="1">
      <alignment horizontal="center" vertical="top"/>
      <protection locked="0"/>
    </xf>
    <xf numFmtId="0" fontId="27" fillId="5" borderId="5" xfId="543" applyFont="1" applyFill="1" applyBorder="1" applyAlignment="1" applyProtection="1">
      <alignment horizontal="center" vertical="top"/>
      <protection locked="0"/>
    </xf>
    <xf numFmtId="168" fontId="0" fillId="0" borderId="11" xfId="0" applyNumberFormat="1" applyBorder="1" applyAlignment="1">
      <alignment horizontal="center"/>
    </xf>
    <xf numFmtId="0" fontId="26" fillId="0" borderId="7" xfId="0" applyFont="1" applyBorder="1" applyAlignment="1">
      <alignment horizontal="center" wrapText="1"/>
    </xf>
    <xf numFmtId="0" fontId="26" fillId="0" borderId="10" xfId="0" applyFont="1"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Alignment="1" applyProtection="1">
      <alignment horizontal="center"/>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1" fontId="19" fillId="5" borderId="11" xfId="0" applyNumberFormat="1" applyFont="1" applyFill="1" applyBorder="1" applyAlignment="1" applyProtection="1">
      <alignment horizontal="center"/>
      <protection locked="0"/>
    </xf>
    <xf numFmtId="0" fontId="19" fillId="0" borderId="11" xfId="0" applyFont="1" applyBorder="1" applyAlignment="1">
      <alignment horizontal="center" vertical="top" wrapText="1"/>
    </xf>
    <xf numFmtId="0" fontId="26" fillId="0" borderId="12" xfId="0" applyFont="1" applyBorder="1" applyAlignment="1">
      <alignment horizontal="center" wrapText="1"/>
    </xf>
    <xf numFmtId="0" fontId="19" fillId="43" borderId="11" xfId="0" applyFont="1" applyFill="1" applyBorder="1" applyAlignment="1" applyProtection="1">
      <alignment horizontal="center"/>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19" fillId="0" borderId="4" xfId="0" applyNumberFormat="1" applyFont="1" applyBorder="1" applyAlignment="1">
      <alignment horizontal="center"/>
    </xf>
    <xf numFmtId="1" fontId="19" fillId="0" borderId="5" xfId="0" applyNumberFormat="1" applyFont="1" applyBorder="1" applyAlignment="1">
      <alignment horizontal="center"/>
    </xf>
    <xf numFmtId="0" fontId="28" fillId="5" borderId="6" xfId="271" applyFill="1" applyBorder="1" applyProtection="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9" fontId="19" fillId="5" borderId="3" xfId="0" applyNumberFormat="1" applyFont="1" applyFill="1" applyBorder="1" applyAlignment="1" applyProtection="1">
      <alignment horizontal="right"/>
      <protection locked="0"/>
    </xf>
    <xf numFmtId="2" fontId="19" fillId="0" borderId="0" xfId="543" applyNumberFormat="1" applyAlignment="1">
      <alignment horizontal="center"/>
    </xf>
    <xf numFmtId="168" fontId="0" fillId="5" borderId="11" xfId="0" applyNumberFormat="1" applyFill="1" applyBorder="1" applyProtection="1">
      <protection locked="0"/>
    </xf>
    <xf numFmtId="0" fontId="19"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27" fillId="5" borderId="3" xfId="543" applyFont="1" applyFill="1" applyBorder="1" applyAlignment="1">
      <alignment horizontal="center"/>
    </xf>
    <xf numFmtId="0" fontId="27" fillId="5" borderId="4" xfId="543" applyFont="1" applyFill="1" applyBorder="1" applyAlignment="1">
      <alignment horizontal="center"/>
    </xf>
    <xf numFmtId="0" fontId="27"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71" fontId="19" fillId="0" borderId="0" xfId="543" applyNumberFormat="1" applyAlignment="1">
      <alignment horizontal="center"/>
    </xf>
    <xf numFmtId="0" fontId="26"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26" fillId="0" borderId="1"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9" xfId="0" applyFont="1" applyBorder="1" applyAlignment="1">
      <alignment horizontal="right"/>
    </xf>
    <xf numFmtId="0" fontId="26" fillId="0" borderId="6" xfId="0" applyFont="1" applyBorder="1" applyAlignment="1">
      <alignment horizontal="right"/>
    </xf>
    <xf numFmtId="0" fontId="26" fillId="0" borderId="10" xfId="0" applyFont="1" applyBorder="1" applyAlignment="1">
      <alignment horizontal="right"/>
    </xf>
    <xf numFmtId="0" fontId="19" fillId="5" borderId="11" xfId="0" applyFont="1" applyFill="1" applyBorder="1" applyAlignment="1" applyProtection="1">
      <alignment horizontal="left" wrapText="1"/>
      <protection locked="0"/>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49" fillId="0" borderId="1"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7"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0" xfId="0" applyFont="1" applyAlignment="1">
      <alignment horizontal="center" vertical="center" wrapText="1"/>
    </xf>
    <xf numFmtId="0" fontId="49" fillId="0" borderId="12" xfId="0" applyFont="1" applyBorder="1" applyAlignment="1">
      <alignment horizontal="center" vertical="center" wrapText="1"/>
    </xf>
    <xf numFmtId="0" fontId="49" fillId="0" borderId="9" xfId="0" applyFont="1" applyBorder="1" applyAlignment="1">
      <alignment horizontal="center" vertical="center" wrapText="1"/>
    </xf>
    <xf numFmtId="0" fontId="49" fillId="0" borderId="6" xfId="0" applyFont="1" applyBorder="1" applyAlignment="1">
      <alignment horizontal="center" vertical="center" wrapText="1"/>
    </xf>
    <xf numFmtId="0" fontId="49" fillId="0" borderId="10" xfId="0" applyFont="1" applyBorder="1" applyAlignment="1">
      <alignment horizontal="center" vertical="center" wrapText="1"/>
    </xf>
    <xf numFmtId="0" fontId="0" fillId="0" borderId="12" xfId="0" applyBorder="1" applyAlignment="1">
      <alignment horizontal="center"/>
    </xf>
    <xf numFmtId="0" fontId="0" fillId="43" borderId="4" xfId="0"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2" fontId="26" fillId="0" borderId="1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0" fontId="26" fillId="0" borderId="0" xfId="0" applyFont="1" applyAlignment="1">
      <alignment horizontal="center" vertical="center"/>
    </xf>
    <xf numFmtId="168" fontId="0" fillId="0" borderId="11" xfId="0" applyNumberFormat="1" applyBorder="1"/>
    <xf numFmtId="0" fontId="19" fillId="5" borderId="3" xfId="0" applyFont="1" applyFill="1" applyBorder="1" applyProtection="1">
      <protection locked="0"/>
    </xf>
    <xf numFmtId="0" fontId="19" fillId="0" borderId="4" xfId="0" applyFont="1" applyBorder="1" applyProtection="1">
      <protection locked="0"/>
    </xf>
    <xf numFmtId="0" fontId="19"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9" fillId="0" borderId="0" xfId="543" applyNumberFormat="1" applyAlignment="1">
      <alignment horizontal="right"/>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168" fontId="147"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9" fillId="0" borderId="4" xfId="0" applyFont="1" applyBorder="1" applyAlignment="1">
      <alignment horizontal="left"/>
    </xf>
    <xf numFmtId="0" fontId="19" fillId="0" borderId="5" xfId="0" applyFont="1" applyBorder="1" applyAlignment="1">
      <alignment horizontal="left"/>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9"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27" fillId="43" borderId="6" xfId="0" applyFont="1" applyFill="1" applyBorder="1" applyAlignment="1" applyProtection="1">
      <alignment horizontal="left"/>
      <protection locked="0"/>
    </xf>
    <xf numFmtId="2" fontId="0" fillId="0" borderId="6" xfId="0" applyNumberFormat="1" applyBorder="1" applyAlignment="1">
      <alignment horizontal="center"/>
    </xf>
    <xf numFmtId="180" fontId="0" fillId="0" borderId="6" xfId="0" applyNumberFormat="1" applyBorder="1" applyAlignment="1">
      <alignment horizontal="center"/>
    </xf>
    <xf numFmtId="14" fontId="19"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left"/>
      <protection locked="0"/>
    </xf>
    <xf numFmtId="0" fontId="19" fillId="43" borderId="6" xfId="0" applyFont="1" applyFill="1" applyBorder="1" applyAlignment="1" applyProtection="1">
      <alignment horizontal="left"/>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68" fontId="19" fillId="0" borderId="3" xfId="0" applyNumberFormat="1" applyFont="1" applyBorder="1" applyAlignment="1">
      <alignment horizontal="left" vertical="top"/>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0" fontId="19"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166" fontId="28" fillId="5" borderId="6" xfId="271" applyNumberForma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9" fillId="0" borderId="0" xfId="271" applyFont="1" applyAlignment="1">
      <alignment horizontal="left" vertical="top" wrapText="1"/>
    </xf>
    <xf numFmtId="0" fontId="19"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9" fillId="55" borderId="6" xfId="244" applyFont="1" applyFill="1" applyBorder="1" applyAlignment="1" applyProtection="1">
      <alignment horizontal="left"/>
      <protection locked="0"/>
    </xf>
    <xf numFmtId="0" fontId="19" fillId="0" borderId="0" xfId="0" applyFont="1" applyAlignment="1" applyProtection="1">
      <alignment horizontal="lef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144"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0" fontId="19" fillId="5" borderId="0" xfId="244" applyFont="1" applyFill="1" applyBorder="1" applyAlignment="1" applyProtection="1">
      <alignment horizontal="left"/>
      <protection locked="0"/>
    </xf>
    <xf numFmtId="0" fontId="0" fillId="5" borderId="6" xfId="0" applyFill="1" applyBorder="1" applyProtection="1">
      <protection locked="0"/>
    </xf>
    <xf numFmtId="0" fontId="19"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19" fillId="43" borderId="4" xfId="0" applyFont="1" applyFill="1" applyBorder="1" applyAlignment="1" applyProtection="1">
      <alignment horizontal="left" wrapText="1"/>
      <protection locked="0"/>
    </xf>
    <xf numFmtId="168" fontId="0" fillId="43" borderId="6" xfId="0" applyNumberForma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9" fillId="5" borderId="0" xfId="0" applyFont="1" applyFill="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 fontId="19"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0" fontId="0" fillId="5" borderId="4" xfId="0"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19" fillId="0" borderId="11" xfId="0" applyNumberFormat="1" applyFont="1" applyBorder="1" applyAlignment="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9" fillId="0" borderId="11" xfId="0" applyNumberFormat="1" applyFont="1" applyBorder="1" applyAlignment="1">
      <alignment horizontal="center"/>
    </xf>
    <xf numFmtId="0" fontId="26" fillId="0" borderId="10" xfId="0" applyFont="1" applyBorder="1" applyAlignment="1">
      <alignment horizontal="center"/>
    </xf>
    <xf numFmtId="168" fontId="175" fillId="0" borderId="105" xfId="543" applyNumberFormat="1" applyFont="1" applyBorder="1" applyAlignment="1">
      <alignment horizontal="right" vertical="center" wrapText="1"/>
    </xf>
    <xf numFmtId="175" fontId="175" fillId="0" borderId="107" xfId="543" applyNumberFormat="1" applyFont="1" applyBorder="1" applyAlignment="1">
      <alignment horizontal="center" vertical="center" wrapText="1"/>
    </xf>
    <xf numFmtId="175" fontId="175" fillId="0" borderId="108" xfId="543" applyNumberFormat="1" applyFont="1" applyBorder="1" applyAlignment="1">
      <alignment horizontal="center" vertical="center" wrapText="1"/>
    </xf>
    <xf numFmtId="175" fontId="175" fillId="0" borderId="109" xfId="543" applyNumberFormat="1" applyFont="1" applyBorder="1" applyAlignment="1">
      <alignment horizontal="center" vertical="center" wrapText="1"/>
    </xf>
    <xf numFmtId="0" fontId="17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5" xfId="0" applyFont="1" applyFill="1" applyBorder="1" applyAlignment="1">
      <alignment horizontal="center" vertical="top"/>
    </xf>
    <xf numFmtId="0" fontId="19" fillId="0" borderId="6" xfId="0" applyFont="1" applyBorder="1" applyAlignment="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lignment vertical="top" wrapText="1"/>
    </xf>
    <xf numFmtId="0" fontId="48" fillId="0" borderId="0" xfId="0" applyFont="1" applyAlignment="1">
      <alignment vertical="top" wrapText="1"/>
    </xf>
    <xf numFmtId="0" fontId="19" fillId="0" borderId="2" xfId="0" applyFont="1" applyBorder="1" applyAlignment="1">
      <alignment horizontal="left" vertical="top" wrapText="1"/>
    </xf>
    <xf numFmtId="0" fontId="49" fillId="0" borderId="0" xfId="0" applyFont="1" applyAlignment="1">
      <alignment vertical="top" wrapText="1"/>
    </xf>
    <xf numFmtId="0" fontId="19" fillId="0" borderId="6" xfId="0" applyFont="1" applyBorder="1" applyAlignment="1">
      <alignment horizontal="right" vertical="top" wrapText="1"/>
    </xf>
    <xf numFmtId="0" fontId="49"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60" fillId="44" borderId="80" xfId="8736" applyFont="1" applyFill="1" applyBorder="1" applyAlignment="1">
      <alignment horizontal="left"/>
    </xf>
    <xf numFmtId="0" fontId="160" fillId="44" borderId="79" xfId="8736" applyFont="1" applyFill="1" applyBorder="1" applyAlignment="1">
      <alignment horizontal="left"/>
    </xf>
    <xf numFmtId="0" fontId="160" fillId="44" borderId="78" xfId="8736" applyFont="1" applyFill="1" applyBorder="1" applyAlignment="1">
      <alignment horizontal="left"/>
    </xf>
    <xf numFmtId="0" fontId="161" fillId="45" borderId="11" xfId="8736" applyFont="1" applyFill="1" applyBorder="1" applyAlignment="1">
      <alignment horizontal="right"/>
    </xf>
    <xf numFmtId="1" fontId="160" fillId="48" borderId="11" xfId="8736" applyNumberFormat="1" applyFont="1" applyFill="1" applyBorder="1" applyAlignment="1" applyProtection="1">
      <alignment horizontal="center"/>
      <protection locked="0"/>
    </xf>
    <xf numFmtId="0" fontId="172" fillId="51" borderId="65" xfId="8736" applyFont="1" applyFill="1" applyBorder="1" applyAlignment="1">
      <alignment horizontal="center"/>
    </xf>
    <xf numFmtId="0" fontId="172" fillId="51" borderId="29" xfId="8736" applyFont="1" applyFill="1" applyBorder="1" applyAlignment="1">
      <alignment horizontal="center"/>
    </xf>
    <xf numFmtId="0" fontId="172" fillId="51" borderId="31" xfId="8736" applyFont="1" applyFill="1" applyBorder="1" applyAlignment="1">
      <alignment horizontal="center"/>
    </xf>
    <xf numFmtId="0" fontId="157" fillId="48" borderId="66" xfId="8736" applyFont="1" applyFill="1" applyBorder="1" applyAlignment="1">
      <alignment horizontal="center"/>
    </xf>
    <xf numFmtId="0" fontId="157" fillId="48" borderId="0" xfId="8736" applyFont="1" applyFill="1" applyAlignment="1">
      <alignment horizontal="center"/>
    </xf>
    <xf numFmtId="0" fontId="157" fillId="48" borderId="41" xfId="8736" applyFont="1" applyFill="1" applyBorder="1" applyAlignment="1">
      <alignment horizontal="center"/>
    </xf>
    <xf numFmtId="0" fontId="157" fillId="45" borderId="3" xfId="8736" applyFont="1" applyFill="1" applyBorder="1" applyAlignment="1">
      <alignment horizontal="center"/>
    </xf>
    <xf numFmtId="0" fontId="157" fillId="45" borderId="4" xfId="8736" applyFont="1" applyFill="1" applyBorder="1" applyAlignment="1">
      <alignment horizontal="center"/>
    </xf>
    <xf numFmtId="0" fontId="157" fillId="45" borderId="5" xfId="8736" applyFont="1" applyFill="1" applyBorder="1" applyAlignment="1">
      <alignment horizontal="center"/>
    </xf>
    <xf numFmtId="0" fontId="167" fillId="45" borderId="11" xfId="8736" applyFont="1" applyFill="1" applyBorder="1" applyAlignment="1">
      <alignment horizontal="right"/>
    </xf>
    <xf numFmtId="14" fontId="160" fillId="48" borderId="11" xfId="8736" applyNumberFormat="1" applyFont="1" applyFill="1" applyBorder="1" applyAlignment="1" applyProtection="1">
      <alignment horizontal="center"/>
      <protection locked="0"/>
    </xf>
    <xf numFmtId="0" fontId="160" fillId="48" borderId="11" xfId="8736"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94" fillId="45" borderId="80" xfId="8736" applyFont="1" applyFill="1" applyBorder="1" applyAlignment="1">
      <alignment horizontal="center"/>
    </xf>
    <xf numFmtId="0" fontId="94" fillId="45" borderId="79" xfId="8736" applyFont="1" applyFill="1" applyBorder="1" applyAlignment="1">
      <alignment horizontal="center"/>
    </xf>
    <xf numFmtId="0" fontId="94" fillId="45" borderId="78" xfId="8736" applyFont="1" applyFill="1" applyBorder="1" applyAlignment="1">
      <alignment horizontal="center"/>
    </xf>
    <xf numFmtId="0" fontId="160" fillId="48" borderId="80" xfId="8736" applyFont="1" applyFill="1" applyBorder="1" applyAlignment="1" applyProtection="1">
      <alignment horizontal="center"/>
      <protection locked="0"/>
    </xf>
    <xf numFmtId="0" fontId="160" fillId="48" borderId="79" xfId="8736" applyFont="1" applyFill="1" applyBorder="1" applyAlignment="1" applyProtection="1">
      <alignment horizontal="center"/>
      <protection locked="0"/>
    </xf>
    <xf numFmtId="0" fontId="160" fillId="48" borderId="78" xfId="8736" applyFont="1" applyFill="1" applyBorder="1" applyAlignment="1" applyProtection="1">
      <alignment horizontal="center"/>
      <protection locked="0"/>
    </xf>
    <xf numFmtId="0" fontId="164" fillId="45" borderId="11" xfId="8736" applyFont="1" applyFill="1" applyBorder="1" applyAlignment="1">
      <alignment horizontal="right"/>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61" fillId="45" borderId="11" xfId="8736" applyFont="1" applyFill="1" applyBorder="1" applyAlignment="1">
      <alignment horizontal="right" wrapText="1"/>
    </xf>
    <xf numFmtId="14" fontId="160" fillId="48" borderId="11" xfId="8736" applyNumberFormat="1" applyFont="1" applyFill="1" applyBorder="1" applyAlignment="1" applyProtection="1">
      <alignment horizontal="center" vertical="center"/>
      <protection locked="0"/>
    </xf>
    <xf numFmtId="0" fontId="160" fillId="48" borderId="11" xfId="8736" applyFont="1" applyFill="1" applyBorder="1" applyAlignment="1" applyProtection="1">
      <alignment horizontal="center" vertical="center"/>
      <protection locked="0"/>
    </xf>
    <xf numFmtId="168" fontId="165" fillId="44" borderId="11" xfId="8737" applyNumberFormat="1" applyFont="1" applyFill="1" applyBorder="1" applyAlignment="1" applyProtection="1">
      <alignment horizontal="left"/>
    </xf>
    <xf numFmtId="0" fontId="94" fillId="45" borderId="80" xfId="8736" applyFont="1" applyFill="1" applyBorder="1" applyAlignment="1">
      <alignment horizontal="right"/>
    </xf>
    <xf numFmtId="0" fontId="94" fillId="45" borderId="79" xfId="8736" applyFont="1" applyFill="1" applyBorder="1" applyAlignment="1">
      <alignment horizontal="right"/>
    </xf>
    <xf numFmtId="0" fontId="9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57" fillId="45" borderId="93" xfId="8736" applyFont="1" applyFill="1" applyBorder="1" applyAlignment="1">
      <alignment horizontal="center"/>
    </xf>
    <xf numFmtId="0" fontId="157" fillId="45" borderId="92" xfId="8736" applyFont="1" applyFill="1" applyBorder="1" applyAlignment="1">
      <alignment horizontal="center"/>
    </xf>
    <xf numFmtId="0" fontId="157" fillId="45" borderId="91" xfId="8736" applyFont="1" applyFill="1" applyBorder="1" applyAlignment="1">
      <alignment horizontal="center"/>
    </xf>
    <xf numFmtId="0" fontId="164" fillId="45" borderId="97" xfId="8736" applyFont="1" applyFill="1" applyBorder="1" applyAlignment="1">
      <alignment horizontal="center"/>
    </xf>
    <xf numFmtId="0" fontId="164" fillId="45" borderId="2" xfId="8736" applyFont="1" applyFill="1" applyBorder="1" applyAlignment="1">
      <alignment horizontal="center"/>
    </xf>
    <xf numFmtId="0" fontId="164" fillId="45" borderId="7" xfId="8736" applyFont="1" applyFill="1" applyBorder="1" applyAlignment="1">
      <alignment horizontal="center"/>
    </xf>
    <xf numFmtId="0" fontId="164" fillId="45" borderId="3" xfId="8736" applyFont="1" applyFill="1" applyBorder="1" applyAlignment="1">
      <alignment horizontal="center"/>
    </xf>
    <xf numFmtId="0" fontId="164" fillId="45" borderId="4" xfId="8736" applyFont="1" applyFill="1" applyBorder="1" applyAlignment="1">
      <alignment horizontal="center"/>
    </xf>
    <xf numFmtId="0" fontId="164" fillId="45" borderId="5" xfId="8736" applyFont="1" applyFill="1" applyBorder="1" applyAlignment="1">
      <alignment horizontal="center"/>
    </xf>
    <xf numFmtId="0" fontId="164" fillId="45" borderId="81" xfId="8736" applyFont="1" applyFill="1" applyBorder="1" applyAlignment="1">
      <alignment horizontal="center"/>
    </xf>
    <xf numFmtId="9" fontId="163" fillId="48" borderId="90" xfId="8736" applyNumberFormat="1" applyFont="1" applyFill="1" applyBorder="1" applyAlignment="1" applyProtection="1">
      <alignment horizontal="center"/>
      <protection locked="0"/>
    </xf>
    <xf numFmtId="9" fontId="163" fillId="48" borderId="4" xfId="8736" applyNumberFormat="1" applyFont="1" applyFill="1" applyBorder="1" applyAlignment="1" applyProtection="1">
      <alignment horizontal="center"/>
      <protection locked="0"/>
    </xf>
    <xf numFmtId="9" fontId="163" fillId="48" borderId="5" xfId="8736" applyNumberFormat="1" applyFont="1" applyFill="1" applyBorder="1" applyAlignment="1" applyProtection="1">
      <alignment horizontal="center"/>
      <protection locked="0"/>
    </xf>
    <xf numFmtId="0" fontId="163" fillId="44" borderId="3" xfId="8736" applyFont="1" applyFill="1" applyBorder="1" applyAlignment="1">
      <alignment horizontal="center"/>
    </xf>
    <xf numFmtId="0" fontId="163" fillId="44" borderId="4" xfId="8736" applyFont="1" applyFill="1" applyBorder="1" applyAlignment="1">
      <alignment horizontal="center"/>
    </xf>
    <xf numFmtId="0" fontId="163" fillId="44" borderId="5" xfId="8736" applyFont="1" applyFill="1" applyBorder="1" applyAlignment="1">
      <alignment horizontal="center"/>
    </xf>
    <xf numFmtId="10" fontId="164" fillId="44" borderId="3" xfId="8736" applyNumberFormat="1" applyFont="1" applyFill="1" applyBorder="1" applyAlignment="1">
      <alignment horizontal="center"/>
    </xf>
    <xf numFmtId="10" fontId="164" fillId="44" borderId="4" xfId="8736" applyNumberFormat="1" applyFont="1" applyFill="1" applyBorder="1" applyAlignment="1">
      <alignment horizontal="center"/>
    </xf>
    <xf numFmtId="10" fontId="164" fillId="44" borderId="81" xfId="8736" applyNumberFormat="1" applyFont="1" applyFill="1" applyBorder="1" applyAlignment="1">
      <alignment horizontal="center"/>
    </xf>
    <xf numFmtId="0" fontId="163" fillId="48" borderId="3" xfId="8736" applyFont="1" applyFill="1" applyBorder="1" applyAlignment="1" applyProtection="1">
      <alignment horizontal="center"/>
      <protection locked="0"/>
    </xf>
    <xf numFmtId="0" fontId="163" fillId="48" borderId="4" xfId="8736" applyFont="1" applyFill="1" applyBorder="1" applyAlignment="1" applyProtection="1">
      <alignment horizontal="center"/>
      <protection locked="0"/>
    </xf>
    <xf numFmtId="0" fontId="163" fillId="48" borderId="5" xfId="8736" applyFont="1" applyFill="1" applyBorder="1" applyAlignment="1" applyProtection="1">
      <alignment horizontal="center"/>
      <protection locked="0"/>
    </xf>
    <xf numFmtId="0" fontId="164" fillId="44" borderId="87" xfId="8736" applyFont="1" applyFill="1" applyBorder="1" applyAlignment="1">
      <alignment horizontal="center"/>
    </xf>
    <xf numFmtId="0" fontId="164" fillId="44" borderId="86" xfId="8736" applyFont="1" applyFill="1" applyBorder="1" applyAlignment="1">
      <alignment horizontal="center"/>
    </xf>
    <xf numFmtId="0" fontId="164" fillId="44" borderId="95" xfId="8736" applyFont="1" applyFill="1" applyBorder="1" applyAlignment="1">
      <alignment horizontal="center"/>
    </xf>
    <xf numFmtId="0" fontId="163" fillId="44" borderId="94"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10" fontId="164" fillId="44" borderId="94" xfId="8736" applyNumberFormat="1" applyFont="1" applyFill="1" applyBorder="1" applyAlignment="1">
      <alignment horizontal="center"/>
    </xf>
    <xf numFmtId="10" fontId="164" fillId="44" borderId="86" xfId="8736" applyNumberFormat="1" applyFont="1" applyFill="1" applyBorder="1" applyAlignment="1">
      <alignment horizontal="center"/>
    </xf>
    <xf numFmtId="10" fontId="164" fillId="44" borderId="85" xfId="8736" applyNumberFormat="1" applyFont="1" applyFill="1" applyBorder="1" applyAlignment="1">
      <alignment horizontal="center"/>
    </xf>
    <xf numFmtId="0" fontId="164" fillId="44" borderId="101" xfId="8736" applyFont="1" applyFill="1" applyBorder="1" applyAlignment="1">
      <alignment horizontal="center"/>
    </xf>
    <xf numFmtId="0" fontId="164" fillId="44" borderId="42" xfId="8736" applyFont="1" applyFill="1" applyBorder="1" applyAlignment="1">
      <alignment horizontal="center"/>
    </xf>
    <xf numFmtId="0" fontId="164" fillId="44" borderId="96" xfId="8736" applyFont="1" applyFill="1" applyBorder="1" applyAlignment="1">
      <alignment horizontal="center"/>
    </xf>
    <xf numFmtId="9" fontId="164" fillId="44" borderId="101" xfId="1022" applyFont="1" applyFill="1" applyBorder="1" applyAlignment="1">
      <alignment horizontal="center"/>
    </xf>
    <xf numFmtId="9" fontId="164" fillId="44" borderId="42" xfId="1022" applyFont="1" applyFill="1" applyBorder="1" applyAlignment="1">
      <alignment horizontal="center"/>
    </xf>
    <xf numFmtId="9" fontId="164" fillId="44" borderId="44" xfId="1022" applyFont="1" applyFill="1" applyBorder="1" applyAlignment="1">
      <alignment horizontal="center"/>
    </xf>
    <xf numFmtId="0" fontId="157" fillId="45" borderId="80" xfId="8736" applyFont="1" applyFill="1" applyBorder="1" applyAlignment="1">
      <alignment horizontal="center"/>
    </xf>
    <xf numFmtId="0" fontId="157" fillId="45" borderId="79" xfId="8736" applyFont="1" applyFill="1" applyBorder="1" applyAlignment="1">
      <alignment horizontal="center"/>
    </xf>
    <xf numFmtId="0" fontId="157" fillId="45" borderId="78" xfId="8736" applyFont="1" applyFill="1" applyBorder="1" applyAlignment="1">
      <alignment horizontal="center"/>
    </xf>
    <xf numFmtId="0" fontId="156" fillId="45" borderId="98" xfId="8736" applyFont="1" applyFill="1" applyBorder="1" applyAlignment="1">
      <alignment horizontal="center" vertical="center" wrapText="1"/>
    </xf>
    <xf numFmtId="0" fontId="156" fillId="45" borderId="13" xfId="8736" applyFont="1" applyFill="1" applyBorder="1" applyAlignment="1">
      <alignment horizontal="center" vertical="center"/>
    </xf>
    <xf numFmtId="0" fontId="156" fillId="45" borderId="72" xfId="8736" applyFont="1" applyFill="1" applyBorder="1" applyAlignment="1">
      <alignment horizontal="center" vertical="center"/>
    </xf>
    <xf numFmtId="0" fontId="156" fillId="45" borderId="11" xfId="8736" applyFont="1" applyFill="1" applyBorder="1" applyAlignment="1">
      <alignment horizontal="center" vertical="center"/>
    </xf>
    <xf numFmtId="0" fontId="164" fillId="45" borderId="13" xfId="8736" applyFont="1" applyFill="1" applyBorder="1" applyAlignment="1">
      <alignment horizontal="center" vertical="center" wrapText="1"/>
    </xf>
    <xf numFmtId="0" fontId="164" fillId="45" borderId="13" xfId="8736" applyFont="1" applyFill="1" applyBorder="1" applyAlignment="1">
      <alignment horizontal="center" vertical="center"/>
    </xf>
    <xf numFmtId="0" fontId="164" fillId="45" borderId="11" xfId="8736" applyFont="1" applyFill="1" applyBorder="1" applyAlignment="1">
      <alignment horizontal="center" vertical="center"/>
    </xf>
    <xf numFmtId="0" fontId="164" fillId="45" borderId="9" xfId="8736" applyFont="1" applyFill="1" applyBorder="1" applyAlignment="1">
      <alignment horizontal="center" vertical="center"/>
    </xf>
    <xf numFmtId="0" fontId="164" fillId="45" borderId="3" xfId="8736" applyFont="1" applyFill="1" applyBorder="1" applyAlignment="1">
      <alignment horizontal="center" vertic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6" fillId="45" borderId="65" xfId="8736" applyFont="1" applyFill="1" applyBorder="1" applyAlignment="1">
      <alignment horizontal="center" vertical="center" wrapText="1"/>
    </xf>
    <xf numFmtId="0" fontId="156" fillId="45" borderId="29" xfId="8736" applyFont="1" applyFill="1" applyBorder="1" applyAlignment="1">
      <alignment horizontal="center" vertical="center" wrapText="1"/>
    </xf>
    <xf numFmtId="0" fontId="156" fillId="45" borderId="31" xfId="8736" applyFont="1" applyFill="1" applyBorder="1" applyAlignment="1">
      <alignment horizontal="center" vertical="center" wrapText="1"/>
    </xf>
    <xf numFmtId="0" fontId="156" fillId="45" borderId="73" xfId="8736" applyFont="1" applyFill="1" applyBorder="1" applyAlignment="1">
      <alignment horizontal="center" vertical="center" wrapText="1"/>
    </xf>
    <xf numFmtId="0" fontId="156" fillId="45" borderId="42" xfId="8736" applyFont="1" applyFill="1" applyBorder="1" applyAlignment="1">
      <alignment horizontal="center" vertical="center" wrapText="1"/>
    </xf>
    <xf numFmtId="0" fontId="156" fillId="45" borderId="44" xfId="8736" applyFont="1" applyFill="1" applyBorder="1" applyAlignment="1">
      <alignment horizontal="center" vertical="center" wrapText="1"/>
    </xf>
    <xf numFmtId="9" fontId="164" fillId="48" borderId="13" xfId="8736" applyNumberFormat="1" applyFont="1" applyFill="1" applyBorder="1" applyAlignment="1" applyProtection="1">
      <alignment horizontal="center"/>
      <protection locked="0"/>
    </xf>
    <xf numFmtId="0" fontId="164" fillId="44" borderId="73" xfId="8736" applyFont="1" applyFill="1" applyBorder="1" applyAlignment="1">
      <alignment horizontal="center"/>
    </xf>
    <xf numFmtId="0" fontId="156" fillId="44" borderId="9" xfId="8736" applyFont="1" applyFill="1" applyBorder="1" applyAlignment="1">
      <alignment horizontal="center"/>
    </xf>
    <xf numFmtId="0" fontId="156" fillId="44" borderId="6" xfId="8736" applyFont="1" applyFill="1" applyBorder="1" applyAlignment="1">
      <alignment horizontal="center"/>
    </xf>
    <xf numFmtId="0" fontId="156" fillId="44" borderId="82" xfId="8736" applyFont="1" applyFill="1" applyBorder="1" applyAlignment="1">
      <alignment horizontal="center"/>
    </xf>
    <xf numFmtId="9" fontId="164" fillId="48" borderId="9" xfId="8736" applyNumberFormat="1" applyFont="1" applyFill="1" applyBorder="1" applyAlignment="1" applyProtection="1">
      <alignment horizontal="center"/>
      <protection locked="0"/>
    </xf>
    <xf numFmtId="9" fontId="164" fillId="48" borderId="6" xfId="8736" applyNumberFormat="1" applyFont="1" applyFill="1" applyBorder="1" applyAlignment="1" applyProtection="1">
      <alignment horizontal="center"/>
      <protection locked="0"/>
    </xf>
    <xf numFmtId="9" fontId="164" fillId="48" borderId="10" xfId="8736" applyNumberFormat="1" applyFont="1" applyFill="1" applyBorder="1" applyAlignment="1" applyProtection="1">
      <alignment horizontal="center"/>
      <protection locked="0"/>
    </xf>
    <xf numFmtId="9" fontId="156" fillId="48" borderId="9" xfId="8736" applyNumberFormat="1" applyFont="1" applyFill="1" applyBorder="1" applyAlignment="1" applyProtection="1">
      <alignment horizontal="center"/>
      <protection locked="0"/>
    </xf>
    <xf numFmtId="9" fontId="156" fillId="48" borderId="6" xfId="8736" applyNumberFormat="1" applyFont="1" applyFill="1" applyBorder="1" applyAlignment="1" applyProtection="1">
      <alignment horizontal="center"/>
      <protection locked="0"/>
    </xf>
    <xf numFmtId="9" fontId="156" fillId="48" borderId="10" xfId="8736" applyNumberFormat="1" applyFont="1" applyFill="1" applyBorder="1" applyAlignment="1" applyProtection="1">
      <alignment horizontal="center"/>
      <protection locked="0"/>
    </xf>
    <xf numFmtId="0" fontId="156" fillId="44" borderId="10" xfId="8736" applyFont="1" applyFill="1" applyBorder="1" applyAlignment="1">
      <alignment horizontal="center"/>
    </xf>
    <xf numFmtId="1" fontId="168" fillId="48" borderId="3" xfId="8736" applyNumberFormat="1" applyFont="1" applyFill="1" applyBorder="1" applyAlignment="1" applyProtection="1">
      <alignment horizontal="center"/>
      <protection locked="0"/>
    </xf>
    <xf numFmtId="1" fontId="168" fillId="48" borderId="4" xfId="8736" applyNumberFormat="1" applyFont="1" applyFill="1" applyBorder="1" applyAlignment="1" applyProtection="1">
      <alignment horizontal="center"/>
      <protection locked="0"/>
    </xf>
    <xf numFmtId="1" fontId="168" fillId="48" borderId="5" xfId="8736" applyNumberFormat="1" applyFont="1" applyFill="1" applyBorder="1" applyAlignment="1" applyProtection="1">
      <alignment horizontal="center"/>
      <protection locked="0"/>
    </xf>
    <xf numFmtId="1" fontId="156" fillId="44" borderId="3" xfId="8736" applyNumberFormat="1" applyFont="1" applyFill="1" applyBorder="1" applyAlignment="1">
      <alignment horizontal="center"/>
    </xf>
    <xf numFmtId="1" fontId="156" fillId="44" borderId="4" xfId="8736" applyNumberFormat="1" applyFont="1" applyFill="1" applyBorder="1" applyAlignment="1">
      <alignment horizontal="center"/>
    </xf>
    <xf numFmtId="1" fontId="156" fillId="44" borderId="5" xfId="8736" applyNumberFormat="1" applyFont="1" applyFill="1" applyBorder="1" applyAlignment="1">
      <alignment horizontal="center"/>
    </xf>
    <xf numFmtId="9" fontId="156" fillId="44" borderId="3" xfId="8738" applyFont="1" applyFill="1" applyBorder="1" applyAlignment="1">
      <alignment horizontal="center"/>
    </xf>
    <xf numFmtId="9" fontId="156" fillId="44" borderId="4" xfId="8738" applyFont="1" applyFill="1" applyBorder="1" applyAlignment="1">
      <alignment horizontal="center"/>
    </xf>
    <xf numFmtId="9" fontId="156" fillId="44" borderId="81" xfId="8738" applyFont="1" applyFill="1" applyBorder="1" applyAlignment="1">
      <alignment horizontal="center"/>
    </xf>
    <xf numFmtId="0" fontId="165" fillId="48" borderId="72" xfId="8736" applyFont="1" applyFill="1" applyBorder="1" applyAlignment="1" applyProtection="1">
      <alignment horizontal="right"/>
      <protection locked="0"/>
    </xf>
    <xf numFmtId="0" fontId="165" fillId="48" borderId="11" xfId="8736" applyFont="1" applyFill="1" applyBorder="1" applyAlignment="1" applyProtection="1">
      <alignment horizontal="right"/>
      <protection locked="0"/>
    </xf>
    <xf numFmtId="0" fontId="168" fillId="48" borderId="11" xfId="8736" applyFont="1" applyFill="1" applyBorder="1" applyAlignment="1" applyProtection="1">
      <alignment horizontal="center"/>
      <protection locked="0"/>
    </xf>
    <xf numFmtId="1" fontId="168" fillId="48" borderId="11" xfId="8736" applyNumberFormat="1" applyFont="1" applyFill="1" applyBorder="1" applyAlignment="1" applyProtection="1">
      <alignment horizontal="center"/>
      <protection locked="0"/>
    </xf>
    <xf numFmtId="0" fontId="163" fillId="48" borderId="72" xfId="8736" applyFont="1" applyFill="1" applyBorder="1" applyAlignment="1" applyProtection="1">
      <alignment horizontal="right"/>
      <protection locked="0"/>
    </xf>
    <xf numFmtId="0" fontId="163" fillId="48" borderId="11" xfId="8736" applyFont="1" applyFill="1" applyBorder="1" applyAlignment="1" applyProtection="1">
      <alignment horizontal="right"/>
      <protection locked="0"/>
    </xf>
    <xf numFmtId="0" fontId="163" fillId="48" borderId="69" xfId="8736" applyFont="1" applyFill="1" applyBorder="1" applyAlignment="1" applyProtection="1">
      <alignment horizontal="right"/>
      <protection locked="0"/>
    </xf>
    <xf numFmtId="0" fontId="163" fillId="48" borderId="70" xfId="8736" applyFont="1" applyFill="1" applyBorder="1" applyAlignment="1" applyProtection="1">
      <alignment horizontal="right"/>
      <protection locked="0"/>
    </xf>
    <xf numFmtId="0" fontId="168" fillId="48" borderId="70" xfId="8736" applyFont="1" applyFill="1" applyBorder="1" applyAlignment="1" applyProtection="1">
      <alignment horizontal="center"/>
      <protection locked="0"/>
    </xf>
    <xf numFmtId="1" fontId="168" fillId="48" borderId="70" xfId="8736" applyNumberFormat="1" applyFont="1" applyFill="1" applyBorder="1" applyAlignment="1" applyProtection="1">
      <alignment horizontal="center"/>
      <protection locked="0"/>
    </xf>
    <xf numFmtId="9" fontId="156" fillId="44" borderId="94" xfId="8738" applyFont="1" applyFill="1" applyBorder="1" applyAlignment="1">
      <alignment horizontal="center"/>
    </xf>
    <xf numFmtId="9" fontId="156" fillId="44" borderId="86" xfId="8738" applyFont="1" applyFill="1" applyBorder="1" applyAlignment="1">
      <alignment horizontal="center"/>
    </xf>
    <xf numFmtId="9" fontId="156" fillId="44" borderId="85" xfId="8738" applyFont="1" applyFill="1" applyBorder="1" applyAlignment="1">
      <alignment horizontal="center"/>
    </xf>
    <xf numFmtId="1" fontId="168" fillId="48" borderId="94" xfId="8736" applyNumberFormat="1" applyFont="1" applyFill="1" applyBorder="1" applyAlignment="1" applyProtection="1">
      <alignment horizontal="center"/>
      <protection locked="0"/>
    </xf>
    <xf numFmtId="1" fontId="168" fillId="48" borderId="86" xfId="8736" applyNumberFormat="1" applyFont="1" applyFill="1" applyBorder="1" applyAlignment="1" applyProtection="1">
      <alignment horizontal="center"/>
      <protection locked="0"/>
    </xf>
    <xf numFmtId="1" fontId="168" fillId="48" borderId="95" xfId="8736" applyNumberFormat="1" applyFont="1" applyFill="1" applyBorder="1" applyAlignment="1" applyProtection="1">
      <alignment horizontal="center"/>
      <protection locked="0"/>
    </xf>
    <xf numFmtId="0" fontId="157" fillId="45" borderId="67" xfId="8736" applyFont="1" applyFill="1" applyBorder="1" applyAlignment="1">
      <alignment horizontal="center"/>
    </xf>
    <xf numFmtId="0" fontId="157" fillId="45" borderId="68" xfId="8736" applyFont="1" applyFill="1" applyBorder="1" applyAlignment="1">
      <alignment horizontal="center"/>
    </xf>
    <xf numFmtId="0" fontId="157" fillId="45" borderId="71" xfId="8736" applyFont="1" applyFill="1" applyBorder="1" applyAlignment="1">
      <alignment horizontal="center"/>
    </xf>
    <xf numFmtId="0" fontId="164" fillId="45" borderId="72" xfId="8736" applyFont="1" applyFill="1" applyBorder="1" applyAlignment="1">
      <alignment horizontal="center"/>
    </xf>
    <xf numFmtId="0" fontId="164" fillId="45" borderId="11" xfId="8736" applyFont="1" applyFill="1" applyBorder="1" applyAlignment="1">
      <alignment horizontal="center"/>
    </xf>
    <xf numFmtId="0" fontId="156" fillId="45" borderId="11" xfId="8736" applyFont="1" applyFill="1" applyBorder="1" applyAlignment="1">
      <alignment horizontal="center" vertical="center" wrapText="1"/>
    </xf>
    <xf numFmtId="0" fontId="156" fillId="45" borderId="76" xfId="8736" applyFont="1" applyFill="1" applyBorder="1" applyAlignment="1">
      <alignment horizontal="center" vertical="center" wrapText="1"/>
    </xf>
    <xf numFmtId="0" fontId="163" fillId="48" borderId="11" xfId="8736" applyFont="1" applyFill="1" applyBorder="1" applyAlignment="1" applyProtection="1">
      <alignment horizontal="center"/>
      <protection locked="0"/>
    </xf>
    <xf numFmtId="168" fontId="163" fillId="48" borderId="11" xfId="8737" applyNumberFormat="1" applyFont="1" applyFill="1" applyBorder="1" applyAlignment="1" applyProtection="1">
      <alignment horizontal="center"/>
      <protection locked="0"/>
    </xf>
    <xf numFmtId="1" fontId="163" fillId="48" borderId="11" xfId="8736" applyNumberFormat="1" applyFont="1" applyFill="1" applyBorder="1" applyAlignment="1" applyProtection="1">
      <alignment horizontal="center"/>
      <protection locked="0"/>
    </xf>
    <xf numFmtId="0" fontId="163" fillId="48" borderId="11" xfId="700" applyNumberFormat="1" applyFont="1" applyFill="1" applyBorder="1" applyAlignment="1" applyProtection="1">
      <alignment horizontal="left"/>
      <protection locked="0"/>
    </xf>
    <xf numFmtId="0" fontId="163" fillId="48" borderId="76" xfId="700" applyNumberFormat="1" applyFont="1" applyFill="1" applyBorder="1" applyAlignment="1" applyProtection="1">
      <alignment horizontal="left"/>
      <protection locked="0"/>
    </xf>
    <xf numFmtId="0" fontId="157" fillId="45" borderId="65" xfId="8736" applyFont="1" applyFill="1" applyBorder="1" applyAlignment="1">
      <alignment horizontal="center"/>
    </xf>
    <xf numFmtId="0" fontId="157" fillId="45" borderId="29" xfId="8736" applyFont="1" applyFill="1" applyBorder="1" applyAlignment="1">
      <alignment horizontal="center"/>
    </xf>
    <xf numFmtId="0" fontId="157" fillId="45" borderId="31" xfId="8736" applyFont="1" applyFill="1" applyBorder="1" applyAlignment="1">
      <alignment horizontal="center"/>
    </xf>
    <xf numFmtId="0" fontId="163" fillId="44" borderId="72" xfId="8736" applyFont="1" applyFill="1" applyBorder="1" applyAlignment="1" applyProtection="1">
      <alignment horizontal="right"/>
      <protection locked="0"/>
    </xf>
    <xf numFmtId="0" fontId="163" fillId="44" borderId="11" xfId="8736" applyFont="1" applyFill="1" applyBorder="1" applyAlignment="1" applyProtection="1">
      <alignment horizontal="right"/>
      <protection locked="0"/>
    </xf>
    <xf numFmtId="0" fontId="163" fillId="44" borderId="76" xfId="8736" applyFont="1" applyFill="1" applyBorder="1" applyAlignment="1" applyProtection="1">
      <alignment horizontal="right"/>
      <protection locked="0"/>
    </xf>
    <xf numFmtId="0" fontId="163" fillId="48" borderId="5" xfId="8736" applyFont="1" applyFill="1" applyBorder="1" applyAlignment="1" applyProtection="1">
      <alignment horizontal="left"/>
      <protection locked="0"/>
    </xf>
    <xf numFmtId="0" fontId="163" fillId="48" borderId="11" xfId="8736" applyFont="1" applyFill="1" applyBorder="1" applyAlignment="1" applyProtection="1">
      <alignment horizontal="left"/>
      <protection locked="0"/>
    </xf>
    <xf numFmtId="0" fontId="163" fillId="48" borderId="76" xfId="8736" applyFont="1" applyFill="1" applyBorder="1" applyAlignment="1" applyProtection="1">
      <alignment horizontal="left"/>
      <protection locked="0"/>
    </xf>
    <xf numFmtId="0" fontId="164" fillId="45" borderId="69" xfId="8736" applyFont="1" applyFill="1" applyBorder="1" applyAlignment="1">
      <alignment horizontal="center"/>
    </xf>
    <xf numFmtId="0" fontId="164" fillId="45" borderId="70" xfId="8736" applyFont="1" applyFill="1" applyBorder="1" applyAlignment="1">
      <alignment horizontal="center"/>
    </xf>
    <xf numFmtId="168" fontId="164" fillId="45" borderId="70" xfId="8737" applyNumberFormat="1" applyFont="1" applyFill="1" applyBorder="1" applyAlignment="1">
      <alignment horizontal="center"/>
    </xf>
    <xf numFmtId="1" fontId="164" fillId="45" borderId="70" xfId="8737" applyNumberFormat="1" applyFont="1" applyFill="1" applyBorder="1" applyAlignment="1">
      <alignment horizontal="center"/>
    </xf>
    <xf numFmtId="0" fontId="164" fillId="45" borderId="70" xfId="8737" applyNumberFormat="1" applyFont="1" applyFill="1" applyBorder="1" applyAlignment="1">
      <alignment horizontal="center"/>
    </xf>
    <xf numFmtId="0" fontId="164" fillId="45" borderId="77" xfId="8737" applyNumberFormat="1" applyFont="1" applyFill="1" applyBorder="1" applyAlignment="1">
      <alignment horizontal="center"/>
    </xf>
    <xf numFmtId="0" fontId="160" fillId="48" borderId="74" xfId="8736" applyFont="1" applyFill="1" applyBorder="1" applyAlignment="1" applyProtection="1">
      <alignment horizontal="left"/>
      <protection locked="0"/>
    </xf>
    <xf numFmtId="0" fontId="160" fillId="48" borderId="68" xfId="8736" applyFont="1" applyFill="1" applyBorder="1" applyAlignment="1" applyProtection="1">
      <alignment horizontal="left"/>
      <protection locked="0"/>
    </xf>
    <xf numFmtId="0" fontId="160" fillId="48" borderId="71" xfId="8736" applyFont="1" applyFill="1" applyBorder="1" applyAlignment="1" applyProtection="1">
      <alignment horizontal="left"/>
      <protection locked="0"/>
    </xf>
    <xf numFmtId="0" fontId="157" fillId="45" borderId="72" xfId="8736" applyFont="1" applyFill="1" applyBorder="1" applyAlignment="1">
      <alignment horizontal="center"/>
    </xf>
    <xf numFmtId="0" fontId="157" fillId="45" borderId="11" xfId="8736" applyFont="1" applyFill="1" applyBorder="1" applyAlignment="1">
      <alignment horizontal="center"/>
    </xf>
    <xf numFmtId="0" fontId="157" fillId="45" borderId="81" xfId="8736" applyFont="1" applyFill="1" applyBorder="1" applyAlignment="1">
      <alignment horizontal="center"/>
    </xf>
    <xf numFmtId="0" fontId="94" fillId="45" borderId="69" xfId="8736" applyFont="1" applyFill="1" applyBorder="1" applyAlignment="1">
      <alignment horizontal="center"/>
    </xf>
    <xf numFmtId="0" fontId="94" fillId="45" borderId="70" xfId="8736" applyFont="1" applyFill="1" applyBorder="1" applyAlignment="1">
      <alignment horizontal="center"/>
    </xf>
    <xf numFmtId="0" fontId="163" fillId="44" borderId="69" xfId="8736" applyFont="1" applyFill="1" applyBorder="1" applyAlignment="1" applyProtection="1">
      <alignment horizontal="right"/>
      <protection locked="0"/>
    </xf>
    <xf numFmtId="0" fontId="163" fillId="44" borderId="70" xfId="8736" applyFont="1" applyFill="1" applyBorder="1" applyAlignment="1" applyProtection="1">
      <alignment horizontal="right"/>
      <protection locked="0"/>
    </xf>
    <xf numFmtId="0" fontId="163" fillId="44" borderId="77" xfId="8736" applyFont="1" applyFill="1" applyBorder="1" applyAlignment="1" applyProtection="1">
      <alignment horizontal="right"/>
      <protection locked="0"/>
    </xf>
    <xf numFmtId="0" fontId="163" fillId="48" borderId="95" xfId="8736" applyFont="1" applyFill="1" applyBorder="1" applyAlignment="1" applyProtection="1">
      <alignment horizontal="left"/>
      <protection locked="0"/>
    </xf>
    <xf numFmtId="0" fontId="163" fillId="48" borderId="70" xfId="8736" applyFont="1" applyFill="1" applyBorder="1" applyAlignment="1" applyProtection="1">
      <alignment horizontal="left"/>
      <protection locked="0"/>
    </xf>
    <xf numFmtId="0" fontId="163" fillId="48" borderId="77" xfId="8736" applyFont="1" applyFill="1" applyBorder="1" applyAlignment="1" applyProtection="1">
      <alignment horizontal="left"/>
      <protection locked="0"/>
    </xf>
    <xf numFmtId="168" fontId="165" fillId="48" borderId="11" xfId="700" applyNumberFormat="1" applyFont="1" applyFill="1" applyBorder="1" applyAlignment="1" applyProtection="1">
      <alignment horizontal="left"/>
      <protection locked="0"/>
    </xf>
    <xf numFmtId="168" fontId="165" fillId="48" borderId="76" xfId="700" applyNumberFormat="1" applyFont="1" applyFill="1" applyBorder="1" applyAlignment="1" applyProtection="1">
      <alignment horizontal="left"/>
      <protection locked="0"/>
    </xf>
    <xf numFmtId="0" fontId="163" fillId="48" borderId="68" xfId="8736" applyFont="1" applyFill="1" applyBorder="1" applyAlignment="1" applyProtection="1">
      <alignment horizontal="left"/>
      <protection locked="0"/>
    </xf>
    <xf numFmtId="0" fontId="163" fillId="48" borderId="71" xfId="8736" applyFont="1" applyFill="1" applyBorder="1" applyAlignment="1" applyProtection="1">
      <alignment horizontal="left"/>
      <protection locked="0"/>
    </xf>
    <xf numFmtId="0" fontId="157" fillId="45" borderId="69" xfId="8736" applyFont="1" applyFill="1" applyBorder="1" applyAlignment="1">
      <alignment horizontal="center"/>
    </xf>
    <xf numFmtId="0" fontId="157" fillId="45" borderId="70" xfId="8736" applyFont="1" applyFill="1" applyBorder="1" applyAlignment="1">
      <alignment horizontal="center"/>
    </xf>
    <xf numFmtId="0" fontId="94" fillId="45" borderId="67" xfId="8736" applyFont="1" applyFill="1" applyBorder="1" applyAlignment="1">
      <alignment horizontal="center"/>
    </xf>
    <xf numFmtId="0" fontId="94" fillId="45" borderId="68" xfId="8736" applyFont="1" applyFill="1" applyBorder="1" applyAlignment="1">
      <alignment horizontal="center"/>
    </xf>
    <xf numFmtId="0" fontId="157" fillId="45" borderId="98" xfId="8736" applyFont="1" applyFill="1" applyBorder="1" applyAlignment="1">
      <alignment horizontal="center"/>
    </xf>
    <xf numFmtId="0" fontId="157" fillId="45" borderId="13" xfId="8736" applyFont="1" applyFill="1" applyBorder="1" applyAlignment="1">
      <alignment horizontal="center"/>
    </xf>
    <xf numFmtId="0" fontId="163" fillId="48" borderId="72" xfId="8736" applyFont="1" applyFill="1" applyBorder="1" applyAlignment="1" applyProtection="1">
      <alignment horizontal="left" vertical="top"/>
      <protection locked="0"/>
    </xf>
    <xf numFmtId="0" fontId="163" fillId="48" borderId="11" xfId="8736" applyFont="1" applyFill="1" applyBorder="1" applyAlignment="1" applyProtection="1">
      <alignment horizontal="left" vertical="top"/>
      <protection locked="0"/>
    </xf>
    <xf numFmtId="0" fontId="163" fillId="48" borderId="76" xfId="8736" applyFont="1" applyFill="1" applyBorder="1" applyAlignment="1" applyProtection="1">
      <alignment horizontal="left" vertical="top"/>
      <protection locked="0"/>
    </xf>
    <xf numFmtId="0" fontId="163" fillId="48" borderId="69" xfId="8736" applyFont="1" applyFill="1" applyBorder="1" applyAlignment="1" applyProtection="1">
      <alignment horizontal="left" vertical="top"/>
      <protection locked="0"/>
    </xf>
    <xf numFmtId="0" fontId="163" fillId="48" borderId="70" xfId="8736" applyFont="1" applyFill="1" applyBorder="1" applyAlignment="1" applyProtection="1">
      <alignment horizontal="left" vertical="top"/>
      <protection locked="0"/>
    </xf>
    <xf numFmtId="0" fontId="163" fillId="48" borderId="77" xfId="8736" applyFont="1" applyFill="1" applyBorder="1" applyAlignment="1" applyProtection="1">
      <alignment horizontal="left" vertical="top"/>
      <protection locked="0"/>
    </xf>
    <xf numFmtId="0" fontId="163" fillId="48" borderId="72" xfId="8736" applyFont="1" applyFill="1" applyBorder="1" applyAlignment="1" applyProtection="1">
      <alignment horizontal="center"/>
      <protection locked="0"/>
    </xf>
    <xf numFmtId="0" fontId="157" fillId="45" borderId="89" xfId="8736" applyFont="1" applyFill="1" applyBorder="1" applyAlignment="1">
      <alignment horizontal="right"/>
    </xf>
    <xf numFmtId="0" fontId="157" fillId="45" borderId="43" xfId="8736" applyFont="1" applyFill="1" applyBorder="1" applyAlignment="1">
      <alignment horizontal="right"/>
    </xf>
    <xf numFmtId="168" fontId="157" fillId="45" borderId="43" xfId="8736" applyNumberFormat="1" applyFont="1" applyFill="1" applyBorder="1" applyAlignment="1">
      <alignment horizontal="left"/>
    </xf>
    <xf numFmtId="168" fontId="157" fillId="45" borderId="88" xfId="8736" applyNumberFormat="1" applyFont="1" applyFill="1" applyBorder="1" applyAlignment="1">
      <alignment horizontal="left"/>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94" fillId="45" borderId="67" xfId="8736" applyFont="1" applyFill="1" applyBorder="1" applyAlignment="1">
      <alignment horizontal="center" wrapText="1"/>
    </xf>
    <xf numFmtId="0" fontId="94" fillId="45" borderId="68" xfId="8736" applyFont="1" applyFill="1" applyBorder="1" applyAlignment="1">
      <alignment horizontal="center" wrapText="1"/>
    </xf>
    <xf numFmtId="0" fontId="94" fillId="45" borderId="71" xfId="8736" applyFont="1" applyFill="1" applyBorder="1" applyAlignment="1">
      <alignment horizontal="center" wrapText="1"/>
    </xf>
    <xf numFmtId="0" fontId="94" fillId="45" borderId="67" xfId="8736" applyFont="1" applyFill="1" applyBorder="1" applyAlignment="1">
      <alignment horizontal="left" wrapText="1"/>
    </xf>
    <xf numFmtId="0" fontId="94" fillId="45" borderId="68" xfId="8736" applyFont="1" applyFill="1" applyBorder="1" applyAlignment="1">
      <alignment horizontal="left" wrapText="1"/>
    </xf>
    <xf numFmtId="0" fontId="94" fillId="45" borderId="72" xfId="8736" applyFont="1" applyFill="1" applyBorder="1" applyAlignment="1">
      <alignment horizontal="left" wrapText="1"/>
    </xf>
    <xf numFmtId="0" fontId="94" fillId="45" borderId="11" xfId="8736" applyFont="1" applyFill="1" applyBorder="1" applyAlignment="1">
      <alignment horizontal="left" wrapText="1"/>
    </xf>
    <xf numFmtId="0" fontId="160" fillId="48" borderId="68" xfId="8736" applyFont="1" applyFill="1" applyBorder="1" applyAlignment="1" applyProtection="1">
      <alignment horizontal="left" wrapText="1"/>
      <protection locked="0"/>
    </xf>
    <xf numFmtId="0" fontId="160" fillId="48" borderId="71" xfId="8736" applyFont="1" applyFill="1" applyBorder="1" applyAlignment="1" applyProtection="1">
      <alignment horizontal="left" wrapText="1"/>
      <protection locked="0"/>
    </xf>
    <xf numFmtId="0" fontId="160" fillId="48" borderId="11" xfId="8736" applyFont="1" applyFill="1" applyBorder="1" applyAlignment="1" applyProtection="1">
      <alignment horizontal="left" wrapText="1"/>
      <protection locked="0"/>
    </xf>
    <xf numFmtId="0" fontId="160" fillId="48" borderId="76" xfId="8736" applyFont="1" applyFill="1" applyBorder="1" applyAlignment="1" applyProtection="1">
      <alignment horizontal="left" wrapText="1"/>
      <protection locked="0"/>
    </xf>
    <xf numFmtId="0" fontId="164" fillId="45" borderId="11" xfId="8736" applyFont="1" applyFill="1" applyBorder="1" applyAlignment="1">
      <alignment horizontal="center" wrapText="1"/>
    </xf>
    <xf numFmtId="0" fontId="156" fillId="45" borderId="11" xfId="8736" applyFont="1" applyFill="1" applyBorder="1" applyAlignment="1">
      <alignment horizontal="center"/>
    </xf>
    <xf numFmtId="0" fontId="156" fillId="45" borderId="76" xfId="8736" applyFont="1" applyFill="1" applyBorder="1" applyAlignment="1">
      <alignment horizontal="center"/>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60" fillId="48" borderId="3" xfId="8736" applyFont="1" applyFill="1" applyBorder="1" applyAlignment="1" applyProtection="1">
      <alignment horizontal="center"/>
      <protection locked="0"/>
    </xf>
    <xf numFmtId="0" fontId="160" fillId="48" borderId="4" xfId="8736" applyFont="1" applyFill="1" applyBorder="1" applyAlignment="1" applyProtection="1">
      <alignment horizontal="center"/>
      <protection locked="0"/>
    </xf>
    <xf numFmtId="0" fontId="160" fillId="48" borderId="81" xfId="8736" applyFont="1" applyFill="1" applyBorder="1" applyAlignment="1" applyProtection="1">
      <alignment horizontal="center"/>
      <protection locked="0"/>
    </xf>
    <xf numFmtId="0" fontId="94" fillId="45" borderId="71" xfId="8736" applyFont="1" applyFill="1" applyBorder="1" applyAlignment="1">
      <alignment horizontal="center"/>
    </xf>
    <xf numFmtId="0" fontId="94" fillId="45" borderId="67" xfId="8736" applyFont="1" applyFill="1" applyBorder="1" applyAlignment="1" applyProtection="1">
      <alignment horizontal="left" vertical="center" wrapText="1"/>
      <protection locked="0"/>
    </xf>
    <xf numFmtId="0" fontId="94" fillId="45" borderId="68" xfId="8736" applyFont="1" applyFill="1" applyBorder="1" applyAlignment="1" applyProtection="1">
      <alignment horizontal="left" vertical="center" wrapText="1"/>
      <protection locked="0"/>
    </xf>
    <xf numFmtId="0" fontId="94" fillId="45" borderId="72" xfId="8736" applyFont="1" applyFill="1" applyBorder="1" applyAlignment="1" applyProtection="1">
      <alignment horizontal="left" vertical="center" wrapText="1"/>
      <protection locked="0"/>
    </xf>
    <xf numFmtId="0" fontId="94" fillId="45" borderId="11" xfId="8736" applyFont="1" applyFill="1" applyBorder="1" applyAlignment="1" applyProtection="1">
      <alignment horizontal="left" vertical="center" wrapText="1"/>
      <protection locked="0"/>
    </xf>
    <xf numFmtId="0" fontId="160" fillId="48" borderId="68" xfId="8736" applyFont="1" applyFill="1" applyBorder="1" applyAlignment="1" applyProtection="1">
      <alignment horizontal="left" vertical="center" wrapText="1"/>
      <protection locked="0"/>
    </xf>
    <xf numFmtId="0" fontId="160" fillId="48" borderId="71" xfId="8736" applyFont="1" applyFill="1" applyBorder="1" applyAlignment="1" applyProtection="1">
      <alignment horizontal="left" vertical="center" wrapText="1"/>
      <protection locked="0"/>
    </xf>
    <xf numFmtId="0" fontId="160" fillId="48" borderId="11" xfId="8736" applyFont="1" applyFill="1" applyBorder="1" applyAlignment="1" applyProtection="1">
      <alignment horizontal="left" vertical="center" wrapText="1"/>
      <protection locked="0"/>
    </xf>
    <xf numFmtId="0" fontId="160" fillId="48" borderId="76" xfId="8736" applyFont="1" applyFill="1" applyBorder="1" applyAlignment="1" applyProtection="1">
      <alignment horizontal="left" vertical="center" wrapText="1"/>
      <protection locked="0"/>
    </xf>
    <xf numFmtId="0" fontId="163" fillId="48" borderId="72" xfId="8736" applyFont="1" applyFill="1" applyBorder="1" applyAlignment="1" applyProtection="1">
      <alignment horizontal="left" vertical="top" wrapText="1"/>
      <protection locked="0"/>
    </xf>
    <xf numFmtId="0" fontId="163" fillId="48" borderId="11" xfId="8736" applyFont="1" applyFill="1" applyBorder="1" applyAlignment="1" applyProtection="1">
      <alignment horizontal="left" vertical="top" wrapText="1"/>
      <protection locked="0"/>
    </xf>
    <xf numFmtId="0" fontId="163" fillId="48" borderId="69" xfId="8736" applyFont="1" applyFill="1" applyBorder="1" applyAlignment="1" applyProtection="1">
      <alignment horizontal="left" vertical="top" wrapText="1"/>
      <protection locked="0"/>
    </xf>
    <xf numFmtId="0" fontId="163" fillId="48" borderId="70" xfId="8736" applyFont="1" applyFill="1" applyBorder="1" applyAlignment="1" applyProtection="1">
      <alignment horizontal="left" vertical="top" wrapText="1"/>
      <protection locked="0"/>
    </xf>
    <xf numFmtId="0" fontId="160" fillId="48" borderId="11" xfId="8736" applyFont="1" applyFill="1" applyBorder="1" applyAlignment="1" applyProtection="1">
      <alignment horizontal="center" vertical="center" wrapText="1"/>
      <protection locked="0"/>
    </xf>
    <xf numFmtId="0" fontId="160" fillId="48" borderId="76" xfId="8736" applyFont="1" applyFill="1" applyBorder="1" applyAlignment="1" applyProtection="1">
      <alignment horizontal="center" vertical="center" wrapText="1"/>
      <protection locked="0"/>
    </xf>
    <xf numFmtId="0" fontId="160" fillId="48" borderId="70" xfId="8736" applyFont="1" applyFill="1" applyBorder="1" applyAlignment="1" applyProtection="1">
      <alignment horizontal="center" vertical="center" wrapText="1"/>
      <protection locked="0"/>
    </xf>
    <xf numFmtId="0" fontId="160" fillId="48" borderId="77" xfId="8736" applyFont="1" applyFill="1" applyBorder="1" applyAlignment="1" applyProtection="1">
      <alignment horizontal="center" vertical="center" wrapText="1"/>
      <protection locked="0"/>
    </xf>
    <xf numFmtId="0" fontId="167" fillId="45" borderId="72" xfId="8736" applyFont="1" applyFill="1" applyBorder="1" applyAlignment="1">
      <alignment horizontal="left"/>
    </xf>
    <xf numFmtId="0" fontId="167" fillId="45" borderId="11" xfId="8736" applyFont="1" applyFill="1" applyBorder="1" applyAlignment="1">
      <alignment horizontal="left"/>
    </xf>
    <xf numFmtId="0" fontId="167" fillId="45" borderId="69" xfId="8736" applyFont="1" applyFill="1" applyBorder="1" applyAlignment="1">
      <alignment horizontal="left"/>
    </xf>
    <xf numFmtId="0" fontId="167" fillId="45" borderId="70" xfId="8736" applyFont="1" applyFill="1" applyBorder="1" applyAlignment="1">
      <alignment horizontal="left"/>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94" fillId="45" borderId="71" xfId="8736" applyFont="1" applyFill="1" applyBorder="1" applyAlignment="1">
      <alignment horizontal="left" wrapText="1"/>
    </xf>
    <xf numFmtId="0" fontId="94" fillId="45" borderId="76" xfId="8736" applyFont="1" applyFill="1" applyBorder="1" applyAlignment="1">
      <alignment horizontal="left" wrapText="1"/>
    </xf>
    <xf numFmtId="0" fontId="94" fillId="45" borderId="65" xfId="8736" applyFont="1" applyFill="1" applyBorder="1" applyAlignment="1">
      <alignment horizontal="center"/>
    </xf>
    <xf numFmtId="0" fontId="94" fillId="45" borderId="29" xfId="8736" applyFont="1" applyFill="1" applyBorder="1" applyAlignment="1">
      <alignment horizontal="center"/>
    </xf>
    <xf numFmtId="0" fontId="94" fillId="45" borderId="31" xfId="8736" applyFont="1" applyFill="1" applyBorder="1" applyAlignment="1">
      <alignment horizontal="center"/>
    </xf>
    <xf numFmtId="0" fontId="156" fillId="48" borderId="90" xfId="8736" applyFont="1" applyFill="1" applyBorder="1" applyAlignment="1">
      <alignment horizontal="left"/>
    </xf>
    <xf numFmtId="0" fontId="156" fillId="48" borderId="4" xfId="8736" applyFont="1" applyFill="1" applyBorder="1" applyAlignment="1">
      <alignment horizontal="left"/>
    </xf>
    <xf numFmtId="0" fontId="156" fillId="48" borderId="5" xfId="8736" applyFont="1" applyFill="1" applyBorder="1" applyAlignment="1">
      <alignment horizontal="left"/>
    </xf>
    <xf numFmtId="0" fontId="156" fillId="45" borderId="72" xfId="8736" applyFont="1" applyFill="1" applyBorder="1" applyAlignment="1">
      <alignment horizontal="left"/>
    </xf>
    <xf numFmtId="0" fontId="156" fillId="45" borderId="11" xfId="8736" applyFont="1" applyFill="1" applyBorder="1" applyAlignment="1">
      <alignment horizontal="left"/>
    </xf>
    <xf numFmtId="0" fontId="168" fillId="48" borderId="11" xfId="8736" applyFont="1" applyFill="1" applyBorder="1" applyAlignment="1" applyProtection="1">
      <alignment horizontal="left"/>
      <protection locked="0"/>
    </xf>
    <xf numFmtId="0" fontId="168" fillId="48" borderId="76" xfId="8736" applyFont="1" applyFill="1" applyBorder="1" applyAlignment="1" applyProtection="1">
      <alignment horizontal="left"/>
      <protection locked="0"/>
    </xf>
    <xf numFmtId="0" fontId="165" fillId="48" borderId="72" xfId="8736" applyFont="1" applyFill="1" applyBorder="1" applyAlignment="1" applyProtection="1">
      <alignment horizontal="left" vertical="top"/>
      <protection locked="0"/>
    </xf>
    <xf numFmtId="0" fontId="165" fillId="48" borderId="11" xfId="8736" applyFont="1" applyFill="1" applyBorder="1" applyAlignment="1" applyProtection="1">
      <alignment horizontal="left" vertical="top"/>
      <protection locked="0"/>
    </xf>
    <xf numFmtId="0" fontId="165" fillId="48" borderId="76" xfId="8736" applyFont="1" applyFill="1" applyBorder="1" applyAlignment="1" applyProtection="1">
      <alignment horizontal="left" vertical="top"/>
      <protection locked="0"/>
    </xf>
    <xf numFmtId="0" fontId="165" fillId="48" borderId="69" xfId="8736" applyFont="1" applyFill="1" applyBorder="1" applyAlignment="1" applyProtection="1">
      <alignment horizontal="left" vertical="top"/>
      <protection locked="0"/>
    </xf>
    <xf numFmtId="0" fontId="165" fillId="48" borderId="70" xfId="8736" applyFont="1" applyFill="1" applyBorder="1" applyAlignment="1" applyProtection="1">
      <alignment horizontal="left" vertical="top"/>
      <protection locked="0"/>
    </xf>
    <xf numFmtId="0" fontId="165" fillId="48" borderId="77" xfId="8736" applyFont="1" applyFill="1" applyBorder="1" applyAlignment="1" applyProtection="1">
      <alignment horizontal="left" vertical="top"/>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94" fillId="45" borderId="72" xfId="8736" applyFont="1" applyFill="1" applyBorder="1" applyAlignment="1">
      <alignment horizontal="center"/>
    </xf>
    <xf numFmtId="0" fontId="94" fillId="45" borderId="11" xfId="8736" applyFont="1" applyFill="1" applyBorder="1" applyAlignment="1">
      <alignment horizontal="center"/>
    </xf>
    <xf numFmtId="0" fontId="156" fillId="45" borderId="11" xfId="8736" applyFont="1" applyFill="1" applyBorder="1" applyAlignment="1">
      <alignment horizontal="center" wrapText="1"/>
    </xf>
    <xf numFmtId="0" fontId="156" fillId="45" borderId="76" xfId="8736" applyFont="1" applyFill="1" applyBorder="1" applyAlignment="1">
      <alignment horizontal="center" wrapText="1"/>
    </xf>
    <xf numFmtId="0" fontId="170" fillId="45" borderId="11" xfId="8736" applyFont="1" applyFill="1" applyBorder="1" applyAlignment="1">
      <alignment horizontal="left"/>
    </xf>
    <xf numFmtId="0" fontId="170" fillId="45" borderId="76" xfId="8736" applyFont="1" applyFill="1" applyBorder="1" applyAlignment="1">
      <alignment horizontal="left"/>
    </xf>
    <xf numFmtId="0" fontId="162" fillId="45" borderId="72" xfId="8736" applyFont="1" applyFill="1" applyBorder="1" applyAlignment="1">
      <alignment horizontal="center"/>
    </xf>
    <xf numFmtId="0" fontId="162" fillId="45" borderId="11" xfId="8736" applyFont="1" applyFill="1" applyBorder="1" applyAlignment="1">
      <alignment horizontal="center"/>
    </xf>
    <xf numFmtId="0" fontId="165" fillId="48" borderId="11" xfId="8736" applyFont="1" applyFill="1" applyBorder="1" applyAlignment="1" applyProtection="1">
      <alignment horizontal="center"/>
      <protection locked="0"/>
    </xf>
    <xf numFmtId="14" fontId="163" fillId="48" borderId="11" xfId="8736" applyNumberFormat="1" applyFont="1" applyFill="1" applyBorder="1" applyAlignment="1" applyProtection="1">
      <alignment horizontal="center"/>
      <protection locked="0"/>
    </xf>
    <xf numFmtId="14" fontId="165" fillId="48" borderId="11" xfId="8736" applyNumberFormat="1" applyFont="1" applyFill="1" applyBorder="1" applyAlignment="1" applyProtection="1">
      <alignment horizontal="center"/>
      <protection locked="0"/>
    </xf>
    <xf numFmtId="0" fontId="94" fillId="45" borderId="76" xfId="8736" applyFont="1" applyFill="1" applyBorder="1" applyAlignment="1">
      <alignment horizontal="center"/>
    </xf>
    <xf numFmtId="168" fontId="165" fillId="48" borderId="11" xfId="8737" applyNumberFormat="1" applyFont="1" applyFill="1" applyBorder="1" applyAlignment="1" applyProtection="1">
      <alignment horizontal="center"/>
      <protection locked="0"/>
    </xf>
    <xf numFmtId="168" fontId="165" fillId="48" borderId="76" xfId="8737" applyNumberFormat="1" applyFont="1" applyFill="1" applyBorder="1" applyAlignment="1" applyProtection="1">
      <alignment horizontal="center"/>
      <protection locked="0"/>
    </xf>
    <xf numFmtId="0" fontId="166" fillId="48" borderId="11" xfId="8736" applyFont="1" applyFill="1" applyBorder="1" applyAlignment="1" applyProtection="1">
      <alignment horizontal="left"/>
      <protection locked="0"/>
    </xf>
    <xf numFmtId="0" fontId="162" fillId="45" borderId="69" xfId="8736" applyFont="1" applyFill="1" applyBorder="1" applyAlignment="1">
      <alignment horizontal="center"/>
    </xf>
    <xf numFmtId="0" fontId="162" fillId="45" borderId="70" xfId="8736" applyFont="1" applyFill="1" applyBorder="1" applyAlignment="1">
      <alignment horizontal="center"/>
    </xf>
    <xf numFmtId="0" fontId="166" fillId="48" borderId="70" xfId="8736" applyFont="1" applyFill="1" applyBorder="1" applyAlignment="1" applyProtection="1">
      <alignment horizontal="left"/>
      <protection locked="0"/>
    </xf>
    <xf numFmtId="0" fontId="165" fillId="48" borderId="70" xfId="8736" applyFont="1" applyFill="1" applyBorder="1" applyAlignment="1" applyProtection="1">
      <alignment horizontal="center"/>
      <protection locked="0"/>
    </xf>
    <xf numFmtId="14" fontId="165" fillId="48" borderId="70" xfId="8736" applyNumberFormat="1" applyFont="1" applyFill="1" applyBorder="1" applyAlignment="1" applyProtection="1">
      <alignment horizontal="center"/>
      <protection locked="0"/>
    </xf>
    <xf numFmtId="168" fontId="165" fillId="48" borderId="70" xfId="8737" applyNumberFormat="1" applyFont="1" applyFill="1" applyBorder="1" applyAlignment="1" applyProtection="1">
      <alignment horizontal="center"/>
      <protection locked="0"/>
    </xf>
    <xf numFmtId="168" fontId="165" fillId="48" borderId="77" xfId="8737" applyNumberFormat="1" applyFont="1" applyFill="1" applyBorder="1" applyAlignment="1" applyProtection="1">
      <alignment horizontal="center"/>
      <protection locked="0"/>
    </xf>
    <xf numFmtId="0" fontId="157" fillId="45" borderId="67" xfId="8736" applyFont="1" applyFill="1" applyBorder="1" applyAlignment="1">
      <alignment horizontal="left"/>
    </xf>
    <xf numFmtId="0" fontId="157" fillId="45" borderId="68" xfId="8736" applyFont="1" applyFill="1" applyBorder="1" applyAlignment="1">
      <alignment horizontal="left"/>
    </xf>
    <xf numFmtId="0" fontId="157" fillId="45" borderId="71" xfId="8736" applyFont="1" applyFill="1" applyBorder="1" applyAlignment="1">
      <alignment horizontal="left"/>
    </xf>
    <xf numFmtId="14" fontId="163" fillId="48" borderId="76" xfId="8736" applyNumberFormat="1" applyFont="1" applyFill="1" applyBorder="1" applyAlignment="1" applyProtection="1">
      <alignment horizontal="center"/>
      <protection locked="0"/>
    </xf>
    <xf numFmtId="0" fontId="163" fillId="48" borderId="69" xfId="8736" applyFont="1" applyFill="1" applyBorder="1" applyAlignment="1" applyProtection="1">
      <alignment horizontal="center"/>
      <protection locked="0"/>
    </xf>
    <xf numFmtId="0" fontId="163" fillId="48" borderId="70" xfId="8736" applyFont="1" applyFill="1" applyBorder="1" applyAlignment="1" applyProtection="1">
      <alignment horizontal="center"/>
      <protection locked="0"/>
    </xf>
    <xf numFmtId="14" fontId="163" fillId="48" borderId="70" xfId="8736" applyNumberFormat="1" applyFont="1" applyFill="1" applyBorder="1" applyAlignment="1" applyProtection="1">
      <alignment horizontal="center"/>
      <protection locked="0"/>
    </xf>
    <xf numFmtId="14" fontId="163" fillId="48" borderId="77" xfId="8736" applyNumberFormat="1" applyFont="1" applyFill="1" applyBorder="1" applyAlignment="1" applyProtection="1">
      <alignment horizontal="center"/>
      <protection locked="0"/>
    </xf>
    <xf numFmtId="0" fontId="163" fillId="45" borderId="72" xfId="8736" applyFont="1" applyFill="1" applyBorder="1" applyAlignment="1">
      <alignment horizontal="right"/>
    </xf>
    <xf numFmtId="0" fontId="163" fillId="45" borderId="11" xfId="8736" applyFont="1" applyFill="1" applyBorder="1" applyAlignment="1">
      <alignment horizontal="right"/>
    </xf>
    <xf numFmtId="168" fontId="165" fillId="44" borderId="11" xfId="700" applyNumberFormat="1" applyFont="1" applyFill="1" applyBorder="1" applyAlignment="1">
      <alignment horizontal="left"/>
    </xf>
    <xf numFmtId="0" fontId="94" fillId="45" borderId="65" xfId="8736" applyFont="1" applyFill="1" applyBorder="1" applyAlignment="1">
      <alignment horizontal="left" wrapText="1"/>
    </xf>
    <xf numFmtId="0" fontId="94" fillId="45" borderId="29" xfId="8736" applyFont="1" applyFill="1" applyBorder="1" applyAlignment="1">
      <alignment horizontal="left" wrapText="1"/>
    </xf>
    <xf numFmtId="0" fontId="94" fillId="45" borderId="31" xfId="8736" applyFont="1" applyFill="1" applyBorder="1" applyAlignment="1">
      <alignment horizontal="left" wrapText="1"/>
    </xf>
    <xf numFmtId="0" fontId="94" fillId="45" borderId="73" xfId="8736" applyFont="1" applyFill="1" applyBorder="1" applyAlignment="1">
      <alignment horizontal="left" wrapText="1"/>
    </xf>
    <xf numFmtId="0" fontId="94" fillId="45" borderId="42" xfId="8736" applyFont="1" applyFill="1" applyBorder="1" applyAlignment="1">
      <alignment horizontal="left" wrapText="1"/>
    </xf>
    <xf numFmtId="0" fontId="94" fillId="45" borderId="44" xfId="8736" applyFont="1" applyFill="1" applyBorder="1" applyAlignment="1">
      <alignment horizontal="left" wrapText="1"/>
    </xf>
    <xf numFmtId="168" fontId="163" fillId="48" borderId="11" xfId="700" applyNumberFormat="1" applyFont="1" applyFill="1" applyBorder="1" applyAlignment="1" applyProtection="1">
      <alignment horizontal="left"/>
      <protection locked="0"/>
    </xf>
    <xf numFmtId="43" fontId="160" fillId="50" borderId="72" xfId="698" applyFont="1" applyFill="1" applyBorder="1" applyAlignment="1" applyProtection="1">
      <alignment horizontal="left"/>
      <protection hidden="1"/>
    </xf>
    <xf numFmtId="43" fontId="160"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4" fillId="47" borderId="0" xfId="8736" applyFont="1" applyFill="1" applyAlignment="1">
      <alignment horizontal="center"/>
    </xf>
    <xf numFmtId="0" fontId="164" fillId="51" borderId="11" xfId="8736" applyFont="1" applyFill="1" applyBorder="1" applyAlignment="1">
      <alignment horizontal="center"/>
    </xf>
    <xf numFmtId="0" fontId="164" fillId="51" borderId="76" xfId="8736" applyFont="1" applyFill="1" applyBorder="1" applyAlignment="1">
      <alignment horizontal="center"/>
    </xf>
    <xf numFmtId="0" fontId="165" fillId="45" borderId="72" xfId="8736" applyFont="1" applyFill="1" applyBorder="1" applyAlignment="1">
      <alignment horizontal="right"/>
    </xf>
    <xf numFmtId="0" fontId="165" fillId="45" borderId="11" xfId="8736" applyFont="1" applyFill="1" applyBorder="1" applyAlignment="1">
      <alignment horizontal="right"/>
    </xf>
    <xf numFmtId="168" fontId="163" fillId="44" borderId="11" xfId="700" applyNumberFormat="1" applyFont="1" applyFill="1" applyBorder="1" applyAlignment="1" applyProtection="1">
      <alignment horizontal="left"/>
      <protection locked="0"/>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43" fontId="157" fillId="50" borderId="111" xfId="698" applyFont="1" applyFill="1" applyBorder="1" applyAlignment="1" applyProtection="1">
      <alignment horizontal="center"/>
      <protection hidden="1"/>
    </xf>
    <xf numFmtId="43" fontId="157" fillId="50" borderId="84" xfId="698" applyFont="1" applyFill="1" applyBorder="1" applyAlignment="1" applyProtection="1">
      <alignment horizontal="center"/>
      <protection hidden="1"/>
    </xf>
    <xf numFmtId="43" fontId="157" fillId="50" borderId="102" xfId="698" applyFont="1" applyFill="1" applyBorder="1" applyAlignment="1" applyProtection="1">
      <alignment horizontal="center"/>
      <protection hidden="1"/>
    </xf>
    <xf numFmtId="43" fontId="160" fillId="50" borderId="98" xfId="698" applyFont="1" applyFill="1" applyBorder="1" applyAlignment="1" applyProtection="1">
      <alignment horizontal="left"/>
      <protection hidden="1"/>
    </xf>
    <xf numFmtId="43" fontId="160"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3" fillId="48" borderId="9" xfId="8736" applyFont="1" applyFill="1" applyBorder="1" applyAlignment="1">
      <alignment horizontal="center"/>
    </xf>
    <xf numFmtId="0" fontId="163" fillId="48" borderId="6" xfId="8736" applyFont="1" applyFill="1" applyBorder="1" applyAlignment="1">
      <alignment horizontal="center"/>
    </xf>
    <xf numFmtId="0" fontId="163" fillId="48" borderId="82" xfId="8736" applyFont="1" applyFill="1" applyBorder="1" applyAlignment="1">
      <alignment horizontal="center"/>
    </xf>
    <xf numFmtId="0" fontId="165" fillId="48" borderId="11"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65" fillId="48" borderId="72" xfId="8736" applyFont="1" applyFill="1" applyBorder="1" applyAlignment="1" applyProtection="1">
      <alignment horizontal="center"/>
      <protection locked="0"/>
    </xf>
    <xf numFmtId="43" fontId="160" fillId="50" borderId="72" xfId="698" applyFont="1" applyFill="1" applyBorder="1" applyAlignment="1" applyProtection="1">
      <alignment horizontal="left" wrapText="1"/>
      <protection hidden="1"/>
    </xf>
    <xf numFmtId="43" fontId="160"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5" fillId="45" borderId="67" xfId="8736" applyFont="1" applyFill="1" applyBorder="1" applyAlignment="1">
      <alignment horizontal="right"/>
    </xf>
    <xf numFmtId="0" fontId="165" fillId="45" borderId="68" xfId="8736" applyFont="1" applyFill="1" applyBorder="1" applyAlignment="1">
      <alignment horizontal="right"/>
    </xf>
    <xf numFmtId="168" fontId="160" fillId="44" borderId="68" xfId="700" applyNumberFormat="1" applyFont="1" applyFill="1" applyBorder="1" applyAlignment="1">
      <alignment horizontal="left"/>
    </xf>
    <xf numFmtId="168" fontId="160" fillId="44" borderId="71" xfId="700" applyNumberFormat="1" applyFont="1" applyFill="1" applyBorder="1" applyAlignment="1">
      <alignment horizontal="left"/>
    </xf>
    <xf numFmtId="0" fontId="162" fillId="48" borderId="66" xfId="8736" applyFont="1" applyFill="1" applyBorder="1" applyAlignment="1">
      <alignment horizontal="left" wrapText="1"/>
    </xf>
    <xf numFmtId="0" fontId="162" fillId="48" borderId="0" xfId="8736" applyFont="1" applyFill="1" applyAlignment="1">
      <alignment horizontal="left" wrapText="1"/>
    </xf>
    <xf numFmtId="0" fontId="162" fillId="48" borderId="41" xfId="8736" applyFont="1" applyFill="1" applyBorder="1" applyAlignment="1">
      <alignment horizontal="left" wrapText="1"/>
    </xf>
    <xf numFmtId="0" fontId="162" fillId="48" borderId="73" xfId="8736" applyFont="1" applyFill="1" applyBorder="1" applyAlignment="1">
      <alignment horizontal="left" wrapText="1"/>
    </xf>
    <xf numFmtId="0" fontId="162" fillId="48" borderId="42" xfId="8736" applyFont="1" applyFill="1" applyBorder="1" applyAlignment="1">
      <alignment horizontal="left" wrapText="1"/>
    </xf>
    <xf numFmtId="0" fontId="162" fillId="48" borderId="44" xfId="8736" applyFont="1" applyFill="1" applyBorder="1" applyAlignment="1">
      <alignment horizontal="left" wrapText="1"/>
    </xf>
    <xf numFmtId="0" fontId="164" fillId="45" borderId="69" xfId="8736" applyFont="1" applyFill="1" applyBorder="1" applyAlignment="1">
      <alignment horizontal="right"/>
    </xf>
    <xf numFmtId="0" fontId="164" fillId="45" borderId="70" xfId="8736" applyFont="1" applyFill="1" applyBorder="1" applyAlignment="1">
      <alignment horizontal="right"/>
    </xf>
    <xf numFmtId="0" fontId="156" fillId="44" borderId="70" xfId="700" applyNumberFormat="1" applyFont="1" applyFill="1" applyBorder="1" applyAlignment="1">
      <alignment horizontal="left"/>
    </xf>
    <xf numFmtId="168" fontId="156" fillId="44" borderId="70" xfId="700" applyNumberFormat="1" applyFont="1" applyFill="1" applyBorder="1" applyAlignment="1">
      <alignment horizontal="left"/>
    </xf>
    <xf numFmtId="168" fontId="156" fillId="44" borderId="77" xfId="700" applyNumberFormat="1" applyFont="1" applyFill="1" applyBorder="1" applyAlignment="1">
      <alignment horizontal="left"/>
    </xf>
    <xf numFmtId="0" fontId="157" fillId="47" borderId="0" xfId="8736" applyFont="1" applyFill="1" applyAlignment="1">
      <alignment horizontal="right"/>
    </xf>
    <xf numFmtId="168" fontId="161" fillId="47" borderId="0" xfId="700" applyNumberFormat="1" applyFont="1" applyFill="1" applyBorder="1" applyAlignment="1" applyProtection="1">
      <alignment horizontal="left"/>
      <protection locked="0"/>
    </xf>
    <xf numFmtId="0" fontId="163" fillId="48" borderId="87" xfId="8736" applyFont="1" applyFill="1" applyBorder="1" applyAlignment="1" applyProtection="1">
      <alignment horizontal="center"/>
      <protection locked="0"/>
    </xf>
    <xf numFmtId="0" fontId="163" fillId="48" borderId="86" xfId="8736" applyFont="1" applyFill="1" applyBorder="1" applyAlignment="1" applyProtection="1">
      <alignment horizontal="center"/>
      <protection locked="0"/>
    </xf>
    <xf numFmtId="0" fontId="165" fillId="48" borderId="70" xfId="8736" applyFont="1" applyFill="1" applyBorder="1" applyAlignment="1" applyProtection="1">
      <alignment horizontal="left"/>
      <protection locked="0"/>
    </xf>
    <xf numFmtId="0" fontId="165" fillId="48" borderId="77" xfId="8736" applyFont="1" applyFill="1" applyBorder="1" applyAlignment="1" applyProtection="1">
      <alignment horizontal="left"/>
      <protection locked="0"/>
    </xf>
    <xf numFmtId="168" fontId="163" fillId="48" borderId="86" xfId="700" applyNumberFormat="1" applyFont="1" applyFill="1" applyBorder="1" applyAlignment="1" applyProtection="1">
      <alignment horizontal="left"/>
      <protection locked="0"/>
    </xf>
    <xf numFmtId="168" fontId="163" fillId="48" borderId="85" xfId="700" applyNumberFormat="1" applyFont="1" applyFill="1" applyBorder="1" applyAlignment="1" applyProtection="1">
      <alignment horizontal="left"/>
      <protection locked="0"/>
    </xf>
    <xf numFmtId="0" fontId="163" fillId="48" borderId="87" xfId="8736" applyFont="1" applyFill="1" applyBorder="1" applyAlignment="1" applyProtection="1">
      <alignment horizontal="left"/>
      <protection locked="0"/>
    </xf>
    <xf numFmtId="0" fontId="163" fillId="48" borderId="86" xfId="8736" applyFont="1" applyFill="1" applyBorder="1" applyAlignment="1" applyProtection="1">
      <alignment horizontal="left"/>
      <protection locked="0"/>
    </xf>
    <xf numFmtId="0" fontId="163" fillId="48" borderId="85" xfId="8736" applyFont="1" applyFill="1" applyBorder="1" applyAlignment="1" applyProtection="1">
      <alignment horizontal="left"/>
      <protection locked="0"/>
    </xf>
    <xf numFmtId="0" fontId="94" fillId="48" borderId="80" xfId="8736" applyFont="1" applyFill="1" applyBorder="1" applyAlignment="1">
      <alignment horizontal="left"/>
    </xf>
    <xf numFmtId="0" fontId="94"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3"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56" fillId="45" borderId="80" xfId="569" applyFont="1" applyFill="1" applyBorder="1" applyAlignment="1" applyProtection="1">
      <alignment horizontal="center" wrapText="1"/>
      <protection hidden="1"/>
    </xf>
    <xf numFmtId="0" fontId="156" fillId="45" borderId="79" xfId="569" applyFont="1" applyFill="1" applyBorder="1" applyAlignment="1" applyProtection="1">
      <alignment horizontal="center" wrapText="1"/>
      <protection hidden="1"/>
    </xf>
    <xf numFmtId="0" fontId="156" fillId="45" borderId="78" xfId="569" applyFont="1" applyFill="1" applyBorder="1" applyAlignment="1" applyProtection="1">
      <alignment horizontal="center" wrapText="1"/>
      <protection hidden="1"/>
    </xf>
    <xf numFmtId="0" fontId="156" fillId="45" borderId="13" xfId="569" applyFont="1" applyFill="1" applyBorder="1" applyAlignment="1" applyProtection="1">
      <alignment horizontal="left" wrapText="1"/>
      <protection hidden="1"/>
    </xf>
    <xf numFmtId="0" fontId="156" fillId="45" borderId="13" xfId="569" applyFont="1" applyFill="1" applyBorder="1" applyAlignment="1" applyProtection="1">
      <alignment horizontal="center" wrapText="1"/>
      <protection hidden="1"/>
    </xf>
    <xf numFmtId="0" fontId="162" fillId="45" borderId="11" xfId="8736" applyFont="1" applyFill="1" applyBorder="1" applyAlignment="1">
      <alignment horizontal="left" wrapText="1"/>
    </xf>
    <xf numFmtId="43" fontId="157" fillId="45" borderId="80" xfId="698" applyFont="1" applyFill="1" applyBorder="1" applyAlignment="1" applyProtection="1">
      <alignment horizontal="center"/>
      <protection hidden="1"/>
    </xf>
    <xf numFmtId="43" fontId="157" fillId="45" borderId="79" xfId="698" applyFont="1" applyFill="1" applyBorder="1" applyAlignment="1" applyProtection="1">
      <alignment horizontal="center"/>
      <protection hidden="1"/>
    </xf>
    <xf numFmtId="43" fontId="157" fillId="45" borderId="78" xfId="698" applyFont="1" applyFill="1" applyBorder="1" applyAlignment="1" applyProtection="1">
      <alignment horizontal="center"/>
      <protection hidden="1"/>
    </xf>
    <xf numFmtId="43" fontId="161" fillId="49" borderId="66" xfId="698" applyFont="1" applyFill="1" applyBorder="1" applyAlignment="1" applyProtection="1">
      <alignment horizontal="center" wrapText="1"/>
      <protection hidden="1"/>
    </xf>
    <xf numFmtId="43" fontId="161" fillId="49" borderId="0" xfId="698" applyFont="1" applyFill="1" applyBorder="1" applyAlignment="1" applyProtection="1">
      <alignment horizontal="center" wrapText="1"/>
      <protection hidden="1"/>
    </xf>
    <xf numFmtId="43" fontId="161" fillId="49" borderId="12" xfId="698" applyFont="1" applyFill="1" applyBorder="1" applyAlignment="1" applyProtection="1">
      <alignment horizontal="center" wrapText="1"/>
      <protection hidden="1"/>
    </xf>
    <xf numFmtId="43" fontId="161" fillId="49" borderId="83" xfId="698" applyFont="1" applyFill="1" applyBorder="1" applyAlignment="1" applyProtection="1">
      <alignment horizontal="center" wrapText="1"/>
      <protection hidden="1"/>
    </xf>
    <xf numFmtId="43" fontId="161" fillId="49" borderId="6" xfId="698" applyFont="1" applyFill="1" applyBorder="1" applyAlignment="1" applyProtection="1">
      <alignment horizontal="center" wrapText="1"/>
      <protection hidden="1"/>
    </xf>
    <xf numFmtId="43" fontId="161" fillId="49" borderId="10" xfId="698" applyFont="1" applyFill="1" applyBorder="1" applyAlignment="1" applyProtection="1">
      <alignment horizontal="center" wrapText="1"/>
      <protection hidden="1"/>
    </xf>
    <xf numFmtId="43" fontId="161" fillId="49" borderId="8" xfId="698" applyFont="1" applyFill="1" applyBorder="1" applyAlignment="1" applyProtection="1">
      <alignment horizontal="center" wrapText="1"/>
      <protection hidden="1"/>
    </xf>
    <xf numFmtId="43" fontId="161" fillId="49" borderId="9" xfId="698" applyFont="1" applyFill="1" applyBorder="1" applyAlignment="1" applyProtection="1">
      <alignment horizontal="center" wrapText="1"/>
      <protection hidden="1"/>
    </xf>
    <xf numFmtId="14" fontId="161" fillId="0" borderId="8" xfId="700" applyNumberFormat="1" applyFont="1" applyFill="1" applyBorder="1" applyAlignment="1" applyProtection="1">
      <alignment horizontal="center" wrapText="1"/>
      <protection hidden="1"/>
    </xf>
    <xf numFmtId="14" fontId="161" fillId="0" borderId="0" xfId="700" applyNumberFormat="1" applyFont="1" applyFill="1" applyBorder="1" applyAlignment="1" applyProtection="1">
      <alignment horizontal="center" wrapText="1"/>
      <protection hidden="1"/>
    </xf>
    <xf numFmtId="14" fontId="161" fillId="0" borderId="12" xfId="700" applyNumberFormat="1" applyFont="1" applyFill="1" applyBorder="1" applyAlignment="1" applyProtection="1">
      <alignment horizontal="center" wrapText="1"/>
      <protection hidden="1"/>
    </xf>
    <xf numFmtId="14" fontId="161" fillId="0" borderId="9" xfId="700" applyNumberFormat="1" applyFont="1" applyFill="1" applyBorder="1" applyAlignment="1" applyProtection="1">
      <alignment horizontal="center" wrapText="1"/>
      <protection hidden="1"/>
    </xf>
    <xf numFmtId="14" fontId="161" fillId="0" borderId="6" xfId="700" applyNumberFormat="1" applyFont="1" applyFill="1" applyBorder="1" applyAlignment="1" applyProtection="1">
      <alignment horizontal="center" wrapText="1"/>
      <protection hidden="1"/>
    </xf>
    <xf numFmtId="14" fontId="161" fillId="0" borderId="10" xfId="700" applyNumberFormat="1" applyFont="1" applyFill="1" applyBorder="1" applyAlignment="1" applyProtection="1">
      <alignment horizontal="center" wrapText="1"/>
      <protection hidden="1"/>
    </xf>
    <xf numFmtId="44" fontId="161" fillId="0" borderId="8" xfId="700" applyFont="1" applyBorder="1" applyAlignment="1" applyProtection="1">
      <alignment horizontal="center" wrapText="1"/>
      <protection hidden="1"/>
    </xf>
    <xf numFmtId="44" fontId="161" fillId="0" borderId="0" xfId="700" applyFont="1" applyBorder="1" applyAlignment="1" applyProtection="1">
      <alignment horizontal="center" wrapText="1"/>
      <protection hidden="1"/>
    </xf>
    <xf numFmtId="44" fontId="161" fillId="0" borderId="12" xfId="700" applyFont="1" applyBorder="1" applyAlignment="1" applyProtection="1">
      <alignment horizontal="center" wrapText="1"/>
      <protection hidden="1"/>
    </xf>
    <xf numFmtId="44" fontId="161" fillId="0" borderId="9" xfId="700" applyFont="1" applyBorder="1" applyAlignment="1" applyProtection="1">
      <alignment horizontal="center" wrapText="1"/>
      <protection hidden="1"/>
    </xf>
    <xf numFmtId="44" fontId="161" fillId="0" borderId="6" xfId="700" applyFont="1" applyBorder="1" applyAlignment="1" applyProtection="1">
      <alignment horizontal="center" wrapText="1"/>
      <protection hidden="1"/>
    </xf>
    <xf numFmtId="44" fontId="161" fillId="0" borderId="10" xfId="700" applyFont="1" applyBorder="1" applyAlignment="1" applyProtection="1">
      <alignment horizontal="center" wrapText="1"/>
      <protection hidden="1"/>
    </xf>
    <xf numFmtId="43" fontId="161" fillId="49" borderId="41" xfId="698" applyFont="1" applyFill="1" applyBorder="1" applyAlignment="1" applyProtection="1">
      <alignment horizontal="center" wrapText="1"/>
      <protection hidden="1"/>
    </xf>
    <xf numFmtId="43" fontId="161" fillId="49" borderId="82" xfId="698" applyFont="1" applyFill="1" applyBorder="1" applyAlignment="1" applyProtection="1">
      <alignment horizontal="center" wrapText="1"/>
      <protection hidden="1"/>
    </xf>
    <xf numFmtId="0" fontId="159" fillId="50" borderId="3" xfId="698" applyNumberFormat="1" applyFont="1" applyFill="1" applyBorder="1" applyAlignment="1" applyProtection="1">
      <alignment horizontal="center"/>
      <protection locked="0"/>
    </xf>
    <xf numFmtId="0" fontId="159" fillId="50" borderId="4" xfId="698" applyNumberFormat="1" applyFont="1" applyFill="1" applyBorder="1" applyAlignment="1" applyProtection="1">
      <alignment horizontal="center"/>
      <protection locked="0"/>
    </xf>
    <xf numFmtId="0" fontId="159" fillId="50" borderId="81" xfId="698" applyNumberFormat="1" applyFont="1" applyFill="1" applyBorder="1" applyAlignment="1" applyProtection="1">
      <alignment horizontal="center"/>
      <protection locked="0"/>
    </xf>
    <xf numFmtId="0" fontId="160" fillId="49" borderId="72" xfId="698" applyNumberFormat="1" applyFont="1" applyFill="1" applyBorder="1" applyAlignment="1" applyProtection="1">
      <alignment horizontal="center"/>
      <protection hidden="1"/>
    </xf>
    <xf numFmtId="0" fontId="160" fillId="49" borderId="11" xfId="698" applyNumberFormat="1" applyFont="1" applyFill="1" applyBorder="1" applyAlignment="1" applyProtection="1">
      <alignment horizontal="center"/>
      <protection hidden="1"/>
    </xf>
    <xf numFmtId="0" fontId="160" fillId="48" borderId="11" xfId="569" applyFont="1" applyFill="1" applyBorder="1" applyAlignment="1" applyProtection="1">
      <alignment horizontal="center"/>
      <protection locked="0"/>
    </xf>
    <xf numFmtId="14" fontId="159" fillId="48" borderId="11" xfId="700" applyNumberFormat="1" applyFont="1" applyFill="1" applyBorder="1" applyAlignment="1" applyProtection="1">
      <alignment horizontal="center"/>
      <protection locked="0"/>
    </xf>
    <xf numFmtId="168" fontId="160" fillId="48" borderId="11" xfId="700" applyNumberFormat="1" applyFont="1" applyFill="1" applyBorder="1" applyAlignment="1" applyProtection="1">
      <alignment horizontal="center"/>
      <protection locked="0"/>
    </xf>
    <xf numFmtId="9" fontId="160" fillId="48" borderId="11" xfId="1022" applyFont="1" applyFill="1" applyBorder="1" applyAlignment="1" applyProtection="1">
      <alignment horizontal="center"/>
      <protection locked="0"/>
    </xf>
    <xf numFmtId="44" fontId="159" fillId="48" borderId="11" xfId="700" applyFont="1" applyFill="1" applyBorder="1" applyAlignment="1" applyProtection="1">
      <alignment horizontal="center"/>
      <protection locked="0"/>
    </xf>
    <xf numFmtId="0" fontId="158" fillId="47" borderId="65" xfId="8736" applyFont="1" applyFill="1" applyBorder="1" applyAlignment="1">
      <alignment horizontal="center"/>
    </xf>
    <xf numFmtId="0" fontId="158" fillId="47" borderId="29" xfId="8736" applyFont="1" applyFill="1" applyBorder="1" applyAlignment="1">
      <alignment horizontal="center"/>
    </xf>
    <xf numFmtId="0" fontId="15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57" fillId="47" borderId="66" xfId="8736" applyFont="1" applyFill="1" applyBorder="1" applyAlignment="1">
      <alignment horizontal="center"/>
    </xf>
    <xf numFmtId="0" fontId="157" fillId="47" borderId="0" xfId="8736" applyFont="1" applyFill="1" applyAlignment="1">
      <alignment horizontal="center"/>
    </xf>
    <xf numFmtId="0" fontId="157" fillId="47" borderId="41" xfId="8736" applyFont="1" applyFill="1" applyBorder="1" applyAlignment="1">
      <alignment horizontal="center"/>
    </xf>
    <xf numFmtId="0" fontId="94" fillId="47" borderId="66" xfId="8736" applyFont="1" applyFill="1" applyBorder="1" applyAlignment="1">
      <alignment horizontal="center"/>
    </xf>
    <xf numFmtId="0" fontId="94" fillId="47" borderId="41" xfId="8736" applyFont="1" applyFill="1" applyBorder="1" applyAlignment="1">
      <alignment horizontal="center"/>
    </xf>
    <xf numFmtId="0" fontId="94" fillId="47" borderId="0" xfId="8736" applyFont="1" applyFill="1" applyAlignment="1">
      <alignment horizontal="left"/>
    </xf>
    <xf numFmtId="43" fontId="157" fillId="49" borderId="72" xfId="698" applyFont="1" applyFill="1" applyBorder="1" applyAlignment="1" applyProtection="1">
      <alignment horizontal="right"/>
      <protection hidden="1"/>
    </xf>
    <xf numFmtId="43" fontId="157" fillId="49" borderId="11" xfId="698" applyFont="1" applyFill="1" applyBorder="1" applyAlignment="1" applyProtection="1">
      <alignment horizontal="right"/>
      <protection hidden="1"/>
    </xf>
    <xf numFmtId="44" fontId="157" fillId="0" borderId="11" xfId="700" applyFont="1" applyBorder="1" applyAlignment="1" applyProtection="1">
      <alignment horizontal="center"/>
      <protection hidden="1"/>
    </xf>
    <xf numFmtId="168" fontId="157" fillId="0" borderId="11" xfId="700" applyNumberFormat="1" applyFont="1" applyBorder="1" applyAlignment="1" applyProtection="1">
      <alignment horizontal="center"/>
      <protection hidden="1"/>
    </xf>
    <xf numFmtId="9" fontId="157" fillId="0" borderId="11" xfId="1022" applyFont="1" applyBorder="1" applyAlignment="1" applyProtection="1">
      <alignment horizontal="center"/>
      <protection hidden="1"/>
    </xf>
    <xf numFmtId="43" fontId="157" fillId="49" borderId="3" xfId="698" applyFont="1" applyFill="1" applyBorder="1" applyAlignment="1" applyProtection="1">
      <alignment horizontal="center"/>
      <protection hidden="1"/>
    </xf>
    <xf numFmtId="43" fontId="157" fillId="49" borderId="4" xfId="698" applyFont="1" applyFill="1" applyBorder="1" applyAlignment="1" applyProtection="1">
      <alignment horizontal="center"/>
      <protection hidden="1"/>
    </xf>
    <xf numFmtId="43" fontId="157" fillId="49" borderId="81" xfId="698" applyFont="1" applyFill="1" applyBorder="1" applyAlignment="1" applyProtection="1">
      <alignment horizontal="center"/>
      <protection hidden="1"/>
    </xf>
    <xf numFmtId="0" fontId="9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56" fillId="44" borderId="0" xfId="8736" applyFont="1" applyFill="1" applyAlignment="1">
      <alignment horizontal="left" vertical="top"/>
    </xf>
    <xf numFmtId="0" fontId="9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57" fillId="47" borderId="0" xfId="8736" applyFont="1" applyFill="1" applyAlignment="1">
      <alignment horizontal="left" vertical="top" wrapText="1"/>
    </xf>
    <xf numFmtId="0" fontId="9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168" fontId="19" fillId="0" borderId="11" xfId="569" applyNumberFormat="1" applyBorder="1" applyAlignment="1">
      <alignment horizontal="right"/>
    </xf>
    <xf numFmtId="9" fontId="19" fillId="0" borderId="15" xfId="569" applyNumberFormat="1" applyBorder="1" applyAlignment="1">
      <alignment horizontal="center"/>
    </xf>
    <xf numFmtId="168" fontId="19" fillId="0" borderId="11" xfId="569" applyNumberFormat="1" applyBorder="1" applyAlignment="1">
      <alignment horizontal="center"/>
    </xf>
    <xf numFmtId="0" fontId="19" fillId="0" borderId="11"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99" fillId="0" borderId="0" xfId="0" applyFont="1" applyAlignment="1">
      <alignment horizontal="left" vertical="top"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6" xfId="569" applyFont="1" applyBorder="1" applyAlignment="1">
      <alignment horizontal="center"/>
    </xf>
    <xf numFmtId="168" fontId="19" fillId="0" borderId="3" xfId="569" applyNumberForma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0" fontId="99" fillId="0" borderId="0" xfId="569" applyFont="1" applyAlignment="1">
      <alignment horizontal="left" wrapText="1"/>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0" fontId="26" fillId="0" borderId="16" xfId="271" applyFont="1" applyBorder="1" applyAlignment="1">
      <alignment horizontal="center"/>
    </xf>
    <xf numFmtId="168" fontId="19" fillId="0" borderId="4" xfId="569" applyNumberFormat="1" applyBorder="1" applyAlignment="1">
      <alignment horizontal="center"/>
    </xf>
    <xf numFmtId="168" fontId="19" fillId="0" borderId="5" xfId="569" applyNumberFormat="1" applyBorder="1" applyAlignment="1">
      <alignment horizontal="center"/>
    </xf>
    <xf numFmtId="0" fontId="26" fillId="0" borderId="11" xfId="569" applyFont="1" applyBorder="1" applyAlignment="1">
      <alignment horizontal="center"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0" fontId="48" fillId="0" borderId="0" xfId="569" applyFont="1" applyAlignment="1">
      <alignment horizontal="left"/>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9" fontId="19" fillId="0" borderId="5" xfId="569" applyNumberFormat="1" applyBorder="1" applyAlignment="1">
      <alignment horizontal="center"/>
    </xf>
    <xf numFmtId="9" fontId="19" fillId="0" borderId="11"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168" fontId="19" fillId="0" borderId="7" xfId="569" applyNumberFormat="1" applyBorder="1" applyAlignment="1">
      <alignment horizontal="center"/>
    </xf>
    <xf numFmtId="168" fontId="19" fillId="0" borderId="15"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179" fontId="26" fillId="0" borderId="0" xfId="569" applyNumberFormat="1" applyFont="1" applyAlignment="1">
      <alignment horizontal="center" wrapText="1"/>
    </xf>
    <xf numFmtId="164" fontId="26" fillId="0" borderId="0" xfId="569" applyNumberFormat="1" applyFont="1" applyAlignment="1">
      <alignment horizontal="center" wrapText="1"/>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27" fillId="0" borderId="0" xfId="4495" applyFont="1" applyAlignment="1">
      <alignment horizontal="left" vertical="top" wrapText="1"/>
    </xf>
    <xf numFmtId="0" fontId="114" fillId="5" borderId="6" xfId="4496" applyFont="1" applyFill="1" applyBorder="1" applyAlignment="1" applyProtection="1">
      <alignment horizontal="center"/>
      <protection locked="0"/>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114" fillId="0" borderId="50" xfId="4496" applyFont="1" applyBorder="1" applyAlignment="1">
      <alignment horizontal="left" vertical="top" wrapText="1"/>
    </xf>
    <xf numFmtId="0" fontId="114" fillId="0" borderId="51" xfId="4496" applyFont="1" applyBorder="1" applyAlignment="1">
      <alignment horizontal="left" vertical="top" wrapText="1"/>
    </xf>
    <xf numFmtId="0" fontId="114" fillId="0" borderId="52" xfId="4496" applyFont="1" applyBorder="1" applyAlignment="1">
      <alignment horizontal="left" vertical="top" wrapText="1"/>
    </xf>
    <xf numFmtId="0" fontId="114" fillId="0" borderId="57" xfId="4496" applyFont="1" applyBorder="1" applyAlignment="1">
      <alignment horizontal="left" vertical="top" wrapText="1"/>
    </xf>
    <xf numFmtId="0" fontId="114" fillId="0" borderId="58" xfId="4496" applyFont="1" applyBorder="1" applyAlignment="1">
      <alignment horizontal="left" vertical="top" wrapText="1"/>
    </xf>
    <xf numFmtId="0" fontId="114" fillId="0" borderId="59" xfId="4496" applyFont="1" applyBorder="1" applyAlignment="1">
      <alignment horizontal="left" vertical="top"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65" fontId="114" fillId="0" borderId="55" xfId="4496" applyNumberFormat="1" applyFont="1" applyBorder="1" applyAlignment="1">
      <alignment horizontal="center" vertical="top" wrapText="1"/>
    </xf>
    <xf numFmtId="165" fontId="114" fillId="0" borderId="6" xfId="4496" applyNumberFormat="1" applyFont="1" applyBorder="1" applyAlignment="1">
      <alignment horizontal="center" vertical="top" wrapText="1"/>
    </xf>
    <xf numFmtId="165" fontId="114" fillId="0" borderId="60" xfId="4496" applyNumberFormat="1" applyFont="1" applyBorder="1" applyAlignment="1">
      <alignment horizontal="center" vertical="top" wrapText="1"/>
    </xf>
    <xf numFmtId="165" fontId="114" fillId="0" borderId="4" xfId="4496" applyNumberFormat="1" applyFont="1" applyBorder="1" applyAlignment="1">
      <alignment horizontal="center" vertical="top" wrapText="1"/>
    </xf>
    <xf numFmtId="0" fontId="114" fillId="5" borderId="60" xfId="4496" applyFont="1" applyFill="1" applyBorder="1" applyAlignment="1" applyProtection="1">
      <alignment horizontal="center"/>
      <protection locked="0"/>
    </xf>
    <xf numFmtId="0" fontId="114" fillId="5" borderId="4" xfId="4496" applyFont="1" applyFill="1" applyBorder="1" applyAlignment="1" applyProtection="1">
      <alignment horizontal="center"/>
      <protection locked="0"/>
    </xf>
    <xf numFmtId="0" fontId="26" fillId="0" borderId="0" xfId="4495" applyFont="1" applyAlignment="1">
      <alignment horizontal="right"/>
    </xf>
    <xf numFmtId="0" fontId="114" fillId="0" borderId="53" xfId="4496" applyFont="1" applyBorder="1" applyAlignment="1">
      <alignment horizontal="left" vertical="top" wrapText="1"/>
    </xf>
    <xf numFmtId="0" fontId="114" fillId="0" borderId="0" xfId="4496" applyFont="1" applyAlignment="1">
      <alignment horizontal="left" vertical="top" wrapText="1"/>
    </xf>
    <xf numFmtId="0" fontId="114" fillId="0" borderId="54" xfId="4496" applyFont="1" applyBorder="1" applyAlignment="1">
      <alignment horizontal="left" vertical="top" wrapText="1"/>
    </xf>
    <xf numFmtId="0" fontId="114" fillId="5" borderId="55" xfId="4496" applyFont="1" applyFill="1" applyBorder="1" applyAlignment="1" applyProtection="1">
      <alignment horizontal="center"/>
      <protection locked="0"/>
    </xf>
    <xf numFmtId="168" fontId="114" fillId="0" borderId="55" xfId="4496" applyNumberFormat="1" applyFont="1" applyBorder="1" applyAlignment="1">
      <alignment horizontal="center" vertical="top"/>
    </xf>
    <xf numFmtId="168" fontId="114" fillId="0" borderId="6" xfId="4496" applyNumberFormat="1" applyFont="1" applyBorder="1" applyAlignment="1">
      <alignment horizontal="center" vertical="top"/>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114" fillId="0" borderId="3" xfId="4496" applyNumberFormat="1" applyFont="1" applyBorder="1" applyAlignment="1">
      <alignment horizontal="center" vertical="top" wrapText="1"/>
    </xf>
    <xf numFmtId="10" fontId="114" fillId="0" borderId="4" xfId="4496" applyNumberFormat="1" applyFont="1" applyBorder="1" applyAlignment="1">
      <alignment horizontal="center" vertical="top" wrapText="1"/>
    </xf>
    <xf numFmtId="10" fontId="114" fillId="0" borderId="5" xfId="4496" applyNumberFormat="1" applyFont="1" applyBorder="1" applyAlignment="1">
      <alignment horizontal="center" vertical="top" wrapText="1"/>
    </xf>
    <xf numFmtId="0" fontId="114" fillId="0" borderId="55" xfId="4496" applyFont="1" applyBorder="1" applyAlignment="1">
      <alignment horizontal="center" vertical="top" wrapText="1"/>
    </xf>
    <xf numFmtId="0" fontId="114" fillId="0" borderId="6" xfId="4496" applyFont="1" applyBorder="1" applyAlignment="1">
      <alignment horizontal="center" vertical="top" wrapText="1"/>
    </xf>
    <xf numFmtId="168" fontId="19" fillId="0" borderId="0" xfId="1192" applyNumberFormat="1" applyAlignment="1">
      <alignment horizontal="right"/>
    </xf>
    <xf numFmtId="1" fontId="19" fillId="5" borderId="2" xfId="1192" applyNumberFormat="1" applyFill="1" applyBorder="1" applyAlignment="1" applyProtection="1">
      <alignment horizontal="center"/>
      <protection locked="0"/>
    </xf>
    <xf numFmtId="1" fontId="19" fillId="5" borderId="4" xfId="1192" applyNumberFormat="1" applyFill="1" applyBorder="1" applyAlignment="1" applyProtection="1">
      <alignment horizontal="center"/>
      <protection locked="0"/>
    </xf>
    <xf numFmtId="0" fontId="133" fillId="0" borderId="6" xfId="1192" applyFont="1" applyBorder="1" applyAlignment="1">
      <alignment horizontal="center"/>
    </xf>
    <xf numFmtId="1" fontId="114" fillId="0" borderId="55" xfId="4496" applyNumberFormat="1" applyFont="1" applyBorder="1" applyAlignment="1">
      <alignment horizontal="center" vertical="top" wrapText="1"/>
    </xf>
    <xf numFmtId="1" fontId="114" fillId="0" borderId="6" xfId="4496" applyNumberFormat="1" applyFont="1" applyBorder="1" applyAlignment="1">
      <alignment horizontal="center" vertical="top" wrapText="1"/>
    </xf>
    <xf numFmtId="168" fontId="114" fillId="43" borderId="55" xfId="4496" applyNumberFormat="1" applyFont="1" applyFill="1" applyBorder="1" applyAlignment="1" applyProtection="1">
      <alignment horizontal="center" vertical="top" wrapText="1"/>
      <protection locked="0"/>
    </xf>
    <xf numFmtId="168" fontId="114" fillId="43" borderId="6" xfId="4496" applyNumberFormat="1" applyFont="1" applyFill="1" applyBorder="1" applyAlignment="1" applyProtection="1">
      <alignment horizontal="center" vertical="top" wrapText="1"/>
      <protection locked="0"/>
    </xf>
    <xf numFmtId="0" fontId="26" fillId="0" borderId="0" xfId="4495" applyFont="1" applyAlignment="1">
      <alignment horizontal="center" vertical="top"/>
    </xf>
    <xf numFmtId="0" fontId="19" fillId="0" borderId="0" xfId="1192" applyAlignment="1">
      <alignment horizontal="right"/>
    </xf>
    <xf numFmtId="0" fontId="19" fillId="5" borderId="6" xfId="1192" applyFill="1" applyBorder="1" applyAlignment="1" applyProtection="1">
      <alignment horizontal="left"/>
      <protection locked="0"/>
    </xf>
    <xf numFmtId="168" fontId="19" fillId="43" borderId="6" xfId="4495" applyNumberFormat="1" applyFont="1" applyFill="1" applyBorder="1" applyAlignment="1" applyProtection="1">
      <alignment horizontal="right"/>
      <protection locked="0"/>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9" fontId="19" fillId="5" borderId="4" xfId="1192" applyNumberFormat="1" applyFill="1" applyBorder="1" applyAlignment="1" applyProtection="1">
      <alignment horizontal="left"/>
      <protection locked="0"/>
    </xf>
    <xf numFmtId="0" fontId="27" fillId="5" borderId="6" xfId="4495" applyFont="1" applyFill="1" applyBorder="1" applyAlignment="1" applyProtection="1">
      <alignment horizontal="left"/>
      <protection locked="0"/>
    </xf>
    <xf numFmtId="0" fontId="19" fillId="0" borderId="0" xfId="4495" applyFont="1" applyAlignment="1">
      <alignment horizontal="left"/>
    </xf>
    <xf numFmtId="0" fontId="19"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center"/>
      <protection locked="0"/>
    </xf>
    <xf numFmtId="0" fontId="19" fillId="44" borderId="6" xfId="4495" applyFont="1" applyFill="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0" fontId="19" fillId="0" borderId="53" xfId="4495" applyFont="1" applyBorder="1" applyAlignment="1">
      <alignment horizontal="left" vertical="top" wrapText="1"/>
    </xf>
    <xf numFmtId="0" fontId="19" fillId="0" borderId="0" xfId="4495" applyFont="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0" fontId="19" fillId="0" borderId="59" xfId="4495" applyFont="1" applyBorder="1" applyAlignment="1">
      <alignment horizontal="left" vertical="top" wrapText="1"/>
    </xf>
    <xf numFmtId="0" fontId="112" fillId="5" borderId="6" xfId="4495" applyFill="1" applyBorder="1" applyAlignment="1" applyProtection="1">
      <alignment horizontal="center"/>
      <protection locked="0"/>
    </xf>
    <xf numFmtId="0" fontId="26" fillId="0" borderId="0" xfId="4495" applyFont="1" applyAlignment="1">
      <alignment horizontal="left" vertical="top"/>
    </xf>
    <xf numFmtId="0" fontId="112" fillId="0" borderId="0" xfId="4495"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8" fontId="19" fillId="0" borderId="6" xfId="4496" applyNumberFormat="1" applyFont="1" applyBorder="1" applyAlignment="1">
      <alignment horizontal="center"/>
    </xf>
    <xf numFmtId="9" fontId="19" fillId="0" borderId="4" xfId="543" applyNumberForma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168" fontId="19" fillId="0" borderId="6" xfId="4495" applyNumberFormat="1" applyFont="1" applyBorder="1" applyAlignment="1">
      <alignment horizontal="right"/>
    </xf>
    <xf numFmtId="168" fontId="110" fillId="0" borderId="6" xfId="4495" applyNumberFormat="1" applyFont="1" applyBorder="1" applyAlignment="1">
      <alignment horizontal="right"/>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65" fontId="19" fillId="0" borderId="0" xfId="1192" applyNumberFormat="1" applyAlignment="1">
      <alignment horizontal="right"/>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168" fontId="19" fillId="5" borderId="4" xfId="1192" applyNumberFormat="1" applyFill="1" applyBorder="1" applyAlignment="1" applyProtection="1">
      <alignment horizontal="center"/>
      <protection locked="0"/>
    </xf>
    <xf numFmtId="0" fontId="19" fillId="0" borderId="6" xfId="1192" applyBorder="1" applyAlignment="1">
      <alignment horizontal="left"/>
    </xf>
    <xf numFmtId="2" fontId="19" fillId="0" borderId="0" xfId="1192" applyNumberFormat="1" applyAlignment="1">
      <alignment horizontal="right"/>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21" fillId="0" borderId="0" xfId="4495" applyFont="1" applyAlignment="1">
      <alignment horizontal="left" vertical="top" wrapText="1"/>
    </xf>
    <xf numFmtId="0" fontId="11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7" fillId="0" borderId="51" xfId="4495" applyFont="1" applyBorder="1" applyAlignment="1">
      <alignment horizontal="left" vertical="top" wrapText="1"/>
    </xf>
    <xf numFmtId="0" fontId="26" fillId="0" borderId="54" xfId="4495" applyFont="1" applyBorder="1" applyAlignment="1">
      <alignment horizontal="center" vertical="top"/>
    </xf>
    <xf numFmtId="0" fontId="112" fillId="5" borderId="62" xfId="4495" applyFill="1" applyBorder="1" applyAlignment="1" applyProtection="1">
      <alignment horizontal="center"/>
      <protection locked="0"/>
    </xf>
    <xf numFmtId="0" fontId="112" fillId="5" borderId="63" xfId="4495" applyFill="1" applyBorder="1" applyAlignment="1" applyProtection="1">
      <alignment horizontal="center"/>
      <protection locked="0"/>
    </xf>
    <xf numFmtId="0" fontId="112" fillId="5" borderId="50" xfId="4495" applyFill="1" applyBorder="1" applyAlignment="1">
      <alignment horizontal="center"/>
    </xf>
    <xf numFmtId="0" fontId="112" fillId="5" borderId="51" xfId="4495" applyFill="1" applyBorder="1" applyAlignment="1">
      <alignment horizontal="center"/>
    </xf>
    <xf numFmtId="0" fontId="48" fillId="0" borderId="51" xfId="4495" applyFont="1" applyBorder="1" applyAlignment="1">
      <alignment horizontal="left" wrapText="1"/>
    </xf>
    <xf numFmtId="0" fontId="48" fillId="0" borderId="0" xfId="4495" applyFont="1" applyAlignment="1">
      <alignment horizontal="left" wrapText="1"/>
    </xf>
    <xf numFmtId="0" fontId="114" fillId="0" borderId="50" xfId="4496" applyFont="1" applyBorder="1" applyAlignment="1">
      <alignment horizontal="left" wrapText="1"/>
    </xf>
    <xf numFmtId="0" fontId="114" fillId="0" borderId="51" xfId="4496" applyFont="1" applyBorder="1" applyAlignment="1">
      <alignment horizontal="left" wrapText="1"/>
    </xf>
    <xf numFmtId="0" fontId="114" fillId="0" borderId="52" xfId="4496" applyFont="1" applyBorder="1" applyAlignment="1">
      <alignment horizontal="left" wrapText="1"/>
    </xf>
    <xf numFmtId="0" fontId="114" fillId="0" borderId="57" xfId="4496" applyFont="1" applyBorder="1" applyAlignment="1">
      <alignment horizontal="left" wrapText="1"/>
    </xf>
    <xf numFmtId="0" fontId="114" fillId="0" borderId="58" xfId="4496" applyFont="1" applyBorder="1" applyAlignment="1">
      <alignment horizontal="left" wrapText="1"/>
    </xf>
    <xf numFmtId="0" fontId="114" fillId="0" borderId="59" xfId="4496" applyFont="1" applyBorder="1" applyAlignment="1">
      <alignment horizontal="left"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center" vertical="center" wrapText="1" shrinkToFit="1"/>
      <protection locked="0"/>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48" fillId="0" borderId="0" xfId="0" applyFont="1" applyAlignment="1" applyProtection="1">
      <alignment horizontal="left"/>
      <protection locked="0"/>
    </xf>
    <xf numFmtId="168" fontId="147" fillId="0" borderId="0" xfId="0" applyNumberFormat="1" applyFont="1" applyAlignment="1">
      <alignment horizontal="center" vertical="top" wrapText="1"/>
    </xf>
    <xf numFmtId="168" fontId="147" fillId="0" borderId="12" xfId="0" applyNumberFormat="1" applyFont="1" applyBorder="1" applyAlignment="1">
      <alignment horizontal="center" vertical="top" wrapText="1"/>
    </xf>
    <xf numFmtId="0" fontId="27" fillId="0" borderId="0" xfId="4495" applyFont="1" applyAlignment="1">
      <alignment horizontal="center"/>
    </xf>
    <xf numFmtId="0" fontId="19" fillId="0" borderId="0" xfId="4495" applyFont="1" applyAlignment="1">
      <alignment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26" fillId="0" borderId="0" xfId="4495" applyFont="1" applyAlignment="1">
      <alignment horizontal="left" vertical="top" wrapText="1"/>
    </xf>
    <xf numFmtId="0" fontId="19" fillId="45" borderId="11" xfId="4495" applyFont="1" applyFill="1" applyBorder="1" applyAlignment="1">
      <alignment horizontal="center"/>
    </xf>
    <xf numFmtId="0" fontId="121" fillId="0" borderId="0" xfId="4495" applyFont="1" applyAlignment="1">
      <alignment horizontal="left" vertical="center" wrapText="1"/>
    </xf>
    <xf numFmtId="0" fontId="26" fillId="0" borderId="11" xfId="4495" applyFont="1" applyBorder="1" applyAlignment="1">
      <alignment horizontal="center"/>
    </xf>
    <xf numFmtId="0" fontId="27" fillId="0" borderId="58" xfId="4495" applyFont="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4" xfId="4495" applyNumberFormat="1"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26" fillId="0" borderId="3" xfId="4495"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1" fontId="26" fillId="0" borderId="11" xfId="4495" applyNumberFormat="1"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46" borderId="11" xfId="4495" applyNumberFormat="1" applyFont="1" applyFill="1" applyBorder="1" applyAlignment="1">
      <alignment horizontal="center"/>
    </xf>
    <xf numFmtId="0" fontId="19" fillId="5" borderId="11" xfId="4495" applyFont="1" applyFill="1" applyBorder="1" applyAlignment="1" applyProtection="1">
      <alignment horizontal="center"/>
      <protection locked="0"/>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164" fontId="57" fillId="0" borderId="1" xfId="4495" applyNumberFormat="1" applyFont="1" applyBorder="1" applyAlignment="1">
      <alignment horizontal="right" vertical="center"/>
    </xf>
    <xf numFmtId="164" fontId="57" fillId="0" borderId="2" xfId="4495" applyNumberFormat="1" applyFont="1" applyBorder="1" applyAlignment="1">
      <alignment horizontal="right" vertical="center"/>
    </xf>
    <xf numFmtId="164" fontId="57" fillId="0" borderId="7" xfId="4495" applyNumberFormat="1" applyFont="1" applyBorder="1" applyAlignment="1">
      <alignment horizontal="right" vertical="center"/>
    </xf>
    <xf numFmtId="164" fontId="57" fillId="0" borderId="9" xfId="4495" applyNumberFormat="1" applyFont="1" applyBorder="1" applyAlignment="1">
      <alignment horizontal="right" vertical="center"/>
    </xf>
    <xf numFmtId="164" fontId="57" fillId="0" borderId="6" xfId="4495" applyNumberFormat="1" applyFont="1" applyBorder="1" applyAlignment="1">
      <alignment horizontal="right" vertical="center"/>
    </xf>
    <xf numFmtId="164" fontId="57" fillId="0" borderId="10" xfId="4495" applyNumberFormat="1" applyFont="1" applyBorder="1" applyAlignment="1">
      <alignment horizontal="right" vertical="center"/>
    </xf>
    <xf numFmtId="180" fontId="57" fillId="0" borderId="1" xfId="4495" applyNumberFormat="1" applyFont="1" applyBorder="1" applyAlignment="1">
      <alignment horizontal="center" vertical="center"/>
    </xf>
    <xf numFmtId="180" fontId="57" fillId="0" borderId="2" xfId="4495" applyNumberFormat="1" applyFont="1" applyBorder="1" applyAlignment="1">
      <alignment horizontal="center" vertical="center"/>
    </xf>
    <xf numFmtId="180" fontId="57" fillId="0" borderId="7" xfId="4495" applyNumberFormat="1" applyFont="1" applyBorder="1" applyAlignment="1">
      <alignment horizontal="center" vertical="center"/>
    </xf>
    <xf numFmtId="180" fontId="57" fillId="0" borderId="9" xfId="4495" applyNumberFormat="1" applyFont="1" applyBorder="1" applyAlignment="1">
      <alignment horizontal="center" vertical="center"/>
    </xf>
    <xf numFmtId="180" fontId="57" fillId="0" borderId="6" xfId="4495" applyNumberFormat="1" applyFont="1" applyBorder="1" applyAlignment="1">
      <alignment horizontal="center" vertical="center"/>
    </xf>
    <xf numFmtId="180" fontId="57" fillId="0" borderId="10" xfId="4495" applyNumberFormat="1" applyFont="1" applyBorder="1" applyAlignment="1">
      <alignment horizontal="center" vertical="center"/>
    </xf>
    <xf numFmtId="0" fontId="112" fillId="0" borderId="53" xfId="4495" applyBorder="1" applyAlignment="1">
      <alignment horizontal="center"/>
    </xf>
    <xf numFmtId="0" fontId="112" fillId="0" borderId="0" xfId="4495" applyAlignment="1">
      <alignment horizontal="center"/>
    </xf>
    <xf numFmtId="0" fontId="27" fillId="5" borderId="0" xfId="4495" applyFont="1" applyFill="1" applyAlignment="1">
      <alignment horizontal="left" vertical="top"/>
    </xf>
    <xf numFmtId="0" fontId="112" fillId="5" borderId="53" xfId="4495" applyFill="1" applyBorder="1" applyAlignment="1">
      <alignment horizontal="center"/>
    </xf>
    <xf numFmtId="0" fontId="112" fillId="5" borderId="0" xfId="4495" applyFill="1" applyAlignment="1">
      <alignment horizontal="center"/>
    </xf>
    <xf numFmtId="0" fontId="112" fillId="5" borderId="55" xfId="4495" applyFill="1" applyBorder="1" applyAlignment="1">
      <alignment horizontal="center"/>
    </xf>
    <xf numFmtId="0" fontId="11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51" xfId="4495" applyFont="1" applyBorder="1" applyAlignment="1">
      <alignment horizontal="center" vertical="top"/>
    </xf>
    <xf numFmtId="0" fontId="26" fillId="0" borderId="52" xfId="4495" applyFont="1" applyBorder="1" applyAlignment="1">
      <alignment horizontal="center" vertical="top"/>
    </xf>
    <xf numFmtId="168" fontId="19" fillId="43" borderId="6" xfId="543" applyNumberFormat="1" applyFill="1" applyBorder="1" applyAlignment="1" applyProtection="1">
      <alignment horizontal="center"/>
      <protection locked="0"/>
    </xf>
    <xf numFmtId="0" fontId="19" fillId="0" borderId="6" xfId="1192" applyBorder="1" applyAlignment="1">
      <alignment horizontal="right"/>
    </xf>
    <xf numFmtId="10" fontId="27" fillId="0" borderId="2" xfId="4495" applyNumberFormat="1" applyFont="1" applyBorder="1" applyAlignment="1">
      <alignment horizontal="center"/>
    </xf>
    <xf numFmtId="4" fontId="27" fillId="0" borderId="0" xfId="4495" applyNumberFormat="1" applyFont="1" applyAlignment="1">
      <alignment horizontal="center"/>
    </xf>
    <xf numFmtId="9" fontId="27" fillId="5" borderId="6" xfId="4495" applyNumberFormat="1" applyFont="1" applyFill="1" applyBorder="1" applyAlignment="1">
      <alignment horizontal="left"/>
    </xf>
    <xf numFmtId="0" fontId="35" fillId="42" borderId="2" xfId="4495" applyFont="1" applyFill="1" applyBorder="1" applyAlignment="1">
      <alignment horizontal="center"/>
    </xf>
    <xf numFmtId="0" fontId="35" fillId="42" borderId="6" xfId="4495" applyFont="1" applyFill="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168" fontId="19" fillId="0" borderId="6" xfId="1192" applyNumberFormat="1" applyBorder="1" applyAlignment="1">
      <alignment horizontal="right"/>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27" fillId="5" borderId="58" xfId="4495" applyNumberFormat="1" applyFont="1" applyFill="1" applyBorder="1" applyAlignment="1">
      <alignment horizontal="left"/>
    </xf>
    <xf numFmtId="0" fontId="27" fillId="5" borderId="6" xfId="4495" applyFont="1" applyFill="1" applyBorder="1" applyAlignment="1">
      <alignment horizontal="left"/>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14" fillId="0" borderId="3" xfId="4496" applyNumberFormat="1" applyFont="1" applyBorder="1" applyAlignment="1">
      <alignment horizontal="center" vertical="top" wrapText="1"/>
    </xf>
    <xf numFmtId="165" fontId="11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33" fillId="0" borderId="0" xfId="1192" applyFont="1" applyAlignment="1">
      <alignment horizontal="center"/>
    </xf>
    <xf numFmtId="4" fontId="27" fillId="0" borderId="6" xfId="4495" applyNumberFormat="1" applyFont="1" applyBorder="1" applyAlignment="1">
      <alignment horizontal="center"/>
    </xf>
    <xf numFmtId="0" fontId="26" fillId="0" borderId="0" xfId="4495" applyFont="1" applyAlignment="1">
      <alignment horizontal="left" wrapText="1"/>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4" xfId="1192" applyNumberFormat="1" applyBorder="1" applyAlignment="1">
      <alignment horizontal="right"/>
    </xf>
    <xf numFmtId="0" fontId="110" fillId="0" borderId="4" xfId="1192" applyFont="1" applyBorder="1" applyAlignment="1">
      <alignment horizontal="left"/>
    </xf>
    <xf numFmtId="0" fontId="112" fillId="5" borderId="62" xfId="4495" applyFill="1" applyBorder="1" applyAlignment="1">
      <alignment horizontal="center"/>
    </xf>
    <xf numFmtId="0" fontId="112" fillId="5" borderId="63" xfId="4495" applyFill="1" applyBorder="1" applyAlignment="1">
      <alignment horizontal="center"/>
    </xf>
    <xf numFmtId="0" fontId="90" fillId="0" borderId="3" xfId="4496" applyFont="1" applyBorder="1"/>
    <xf numFmtId="0" fontId="90" fillId="0" borderId="81" xfId="4496" applyFont="1" applyBorder="1"/>
    <xf numFmtId="0" fontId="90" fillId="0" borderId="94" xfId="4496" applyFont="1" applyBorder="1"/>
    <xf numFmtId="0" fontId="90" fillId="0" borderId="85" xfId="4496" applyFont="1" applyBorder="1"/>
    <xf numFmtId="49" fontId="90" fillId="45" borderId="15" xfId="4496" applyNumberFormat="1" applyFont="1" applyFill="1" applyBorder="1" applyAlignment="1">
      <alignment horizontal="center" vertical="center" wrapText="1"/>
    </xf>
    <xf numFmtId="49" fontId="90" fillId="45" borderId="13" xfId="4496" applyNumberFormat="1" applyFont="1" applyFill="1" applyBorder="1" applyAlignment="1">
      <alignment horizontal="center" vertical="center" wrapText="1"/>
    </xf>
    <xf numFmtId="0" fontId="90" fillId="0" borderId="93" xfId="4496" applyFont="1" applyBorder="1" applyAlignment="1">
      <alignment horizontal="right"/>
    </xf>
    <xf numFmtId="0" fontId="90" fillId="0" borderId="74" xfId="4496" applyFont="1" applyBorder="1" applyAlignment="1">
      <alignment horizontal="right"/>
    </xf>
    <xf numFmtId="0" fontId="90" fillId="0" borderId="75" xfId="4496" applyFont="1" applyBorder="1"/>
    <xf numFmtId="0" fontId="90" fillId="0" borderId="91" xfId="4496" applyFont="1" applyBorder="1"/>
    <xf numFmtId="0" fontId="90" fillId="0" borderId="90" xfId="4496" applyFont="1" applyBorder="1" applyAlignment="1">
      <alignment horizontal="right"/>
    </xf>
    <xf numFmtId="0" fontId="90" fillId="0" borderId="5" xfId="4496" applyFont="1" applyBorder="1" applyAlignment="1">
      <alignment horizontal="right"/>
    </xf>
    <xf numFmtId="0" fontId="90" fillId="0" borderId="69" xfId="4496" applyFont="1" applyBorder="1" applyAlignment="1">
      <alignment horizontal="right"/>
    </xf>
    <xf numFmtId="0" fontId="90" fillId="0" borderId="70" xfId="4496" applyFont="1" applyBorder="1" applyAlignment="1">
      <alignment horizontal="right"/>
    </xf>
    <xf numFmtId="168" fontId="90" fillId="0" borderId="11" xfId="4499" applyNumberFormat="1" applyFont="1" applyFill="1" applyBorder="1" applyAlignment="1" applyProtection="1">
      <alignment horizontal="left" vertical="center" indent="1"/>
    </xf>
    <xf numFmtId="0" fontId="128" fillId="0" borderId="68" xfId="4496" applyFont="1" applyBorder="1" applyAlignment="1">
      <alignment horizontal="left" indent="1"/>
    </xf>
    <xf numFmtId="168" fontId="90" fillId="0" borderId="70" xfId="4499" applyNumberFormat="1" applyFont="1" applyFill="1" applyBorder="1" applyAlignment="1" applyProtection="1">
      <alignment horizontal="left" vertical="center" indent="1"/>
    </xf>
    <xf numFmtId="49" fontId="127" fillId="3" borderId="0" xfId="1192" applyNumberFormat="1" applyFont="1" applyFill="1" applyAlignment="1">
      <alignment horizontal="center" vertical="center"/>
    </xf>
    <xf numFmtId="0" fontId="90" fillId="0" borderId="11" xfId="4496" applyFont="1" applyBorder="1" applyAlignment="1">
      <alignment horizontal="left" indent="1"/>
    </xf>
    <xf numFmtId="0" fontId="90" fillId="0" borderId="11" xfId="4496" applyFont="1" applyBorder="1" applyAlignment="1">
      <alignment horizontal="left" indent="2"/>
    </xf>
    <xf numFmtId="0" fontId="128" fillId="45" borderId="3" xfId="4496" applyFont="1" applyFill="1" applyBorder="1" applyAlignment="1">
      <alignment horizontal="center" vertical="center"/>
    </xf>
    <xf numFmtId="0" fontId="128" fillId="45" borderId="4" xfId="4496" applyFont="1" applyFill="1" applyBorder="1" applyAlignment="1">
      <alignment horizontal="center" vertical="center"/>
    </xf>
    <xf numFmtId="0" fontId="128" fillId="45" borderId="5" xfId="4496" applyFont="1" applyFill="1" applyBorder="1" applyAlignment="1">
      <alignment horizontal="center" vertical="center"/>
    </xf>
    <xf numFmtId="9" fontId="128" fillId="45" borderId="3" xfId="4499" applyFont="1" applyFill="1" applyBorder="1" applyAlignment="1" applyProtection="1">
      <alignment horizontal="center" vertical="center"/>
    </xf>
    <xf numFmtId="9" fontId="128" fillId="45" borderId="4" xfId="4499" applyFont="1" applyFill="1" applyBorder="1" applyAlignment="1" applyProtection="1">
      <alignment horizontal="center" vertical="center"/>
    </xf>
    <xf numFmtId="9" fontId="128" fillId="45" borderId="5" xfId="4499" applyFont="1" applyFill="1" applyBorder="1" applyAlignment="1" applyProtection="1">
      <alignment horizontal="center" vertical="center"/>
    </xf>
    <xf numFmtId="168" fontId="90" fillId="0" borderId="13" xfId="4499" applyNumberFormat="1" applyFont="1" applyFill="1" applyBorder="1" applyAlignment="1" applyProtection="1">
      <alignment horizontal="left" vertical="center" indent="1"/>
    </xf>
    <xf numFmtId="0" fontId="90" fillId="0" borderId="3" xfId="4496" applyFont="1" applyBorder="1" applyAlignment="1">
      <alignment horizontal="left" indent="1"/>
    </xf>
    <xf numFmtId="0" fontId="90" fillId="0" borderId="4" xfId="4496" applyFont="1" applyBorder="1" applyAlignment="1">
      <alignment horizontal="left" indent="1"/>
    </xf>
    <xf numFmtId="0" fontId="90" fillId="0" borderId="5" xfId="4496" applyFont="1" applyBorder="1" applyAlignment="1">
      <alignment horizontal="left" indent="1"/>
    </xf>
    <xf numFmtId="0" fontId="90" fillId="0" borderId="3" xfId="4496" applyFont="1" applyBorder="1" applyAlignment="1">
      <alignment horizontal="left" indent="2"/>
    </xf>
    <xf numFmtId="0" fontId="90" fillId="0" borderId="4" xfId="4496" applyFont="1" applyBorder="1" applyAlignment="1">
      <alignment horizontal="left" indent="2"/>
    </xf>
    <xf numFmtId="0" fontId="90" fillId="0" borderId="5" xfId="4496" applyFont="1" applyBorder="1" applyAlignment="1">
      <alignment horizontal="left" indent="2"/>
    </xf>
    <xf numFmtId="0" fontId="90" fillId="0" borderId="0" xfId="4496" applyFont="1" applyAlignment="1">
      <alignment wrapText="1"/>
    </xf>
    <xf numFmtId="0" fontId="128" fillId="0" borderId="75" xfId="4496" applyFont="1" applyBorder="1" applyAlignment="1">
      <alignment horizontal="center" vertical="top" wrapText="1"/>
    </xf>
    <xf numFmtId="0" fontId="128" fillId="0" borderId="74" xfId="4496" applyFont="1" applyBorder="1" applyAlignment="1">
      <alignment horizontal="center" vertical="top" wrapText="1"/>
    </xf>
    <xf numFmtId="0" fontId="90" fillId="0" borderId="0" xfId="4496" applyFont="1" applyAlignment="1">
      <alignment horizontal="left" wrapText="1"/>
    </xf>
    <xf numFmtId="0" fontId="90" fillId="0" borderId="0" xfId="4496" applyFont="1" applyAlignment="1">
      <alignment horizontal="center" vertical="center" wrapText="1"/>
    </xf>
    <xf numFmtId="0" fontId="90" fillId="43" borderId="0" xfId="4496" applyFont="1" applyFill="1" applyAlignment="1" applyProtection="1">
      <alignment horizontal="left" vertical="top" wrapText="1"/>
      <protection locked="0"/>
    </xf>
    <xf numFmtId="0" fontId="90" fillId="43" borderId="6" xfId="4496" applyFont="1" applyFill="1" applyBorder="1" applyAlignment="1" applyProtection="1">
      <alignment horizontal="left" vertical="top" wrapText="1"/>
      <protection locked="0"/>
    </xf>
    <xf numFmtId="0" fontId="90" fillId="0" borderId="0" xfId="4496" applyFont="1" applyAlignment="1">
      <alignment horizontal="left" wrapText="1" indent="1"/>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0" fontId="19" fillId="43" borderId="0" xfId="0" applyFont="1" applyFill="1" applyAlignment="1">
      <alignment horizontal="left"/>
    </xf>
  </cellXfs>
  <cellStyles count="18912">
    <cellStyle name="20% - Accent1" xfId="1" builtinId="30" customBuiltin="1"/>
    <cellStyle name="20% - Accent1 10" xfId="4504" xr:uid="{00000000-0005-0000-0000-000001000000}"/>
    <cellStyle name="20% - Accent1 10 2" xfId="13830" xr:uid="{C4E8F21A-A4FE-40C8-BD3E-58D2D3C7438D}"/>
    <cellStyle name="20% - Accent1 11" xfId="8758" xr:uid="{2F735C8D-70CB-4E84-A95A-4445894745BC}"/>
    <cellStyle name="20% - Accent1 11 2" xfId="18082" xr:uid="{39359CF2-78C2-48AC-BC5B-4813707CDBBD}"/>
    <cellStyle name="20% - Accent1 12" xfId="9613" xr:uid="{50A725A6-D9DB-4A3E-9E5C-FC4B73C7915A}"/>
    <cellStyle name="20% - Accent1 2" xfId="2" xr:uid="{00000000-0005-0000-0000-000002000000}"/>
    <cellStyle name="20% - Accent1 2 10" xfId="8797" xr:uid="{7F4BEAE6-CC35-4B07-89BD-8FC5D6B3D35B}"/>
    <cellStyle name="20% - Accent1 2 10 2" xfId="18121" xr:uid="{012FFC8F-9203-4803-BE4D-E9C740728516}"/>
    <cellStyle name="20% - Accent1 2 11" xfId="9614" xr:uid="{191AB739-C104-4DA9-B1DF-E57B37FD2C0C}"/>
    <cellStyle name="20% - Accent1 2 2" xfId="3" xr:uid="{00000000-0005-0000-0000-000003000000}"/>
    <cellStyle name="20% - Accent1 2 2 10" xfId="9615" xr:uid="{8FF80B34-6B89-4194-AA83-1D12C1D8D7D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A972B6C8-7F3C-4D8F-9EB6-4CF0407E7C10}"/>
    <cellStyle name="20% - Accent1 2 2 2 2 2 3" xfId="12175" xr:uid="{FDD2BFAB-E98F-44AA-8CC8-6706CE633610}"/>
    <cellStyle name="20% - Accent1 2 2 2 2 3" xfId="4921" xr:uid="{00000000-0005-0000-0000-000008000000}"/>
    <cellStyle name="20% - Accent1 2 2 2 2 3 2" xfId="14247" xr:uid="{7244E21C-2CA2-47D2-B478-5864A4E890AD}"/>
    <cellStyle name="20% - Accent1 2 2 2 2 4" xfId="9532" xr:uid="{D5FAB462-C5A9-4306-AA37-C118C84F9393}"/>
    <cellStyle name="20% - Accent1 2 2 2 2 4 2" xfId="18847" xr:uid="{DE949513-C6B0-4750-9F2B-902995F95A1A}"/>
    <cellStyle name="20% - Accent1 2 2 2 2 5" xfId="10030" xr:uid="{39C75E1E-F7F4-48B7-AC8F-9F8A2EF68DC4}"/>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83913F62-2C8C-41E5-9805-CECABF35A7DC}"/>
    <cellStyle name="20% - Accent1 2 2 2 3 2 3" xfId="12588" xr:uid="{57CB5DF7-4B69-4E4D-9B88-115ADD577724}"/>
    <cellStyle name="20% - Accent1 2 2 2 3 3" xfId="5334" xr:uid="{00000000-0005-0000-0000-00000C000000}"/>
    <cellStyle name="20% - Accent1 2 2 2 3 3 2" xfId="14660" xr:uid="{699C9EC5-3A46-4228-ACE1-D48D25507EDF}"/>
    <cellStyle name="20% - Accent1 2 2 2 3 4" xfId="10443" xr:uid="{FF15FBB6-738F-4F78-AFE4-693E2AB4BE9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64BE2040-DD5B-4BAE-AC2B-BAF82E9C4273}"/>
    <cellStyle name="20% - Accent1 2 2 2 4 2 3" xfId="13001" xr:uid="{E8BC7529-3A57-4A34-919A-481B73BC53FD}"/>
    <cellStyle name="20% - Accent1 2 2 2 4 3" xfId="5747" xr:uid="{00000000-0005-0000-0000-000010000000}"/>
    <cellStyle name="20% - Accent1 2 2 2 4 3 2" xfId="15073" xr:uid="{5607426F-819E-4235-93FC-D0E0B427C3C2}"/>
    <cellStyle name="20% - Accent1 2 2 2 4 4" xfId="10856" xr:uid="{2718B354-0150-4AB3-A562-35B78924B78B}"/>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74718C8A-88C5-415F-8FEA-1D22F4FCAD86}"/>
    <cellStyle name="20% - Accent1 2 2 2 5 2 3" xfId="13414" xr:uid="{0186C3A1-12B8-4C87-BEFC-9F140C07171B}"/>
    <cellStyle name="20% - Accent1 2 2 2 5 3" xfId="6160" xr:uid="{00000000-0005-0000-0000-000014000000}"/>
    <cellStyle name="20% - Accent1 2 2 2 5 3 2" xfId="15486" xr:uid="{095A56EA-64C4-4867-A58F-5018FACFAECE}"/>
    <cellStyle name="20% - Accent1 2 2 2 5 4" xfId="11269" xr:uid="{8B59BD68-F564-483C-9659-CEABB230F2D0}"/>
    <cellStyle name="20% - Accent1 2 2 2 6" xfId="2267" xr:uid="{00000000-0005-0000-0000-000015000000}"/>
    <cellStyle name="20% - Accent1 2 2 2 6 2" xfId="6573" xr:uid="{00000000-0005-0000-0000-000016000000}"/>
    <cellStyle name="20% - Accent1 2 2 2 6 2 2" xfId="15899" xr:uid="{5E658027-22E3-4A36-BE1A-30BC5D5F1E27}"/>
    <cellStyle name="20% - Accent1 2 2 2 6 3" xfId="11682" xr:uid="{3C690042-5578-430A-9F3D-6D15B3AEBAF1}"/>
    <cellStyle name="20% - Accent1 2 2 2 7" xfId="4507" xr:uid="{00000000-0005-0000-0000-000017000000}"/>
    <cellStyle name="20% - Accent1 2 2 2 7 2" xfId="13833" xr:uid="{0C8DF500-CFFC-4A42-8652-32C0F0BAC689}"/>
    <cellStyle name="20% - Accent1 2 2 2 8" xfId="9107" xr:uid="{4168D01E-823F-4E8F-9A1D-70697AC1F241}"/>
    <cellStyle name="20% - Accent1 2 2 2 8 2" xfId="18431" xr:uid="{5729C765-6D24-46B7-94A2-2A0B6B28443A}"/>
    <cellStyle name="20% - Accent1 2 2 2 9" xfId="9616" xr:uid="{5DC36A0F-9F7F-461C-95E0-10B5CB57DACE}"/>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F047E276-D1DA-410F-8F52-E7D01EBE5D70}"/>
    <cellStyle name="20% - Accent1 2 2 3 2 3" xfId="12174" xr:uid="{52E5C5C3-3D39-4363-BE73-7D39EAEE11C3}"/>
    <cellStyle name="20% - Accent1 2 2 3 3" xfId="4920" xr:uid="{00000000-0005-0000-0000-00001B000000}"/>
    <cellStyle name="20% - Accent1 2 2 3 3 2" xfId="14246" xr:uid="{D1602FD2-C9B7-41F8-B064-81262D4C78D0}"/>
    <cellStyle name="20% - Accent1 2 2 3 4" xfId="9325" xr:uid="{DE19910B-698B-4F31-B25F-3533B35DDA95}"/>
    <cellStyle name="20% - Accent1 2 2 3 4 2" xfId="18640" xr:uid="{5D2A9FD3-D941-4440-B475-B1EEC012B715}"/>
    <cellStyle name="20% - Accent1 2 2 3 5" xfId="10029" xr:uid="{B4E9BAC1-153C-4FB3-9340-773B1F9DBB2A}"/>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C35907BB-D6B9-4C2A-BAC2-F89EACF9C14A}"/>
    <cellStyle name="20% - Accent1 2 2 4 2 3" xfId="12587" xr:uid="{CCE72926-99D7-4227-95EE-98473B063904}"/>
    <cellStyle name="20% - Accent1 2 2 4 3" xfId="5333" xr:uid="{00000000-0005-0000-0000-00001F000000}"/>
    <cellStyle name="20% - Accent1 2 2 4 3 2" xfId="14659" xr:uid="{91BEA1B6-1389-4F01-80C8-BC4B2575BDC8}"/>
    <cellStyle name="20% - Accent1 2 2 4 4" xfId="10442" xr:uid="{259785DD-AE11-4EC7-8C2D-9A7CEDCE6DB1}"/>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8906B198-306C-4021-B0CD-F64E4CED2C48}"/>
    <cellStyle name="20% - Accent1 2 2 5 2 3" xfId="13000" xr:uid="{3056F024-CA84-48C7-B3F8-7D52A6F91A83}"/>
    <cellStyle name="20% - Accent1 2 2 5 3" xfId="5746" xr:uid="{00000000-0005-0000-0000-000023000000}"/>
    <cellStyle name="20% - Accent1 2 2 5 3 2" xfId="15072" xr:uid="{F8E010E9-8D61-449D-B3F3-5CBA5DBE1E70}"/>
    <cellStyle name="20% - Accent1 2 2 5 4" xfId="10855" xr:uid="{B4D202E8-3902-435C-99DA-B27522E38AC3}"/>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7190F488-590C-4152-933E-E774CCB16413}"/>
    <cellStyle name="20% - Accent1 2 2 6 2 3" xfId="13413" xr:uid="{F01B7CB1-4BF9-4A7C-B85E-947EB08FF2CC}"/>
    <cellStyle name="20% - Accent1 2 2 6 3" xfId="6159" xr:uid="{00000000-0005-0000-0000-000027000000}"/>
    <cellStyle name="20% - Accent1 2 2 6 3 2" xfId="15485" xr:uid="{D063C208-8F9F-4A42-96C9-0F0521932E06}"/>
    <cellStyle name="20% - Accent1 2 2 6 4" xfId="11268" xr:uid="{DB1DDAEB-3A85-4D3A-AF98-872E61BDB4B2}"/>
    <cellStyle name="20% - Accent1 2 2 7" xfId="2266" xr:uid="{00000000-0005-0000-0000-000028000000}"/>
    <cellStyle name="20% - Accent1 2 2 7 2" xfId="6572" xr:uid="{00000000-0005-0000-0000-000029000000}"/>
    <cellStyle name="20% - Accent1 2 2 7 2 2" xfId="15898" xr:uid="{563A96CC-5001-4758-8E36-E4C1DB708347}"/>
    <cellStyle name="20% - Accent1 2 2 7 3" xfId="11681" xr:uid="{C1DB87C7-E0EA-4905-9C5D-C2B154A1526C}"/>
    <cellStyle name="20% - Accent1 2 2 8" xfId="4506" xr:uid="{00000000-0005-0000-0000-00002A000000}"/>
    <cellStyle name="20% - Accent1 2 2 8 2" xfId="13832" xr:uid="{E567D8B0-A54B-45B8-8666-DAB5A14F36D0}"/>
    <cellStyle name="20% - Accent1 2 2 9" xfId="8900" xr:uid="{7D7E3EAF-DF6A-403F-8C20-66BB9757790F}"/>
    <cellStyle name="20% - Accent1 2 2 9 2" xfId="18224" xr:uid="{1DC29D0A-26E7-42A1-A1AC-6CAC2989239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E77950F1-DBB2-43E5-9EDD-D98CFB1876CA}"/>
    <cellStyle name="20% - Accent1 2 3 2 2 3" xfId="12176" xr:uid="{113F3F33-D0F1-47DB-AE5B-4FA649D24BBA}"/>
    <cellStyle name="20% - Accent1 2 3 2 3" xfId="4922" xr:uid="{00000000-0005-0000-0000-00002F000000}"/>
    <cellStyle name="20% - Accent1 2 3 2 3 2" xfId="14248" xr:uid="{EAD6D216-F8F4-42F8-B7D9-61B99E2F9314}"/>
    <cellStyle name="20% - Accent1 2 3 2 4" xfId="9429" xr:uid="{CCD4BD61-3143-497B-A316-8024A8762A6C}"/>
    <cellStyle name="20% - Accent1 2 3 2 4 2" xfId="18744" xr:uid="{4DF06505-DBB2-472D-A4F6-E785B620BD8B}"/>
    <cellStyle name="20% - Accent1 2 3 2 5" xfId="10031" xr:uid="{0E8504DD-74BB-4BED-BC1D-5C4CB43D9253}"/>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65AA14D4-6DA4-487F-8921-4C38C20E65EF}"/>
    <cellStyle name="20% - Accent1 2 3 3 2 3" xfId="12589" xr:uid="{092D0A73-4798-4078-B948-00A25D2C96F2}"/>
    <cellStyle name="20% - Accent1 2 3 3 3" xfId="5335" xr:uid="{00000000-0005-0000-0000-000033000000}"/>
    <cellStyle name="20% - Accent1 2 3 3 3 2" xfId="14661" xr:uid="{8B807014-3A8B-40BE-9B16-814C54B4B11C}"/>
    <cellStyle name="20% - Accent1 2 3 3 4" xfId="10444" xr:uid="{B04A4A04-4164-47CE-83AC-FB20A35B7C1B}"/>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B04CF2D1-2055-48E6-82A7-FEAE2C41BAA6}"/>
    <cellStyle name="20% - Accent1 2 3 4 2 3" xfId="13002" xr:uid="{DFB06127-A38A-4C5E-9CF7-A42E5A37346C}"/>
    <cellStyle name="20% - Accent1 2 3 4 3" xfId="5748" xr:uid="{00000000-0005-0000-0000-000037000000}"/>
    <cellStyle name="20% - Accent1 2 3 4 3 2" xfId="15074" xr:uid="{A55756B7-36E4-4840-9378-F2CE5FEE4B85}"/>
    <cellStyle name="20% - Accent1 2 3 4 4" xfId="10857" xr:uid="{6CB6401A-2920-4463-A4E2-BD48037390F7}"/>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C89D4025-FD79-4C42-97E9-51A23154D9AF}"/>
    <cellStyle name="20% - Accent1 2 3 5 2 3" xfId="13415" xr:uid="{5DD1BBF3-DEDA-4A5A-A189-65D1232D1C57}"/>
    <cellStyle name="20% - Accent1 2 3 5 3" xfId="6161" xr:uid="{00000000-0005-0000-0000-00003B000000}"/>
    <cellStyle name="20% - Accent1 2 3 5 3 2" xfId="15487" xr:uid="{316FE6F5-CE0B-4CFA-9BCA-AD2FFAAE3452}"/>
    <cellStyle name="20% - Accent1 2 3 5 4" xfId="11270" xr:uid="{99113694-0F30-4DE2-8707-583CD3EC5B61}"/>
    <cellStyle name="20% - Accent1 2 3 6" xfId="2268" xr:uid="{00000000-0005-0000-0000-00003C000000}"/>
    <cellStyle name="20% - Accent1 2 3 6 2" xfId="6574" xr:uid="{00000000-0005-0000-0000-00003D000000}"/>
    <cellStyle name="20% - Accent1 2 3 6 2 2" xfId="15900" xr:uid="{60FAF7A4-4647-4957-863F-08A479C18977}"/>
    <cellStyle name="20% - Accent1 2 3 6 3" xfId="11683" xr:uid="{40C8E601-712A-4A49-B859-92DEC1A0C3E8}"/>
    <cellStyle name="20% - Accent1 2 3 7" xfId="4508" xr:uid="{00000000-0005-0000-0000-00003E000000}"/>
    <cellStyle name="20% - Accent1 2 3 7 2" xfId="13834" xr:uid="{5CD759D8-96BC-4173-82C0-D676ADD5C615}"/>
    <cellStyle name="20% - Accent1 2 3 8" xfId="9004" xr:uid="{14A9C135-BB7B-44DD-97E1-B6B10773DEE2}"/>
    <cellStyle name="20% - Accent1 2 3 8 2" xfId="18328" xr:uid="{A0D64B8A-995E-4B9C-8E8D-0CB990D49F10}"/>
    <cellStyle name="20% - Accent1 2 3 9" xfId="9617" xr:uid="{253C671E-FAB5-4E2A-8816-ECBF2B697AA7}"/>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AF28149E-062F-4E79-8CC7-EF7DDDD3B66A}"/>
    <cellStyle name="20% - Accent1 2 4 2 3" xfId="12173" xr:uid="{5F0C57A2-15B2-4C81-B399-47D316665E02}"/>
    <cellStyle name="20% - Accent1 2 4 3" xfId="4919" xr:uid="{00000000-0005-0000-0000-000042000000}"/>
    <cellStyle name="20% - Accent1 2 4 3 2" xfId="14245" xr:uid="{628A110D-EC66-4F97-A4A8-25C3FA599DAC}"/>
    <cellStyle name="20% - Accent1 2 4 4" xfId="9221" xr:uid="{11532E3F-E59C-4FF7-9F45-291A17A69435}"/>
    <cellStyle name="20% - Accent1 2 4 4 2" xfId="18537" xr:uid="{E83986A7-A821-4C0B-A6B9-48091F849BF1}"/>
    <cellStyle name="20% - Accent1 2 4 5" xfId="10028" xr:uid="{1308D4E0-9546-489D-B7B5-4A8ACDE39C48}"/>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6D2EBA66-C8AC-4134-9AC1-D880BE932CF5}"/>
    <cellStyle name="20% - Accent1 2 5 2 3" xfId="12586" xr:uid="{FF313438-C75F-400D-A8D0-4D9660F7B472}"/>
    <cellStyle name="20% - Accent1 2 5 3" xfId="5332" xr:uid="{00000000-0005-0000-0000-000046000000}"/>
    <cellStyle name="20% - Accent1 2 5 3 2" xfId="14658" xr:uid="{8EC99C6B-868E-43C8-9ECF-0FD6946E260F}"/>
    <cellStyle name="20% - Accent1 2 5 4" xfId="10441" xr:uid="{6AE918E6-98A0-4F11-91EC-866D48A391B7}"/>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A7A05FDD-99D6-4ED7-8AE8-BB5DBA758C35}"/>
    <cellStyle name="20% - Accent1 2 6 2 3" xfId="12999" xr:uid="{88124821-3F46-4D7D-A906-A1DDA5151E5E}"/>
    <cellStyle name="20% - Accent1 2 6 3" xfId="5745" xr:uid="{00000000-0005-0000-0000-00004A000000}"/>
    <cellStyle name="20% - Accent1 2 6 3 2" xfId="15071" xr:uid="{B22F8A53-EE99-48A2-8D42-16DBB4F42890}"/>
    <cellStyle name="20% - Accent1 2 6 4" xfId="10854" xr:uid="{62F0B1C8-774A-4EA3-BB9E-2F1D30A7B556}"/>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B6E85F49-12A2-4912-AFFF-9A2F532E952C}"/>
    <cellStyle name="20% - Accent1 2 7 2 3" xfId="13412" xr:uid="{A033CD42-B48C-45EF-B36A-C40216B0D204}"/>
    <cellStyle name="20% - Accent1 2 7 3" xfId="6158" xr:uid="{00000000-0005-0000-0000-00004E000000}"/>
    <cellStyle name="20% - Accent1 2 7 3 2" xfId="15484" xr:uid="{B0B8B542-3653-4DC9-8CB0-FDC77B609F35}"/>
    <cellStyle name="20% - Accent1 2 7 4" xfId="11267" xr:uid="{58847CFB-AE18-4162-83F7-C9F80FD329CF}"/>
    <cellStyle name="20% - Accent1 2 8" xfId="2265" xr:uid="{00000000-0005-0000-0000-00004F000000}"/>
    <cellStyle name="20% - Accent1 2 8 2" xfId="6571" xr:uid="{00000000-0005-0000-0000-000050000000}"/>
    <cellStyle name="20% - Accent1 2 8 2 2" xfId="15897" xr:uid="{BD6E86E1-0360-4935-8214-A19381AD33B3}"/>
    <cellStyle name="20% - Accent1 2 8 3" xfId="11680" xr:uid="{C9714FFE-8609-4323-90F1-28E02EE6CEEB}"/>
    <cellStyle name="20% - Accent1 2 9" xfId="4505" xr:uid="{00000000-0005-0000-0000-000051000000}"/>
    <cellStyle name="20% - Accent1 2 9 2" xfId="13831" xr:uid="{115179BA-129E-4D6D-82D0-37B6D3C4245C}"/>
    <cellStyle name="20% - Accent1 3" xfId="6" xr:uid="{00000000-0005-0000-0000-000052000000}"/>
    <cellStyle name="20% - Accent1 3 10" xfId="9618" xr:uid="{012A2A82-4C58-4BF8-A5E0-4F1EF1CD2B8C}"/>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D087751A-E79B-4E47-A84F-91D334F82250}"/>
    <cellStyle name="20% - Accent1 3 2 2 2 3" xfId="12178" xr:uid="{B073508C-D57E-4840-B0B5-A2F88BC2E885}"/>
    <cellStyle name="20% - Accent1 3 2 2 3" xfId="4924" xr:uid="{00000000-0005-0000-0000-000057000000}"/>
    <cellStyle name="20% - Accent1 3 2 2 3 2" xfId="14250" xr:uid="{2DF1DBFE-9162-468C-AFB9-5D8381CD68E2}"/>
    <cellStyle name="20% - Accent1 3 2 2 4" xfId="9493" xr:uid="{FCEFE71D-2A04-4899-B62A-B225DBF7F0BF}"/>
    <cellStyle name="20% - Accent1 3 2 2 4 2" xfId="18808" xr:uid="{A80C6A3E-5593-4335-A85E-11C21019C484}"/>
    <cellStyle name="20% - Accent1 3 2 2 5" xfId="10033" xr:uid="{767D7BED-2B97-4E65-83D9-0E216756CBFD}"/>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FB24E6B7-DEC7-4A6B-85C0-C861E89128FB}"/>
    <cellStyle name="20% - Accent1 3 2 3 2 3" xfId="12591" xr:uid="{AC3DCB13-834B-4BD4-BEB9-1BFAC6FAE3A1}"/>
    <cellStyle name="20% - Accent1 3 2 3 3" xfId="5337" xr:uid="{00000000-0005-0000-0000-00005B000000}"/>
    <cellStyle name="20% - Accent1 3 2 3 3 2" xfId="14663" xr:uid="{3065FD5F-DD03-4BD3-A90B-EEEE6C733453}"/>
    <cellStyle name="20% - Accent1 3 2 3 4" xfId="10446" xr:uid="{4E82DC93-8664-484C-B876-1E07CDFCCCB6}"/>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E4FAAAB1-688B-44D7-876B-DFFB7190FDBC}"/>
    <cellStyle name="20% - Accent1 3 2 4 2 3" xfId="13004" xr:uid="{36A38761-9733-4231-8587-EBD5BB7DED3F}"/>
    <cellStyle name="20% - Accent1 3 2 4 3" xfId="5750" xr:uid="{00000000-0005-0000-0000-00005F000000}"/>
    <cellStyle name="20% - Accent1 3 2 4 3 2" xfId="15076" xr:uid="{696A423B-8ABC-41C9-8058-70A6CF2A926C}"/>
    <cellStyle name="20% - Accent1 3 2 4 4" xfId="10859" xr:uid="{F494ED32-23E0-4D01-A2E2-B28B2C0C0B7A}"/>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C6AA1386-C219-42E0-BB3A-644ABFE424E9}"/>
    <cellStyle name="20% - Accent1 3 2 5 2 3" xfId="13417" xr:uid="{A3BF34CD-46FE-4320-955B-B5C85D57B3A4}"/>
    <cellStyle name="20% - Accent1 3 2 5 3" xfId="6163" xr:uid="{00000000-0005-0000-0000-000063000000}"/>
    <cellStyle name="20% - Accent1 3 2 5 3 2" xfId="15489" xr:uid="{E35686B3-6FA1-42EF-B9B4-6C7B210D2C43}"/>
    <cellStyle name="20% - Accent1 3 2 5 4" xfId="11272" xr:uid="{C980B096-C89B-47C4-BE40-049970E41771}"/>
    <cellStyle name="20% - Accent1 3 2 6" xfId="2270" xr:uid="{00000000-0005-0000-0000-000064000000}"/>
    <cellStyle name="20% - Accent1 3 2 6 2" xfId="6576" xr:uid="{00000000-0005-0000-0000-000065000000}"/>
    <cellStyle name="20% - Accent1 3 2 6 2 2" xfId="15902" xr:uid="{F8C5F02B-13EB-44FE-BF08-7480437CFDF3}"/>
    <cellStyle name="20% - Accent1 3 2 6 3" xfId="11685" xr:uid="{A6938A40-76F6-4ED3-A37A-1B1467D415AA}"/>
    <cellStyle name="20% - Accent1 3 2 7" xfId="4510" xr:uid="{00000000-0005-0000-0000-000066000000}"/>
    <cellStyle name="20% - Accent1 3 2 7 2" xfId="13836" xr:uid="{77C8D146-A049-4602-BE86-10439DC49D49}"/>
    <cellStyle name="20% - Accent1 3 2 8" xfId="9068" xr:uid="{354460C9-AD38-4FCD-882B-4DFB81DE5890}"/>
    <cellStyle name="20% - Accent1 3 2 8 2" xfId="18392" xr:uid="{E20B4DD3-7400-4972-A604-6A032D4F1A3D}"/>
    <cellStyle name="20% - Accent1 3 2 9" xfId="9619" xr:uid="{570142E4-CE15-4BC6-83E5-FDC19A3A3910}"/>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831740FA-928C-49D4-97F4-CC870340A83D}"/>
    <cellStyle name="20% - Accent1 3 3 2 3" xfId="12177" xr:uid="{E264FD8B-F813-4D3B-AC7A-9DB0ACDB254B}"/>
    <cellStyle name="20% - Accent1 3 3 3" xfId="4923" xr:uid="{00000000-0005-0000-0000-00006A000000}"/>
    <cellStyle name="20% - Accent1 3 3 3 2" xfId="14249" xr:uid="{647ED26E-DCB7-4903-9FB0-2B018549B6BA}"/>
    <cellStyle name="20% - Accent1 3 3 4" xfId="9286" xr:uid="{B5220C4B-EBE7-4AD0-9A24-7F16FA378184}"/>
    <cellStyle name="20% - Accent1 3 3 4 2" xfId="18601" xr:uid="{64EB029B-B62E-4058-B3E5-B3F484D1013C}"/>
    <cellStyle name="20% - Accent1 3 3 5" xfId="10032" xr:uid="{EE37CB96-46A7-486B-BD0B-CF981F1B1F3A}"/>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12D87A92-E7FC-42ED-A97D-26C4F5AC4AA1}"/>
    <cellStyle name="20% - Accent1 3 4 2 3" xfId="12590" xr:uid="{B0A701AB-C29A-46AE-BF04-649EB8B7216D}"/>
    <cellStyle name="20% - Accent1 3 4 3" xfId="5336" xr:uid="{00000000-0005-0000-0000-00006E000000}"/>
    <cellStyle name="20% - Accent1 3 4 3 2" xfId="14662" xr:uid="{E10BA375-D673-4E27-8DE5-C748A92A5102}"/>
    <cellStyle name="20% - Accent1 3 4 4" xfId="10445" xr:uid="{CA379681-A6B1-420F-8950-E76767CD86D8}"/>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9B8B7174-B769-47A4-8203-1E553FE94A6A}"/>
    <cellStyle name="20% - Accent1 3 5 2 3" xfId="13003" xr:uid="{38869712-8300-44E7-ADB8-ACAEB1DADE1C}"/>
    <cellStyle name="20% - Accent1 3 5 3" xfId="5749" xr:uid="{00000000-0005-0000-0000-000072000000}"/>
    <cellStyle name="20% - Accent1 3 5 3 2" xfId="15075" xr:uid="{CA813211-F84C-47FD-ABEA-6E57C9124B21}"/>
    <cellStyle name="20% - Accent1 3 5 4" xfId="10858" xr:uid="{956C6A59-BB5E-47EB-8B10-37A44DA16687}"/>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1A52FB2E-4239-4E51-9C2B-8596C8829216}"/>
    <cellStyle name="20% - Accent1 3 6 2 3" xfId="13416" xr:uid="{E6BEC369-6C9F-4265-B6DA-12C41FF8D4C1}"/>
    <cellStyle name="20% - Accent1 3 6 3" xfId="6162" xr:uid="{00000000-0005-0000-0000-000076000000}"/>
    <cellStyle name="20% - Accent1 3 6 3 2" xfId="15488" xr:uid="{2A67C011-C9FA-4430-BB98-54BB9CCB911A}"/>
    <cellStyle name="20% - Accent1 3 6 4" xfId="11271" xr:uid="{2611123B-BC1C-467E-AAE8-773E76ACF786}"/>
    <cellStyle name="20% - Accent1 3 7" xfId="2269" xr:uid="{00000000-0005-0000-0000-000077000000}"/>
    <cellStyle name="20% - Accent1 3 7 2" xfId="6575" xr:uid="{00000000-0005-0000-0000-000078000000}"/>
    <cellStyle name="20% - Accent1 3 7 2 2" xfId="15901" xr:uid="{67D74412-DB7E-4801-A16D-2B713A2DE369}"/>
    <cellStyle name="20% - Accent1 3 7 3" xfId="11684" xr:uid="{EF283813-B68E-4FD8-9162-6193E658BDAF}"/>
    <cellStyle name="20% - Accent1 3 8" xfId="4509" xr:uid="{00000000-0005-0000-0000-000079000000}"/>
    <cellStyle name="20% - Accent1 3 8 2" xfId="13835" xr:uid="{FC7D8958-5495-44CB-8B8E-483230CA3A3A}"/>
    <cellStyle name="20% - Accent1 3 9" xfId="8861" xr:uid="{C1B75176-75E3-4E31-86A7-851E7FD67A9E}"/>
    <cellStyle name="20% - Accent1 3 9 2" xfId="18185" xr:uid="{D273576B-03F5-4A60-B666-6493FB5AD17B}"/>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9AB4209B-9C3D-4A35-B3DC-BEDFB7A0688E}"/>
    <cellStyle name="20% - Accent1 4 2 2 3" xfId="12179" xr:uid="{449C3568-7E54-469E-9C8B-5315A3EAC679}"/>
    <cellStyle name="20% - Accent1 4 2 3" xfId="4925" xr:uid="{00000000-0005-0000-0000-00007E000000}"/>
    <cellStyle name="20% - Accent1 4 2 3 2" xfId="14251" xr:uid="{CAFA450C-CA1A-4013-8EBD-E702858EFA20}"/>
    <cellStyle name="20% - Accent1 4 2 4" xfId="9372" xr:uid="{E6B08341-6F7D-4580-9BCF-4BFC252FAE31}"/>
    <cellStyle name="20% - Accent1 4 2 4 2" xfId="18687" xr:uid="{04D02DC7-AB14-423F-AECD-7EA574EB7C1F}"/>
    <cellStyle name="20% - Accent1 4 2 5" xfId="10034" xr:uid="{DEC91AF1-64B5-46D5-8169-D8D73A9D122E}"/>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56F6442B-5926-4D99-B61C-C6FC2AE71F38}"/>
    <cellStyle name="20% - Accent1 4 3 2 3" xfId="12592" xr:uid="{01DBFEE4-D768-4F60-93AB-BFCF6776DF75}"/>
    <cellStyle name="20% - Accent1 4 3 3" xfId="5338" xr:uid="{00000000-0005-0000-0000-000082000000}"/>
    <cellStyle name="20% - Accent1 4 3 3 2" xfId="14664" xr:uid="{D5CCCEAB-326F-421F-B033-B22394B2293B}"/>
    <cellStyle name="20% - Accent1 4 3 4" xfId="10447" xr:uid="{AA7F2E77-0884-4DB6-8B70-B2A0DAA12FDD}"/>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274EDB51-782B-469D-A75B-AD173E4B608C}"/>
    <cellStyle name="20% - Accent1 4 4 2 3" xfId="13005" xr:uid="{3135936A-5A5E-485C-8F67-252A68D5F657}"/>
    <cellStyle name="20% - Accent1 4 4 3" xfId="5751" xr:uid="{00000000-0005-0000-0000-000086000000}"/>
    <cellStyle name="20% - Accent1 4 4 3 2" xfId="15077" xr:uid="{0D9414CA-86ED-4891-BE7D-4CDD48512AD6}"/>
    <cellStyle name="20% - Accent1 4 4 4" xfId="10860" xr:uid="{334AF1A6-1831-4AAC-B8BA-41E15D64ED8C}"/>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749493C9-C986-47E4-9DA9-D202EEB3EFA8}"/>
    <cellStyle name="20% - Accent1 4 5 2 3" xfId="13418" xr:uid="{A1A3C22D-2F39-4DD0-9287-E86F221A567D}"/>
    <cellStyle name="20% - Accent1 4 5 3" xfId="6164" xr:uid="{00000000-0005-0000-0000-00008A000000}"/>
    <cellStyle name="20% - Accent1 4 5 3 2" xfId="15490" xr:uid="{07465248-4715-4955-95E7-0B4712C585B9}"/>
    <cellStyle name="20% - Accent1 4 5 4" xfId="11273" xr:uid="{B48BD960-6A47-4894-B4C3-5AF867F350D5}"/>
    <cellStyle name="20% - Accent1 4 6" xfId="2271" xr:uid="{00000000-0005-0000-0000-00008B000000}"/>
    <cellStyle name="20% - Accent1 4 6 2" xfId="6577" xr:uid="{00000000-0005-0000-0000-00008C000000}"/>
    <cellStyle name="20% - Accent1 4 6 2 2" xfId="15903" xr:uid="{40D244B8-37E6-42D3-A041-B98ED61174AC}"/>
    <cellStyle name="20% - Accent1 4 6 3" xfId="11686" xr:uid="{9006DB31-AB21-40B6-A81A-99E15201E8D5}"/>
    <cellStyle name="20% - Accent1 4 7" xfId="4511" xr:uid="{00000000-0005-0000-0000-00008D000000}"/>
    <cellStyle name="20% - Accent1 4 7 2" xfId="13837" xr:uid="{B042BAED-BCAB-4170-BB8E-D23127D52C4A}"/>
    <cellStyle name="20% - Accent1 4 8" xfId="8947" xr:uid="{1FCDBFE2-CC86-42DD-AD9B-D3EAF476002E}"/>
    <cellStyle name="20% - Accent1 4 8 2" xfId="18271" xr:uid="{E34A8AA1-2603-4FA1-973A-9B9E79929BE6}"/>
    <cellStyle name="20% - Accent1 4 9" xfId="9620" xr:uid="{5122631E-C562-44E8-B841-BC9B37914372}"/>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342F8CBC-7421-4228-856A-69379E6BF464}"/>
    <cellStyle name="20% - Accent1 5 2 3" xfId="12172" xr:uid="{FAB8879D-D5FB-463B-B1D1-9CEAA6381897}"/>
    <cellStyle name="20% - Accent1 5 3" xfId="4918" xr:uid="{00000000-0005-0000-0000-000091000000}"/>
    <cellStyle name="20% - Accent1 5 3 2" xfId="14244" xr:uid="{BA7B880E-FEA4-4ABA-BFBE-D62FBEAC20BB}"/>
    <cellStyle name="20% - Accent1 5 4" xfId="9180" xr:uid="{D0AEF57E-25E3-47C5-B910-DC1A0019F498}"/>
    <cellStyle name="20% - Accent1 5 4 2" xfId="18498" xr:uid="{01E4E6E1-39AE-401F-822B-93299E18EBF8}"/>
    <cellStyle name="20% - Accent1 5 5" xfId="10027" xr:uid="{B29555F7-9FBC-4A75-AE6D-F5B1C47FB976}"/>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3345EC21-B01D-40D1-8F8D-764D88DD41B5}"/>
    <cellStyle name="20% - Accent1 6 2 3" xfId="12585" xr:uid="{439B325D-C68E-440C-902C-F72972768AB4}"/>
    <cellStyle name="20% - Accent1 6 3" xfId="5331" xr:uid="{00000000-0005-0000-0000-000095000000}"/>
    <cellStyle name="20% - Accent1 6 3 2" xfId="14657" xr:uid="{B617E7CA-3E9A-42F2-A9EE-5311BC05B149}"/>
    <cellStyle name="20% - Accent1 6 4" xfId="10440" xr:uid="{B7B13E7E-D095-4181-A080-DB70593DF267}"/>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B0587F74-CCB3-46E5-B4A4-FA2D8794788E}"/>
    <cellStyle name="20% - Accent1 7 2 3" xfId="12998" xr:uid="{69B7810F-9DC1-4416-B2F3-01AEB52B16FD}"/>
    <cellStyle name="20% - Accent1 7 3" xfId="5744" xr:uid="{00000000-0005-0000-0000-000099000000}"/>
    <cellStyle name="20% - Accent1 7 3 2" xfId="15070" xr:uid="{57A1D9AC-3DC4-419B-B0C0-1CF7FB188C1A}"/>
    <cellStyle name="20% - Accent1 7 4" xfId="10853" xr:uid="{E98C75DF-D087-42FA-9D7B-6AD99972B80F}"/>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5EEF3FA9-7533-48AC-B68A-8B472A869BE1}"/>
    <cellStyle name="20% - Accent1 8 2 3" xfId="13411" xr:uid="{3079501C-9458-4954-9CEE-E3A93BD5FD8F}"/>
    <cellStyle name="20% - Accent1 8 3" xfId="6157" xr:uid="{00000000-0005-0000-0000-00009D000000}"/>
    <cellStyle name="20% - Accent1 8 3 2" xfId="15483" xr:uid="{4E891C84-127F-4251-A67D-5C61476D96FD}"/>
    <cellStyle name="20% - Accent1 8 4" xfId="11266" xr:uid="{26235783-FC6B-49D2-A993-2784C08D33E9}"/>
    <cellStyle name="20% - Accent1 9" xfId="2264" xr:uid="{00000000-0005-0000-0000-00009E000000}"/>
    <cellStyle name="20% - Accent1 9 2" xfId="6570" xr:uid="{00000000-0005-0000-0000-00009F000000}"/>
    <cellStyle name="20% - Accent1 9 2 2" xfId="15896" xr:uid="{574E3BD1-8198-4700-B141-7027F8020902}"/>
    <cellStyle name="20% - Accent1 9 3" xfId="11679" xr:uid="{7AEB018A-AF54-4E61-9BAC-DC0324F29B4D}"/>
    <cellStyle name="20% - Accent2" xfId="9" builtinId="34" customBuiltin="1"/>
    <cellStyle name="20% - Accent2 10" xfId="4512" xr:uid="{00000000-0005-0000-0000-0000A1000000}"/>
    <cellStyle name="20% - Accent2 10 2" xfId="13838" xr:uid="{2CAF07FF-30E5-4C11-8BAB-F41C306AFB88}"/>
    <cellStyle name="20% - Accent2 11" xfId="8760" xr:uid="{2F9D8AF1-C115-467C-ADFB-3BF13039D076}"/>
    <cellStyle name="20% - Accent2 11 2" xfId="18084" xr:uid="{8B073918-CC01-4D93-BC23-5A0777B35FA6}"/>
    <cellStyle name="20% - Accent2 12" xfId="9621" xr:uid="{9F8C76DD-77C1-4CE0-A4EC-E8BAEA080DCE}"/>
    <cellStyle name="20% - Accent2 2" xfId="10" xr:uid="{00000000-0005-0000-0000-0000A2000000}"/>
    <cellStyle name="20% - Accent2 2 10" xfId="8793" xr:uid="{AA7C3473-3A75-4F75-9E25-D7658C57F3A0}"/>
    <cellStyle name="20% - Accent2 2 10 2" xfId="18117" xr:uid="{CC04D7AB-3E5D-4047-B8E7-5AFFAED71D12}"/>
    <cellStyle name="20% - Accent2 2 11" xfId="9622" xr:uid="{DED286D3-5046-4213-B706-03BC4694F949}"/>
    <cellStyle name="20% - Accent2 2 2" xfId="11" xr:uid="{00000000-0005-0000-0000-0000A3000000}"/>
    <cellStyle name="20% - Accent2 2 2 10" xfId="9623" xr:uid="{A4E6C8A3-5B7C-4247-B18F-37689931E106}"/>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42445427-1B24-42F7-ACA6-7B1FE2CD7344}"/>
    <cellStyle name="20% - Accent2 2 2 2 2 2 3" xfId="12183" xr:uid="{165DD917-7AD1-4568-9BB2-137464B3501F}"/>
    <cellStyle name="20% - Accent2 2 2 2 2 3" xfId="4929" xr:uid="{00000000-0005-0000-0000-0000A8000000}"/>
    <cellStyle name="20% - Accent2 2 2 2 2 3 2" xfId="14255" xr:uid="{D591279B-52CB-416A-B366-94995F7D3BBA}"/>
    <cellStyle name="20% - Accent2 2 2 2 2 4" xfId="9528" xr:uid="{C8BEA541-FD8B-4449-95AA-43E1904F35BB}"/>
    <cellStyle name="20% - Accent2 2 2 2 2 4 2" xfId="18843" xr:uid="{F5F73B28-73F6-44F6-B51B-98D0CED4A5D9}"/>
    <cellStyle name="20% - Accent2 2 2 2 2 5" xfId="10038" xr:uid="{405956E3-B0D2-4B42-884D-47099F076CFE}"/>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B3D9EB7F-D9C0-48E1-8F54-52E8805042BB}"/>
    <cellStyle name="20% - Accent2 2 2 2 3 2 3" xfId="12596" xr:uid="{F7F8E567-6860-4F62-A5E7-ADC48D9685FB}"/>
    <cellStyle name="20% - Accent2 2 2 2 3 3" xfId="5342" xr:uid="{00000000-0005-0000-0000-0000AC000000}"/>
    <cellStyle name="20% - Accent2 2 2 2 3 3 2" xfId="14668" xr:uid="{6AB9CC69-0480-4447-94BC-1CE11B5E45BD}"/>
    <cellStyle name="20% - Accent2 2 2 2 3 4" xfId="10451" xr:uid="{1A6AC13D-F159-4173-93DB-B0A96453BD86}"/>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BCD63DB8-0E6B-4199-8B70-06945CD30A79}"/>
    <cellStyle name="20% - Accent2 2 2 2 4 2 3" xfId="13009" xr:uid="{E8F98EAB-3893-4BC8-84A5-062529C89CB8}"/>
    <cellStyle name="20% - Accent2 2 2 2 4 3" xfId="5755" xr:uid="{00000000-0005-0000-0000-0000B0000000}"/>
    <cellStyle name="20% - Accent2 2 2 2 4 3 2" xfId="15081" xr:uid="{B06E3F85-D75C-4802-8F76-08D022E87EAC}"/>
    <cellStyle name="20% - Accent2 2 2 2 4 4" xfId="10864" xr:uid="{7D361475-4FF5-4CCA-86E1-D755F86CDF7D}"/>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FFB68909-15AD-4965-9D8A-7227C5741B87}"/>
    <cellStyle name="20% - Accent2 2 2 2 5 2 3" xfId="13422" xr:uid="{E0EBE6F8-E23C-4609-B3F1-48BFE9395758}"/>
    <cellStyle name="20% - Accent2 2 2 2 5 3" xfId="6168" xr:uid="{00000000-0005-0000-0000-0000B4000000}"/>
    <cellStyle name="20% - Accent2 2 2 2 5 3 2" xfId="15494" xr:uid="{57392391-9A79-4841-A988-D77330C23D12}"/>
    <cellStyle name="20% - Accent2 2 2 2 5 4" xfId="11277" xr:uid="{B8760E02-1EDF-4CED-A05A-0990F400990A}"/>
    <cellStyle name="20% - Accent2 2 2 2 6" xfId="2275" xr:uid="{00000000-0005-0000-0000-0000B5000000}"/>
    <cellStyle name="20% - Accent2 2 2 2 6 2" xfId="6581" xr:uid="{00000000-0005-0000-0000-0000B6000000}"/>
    <cellStyle name="20% - Accent2 2 2 2 6 2 2" xfId="15907" xr:uid="{CAE77507-66E4-4CE2-B918-620C387DC82F}"/>
    <cellStyle name="20% - Accent2 2 2 2 6 3" xfId="11690" xr:uid="{444732BD-88D5-4A8F-BFDD-D82D8A9A0666}"/>
    <cellStyle name="20% - Accent2 2 2 2 7" xfId="4515" xr:uid="{00000000-0005-0000-0000-0000B7000000}"/>
    <cellStyle name="20% - Accent2 2 2 2 7 2" xfId="13841" xr:uid="{2357A996-5E62-44ED-A85C-CF3B2A560196}"/>
    <cellStyle name="20% - Accent2 2 2 2 8" xfId="9103" xr:uid="{91DB80A1-3464-4086-B948-71B6A26537C4}"/>
    <cellStyle name="20% - Accent2 2 2 2 8 2" xfId="18427" xr:uid="{F0AD7CAA-9E27-4C80-A71B-DFDE75D86899}"/>
    <cellStyle name="20% - Accent2 2 2 2 9" xfId="9624" xr:uid="{2A208F5C-3279-4539-8167-E9C5BDC4A31E}"/>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FEBD0C7F-352D-4909-93BF-C843C56B49B0}"/>
    <cellStyle name="20% - Accent2 2 2 3 2 3" xfId="12182" xr:uid="{1DA9F69C-1E02-46CA-9FC5-970121DF3FAA}"/>
    <cellStyle name="20% - Accent2 2 2 3 3" xfId="4928" xr:uid="{00000000-0005-0000-0000-0000BB000000}"/>
    <cellStyle name="20% - Accent2 2 2 3 3 2" xfId="14254" xr:uid="{EB209FB6-E9CE-4630-92B7-7421683A6ECD}"/>
    <cellStyle name="20% - Accent2 2 2 3 4" xfId="9321" xr:uid="{32B21C3A-E360-4F19-B469-1116F045A0F3}"/>
    <cellStyle name="20% - Accent2 2 2 3 4 2" xfId="18636" xr:uid="{F606CF2C-9E24-4D0D-953B-F83AE42AAB40}"/>
    <cellStyle name="20% - Accent2 2 2 3 5" xfId="10037" xr:uid="{0403366A-AAF5-4F87-9DB7-F232FF78ED02}"/>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4F2A8F2E-C7A3-478C-96D3-2177D66FB9A0}"/>
    <cellStyle name="20% - Accent2 2 2 4 2 3" xfId="12595" xr:uid="{3415365C-10EB-4EA8-ADC4-2DB2966B6594}"/>
    <cellStyle name="20% - Accent2 2 2 4 3" xfId="5341" xr:uid="{00000000-0005-0000-0000-0000BF000000}"/>
    <cellStyle name="20% - Accent2 2 2 4 3 2" xfId="14667" xr:uid="{85E04D2C-1F65-42FB-B484-A6E206F1052C}"/>
    <cellStyle name="20% - Accent2 2 2 4 4" xfId="10450" xr:uid="{63CA00A6-F99F-43F4-9F26-599A74D45BCA}"/>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171300DD-33DC-4B44-979A-A03559D15748}"/>
    <cellStyle name="20% - Accent2 2 2 5 2 3" xfId="13008" xr:uid="{0669676D-6AD7-431E-8762-DB910F0CB8A8}"/>
    <cellStyle name="20% - Accent2 2 2 5 3" xfId="5754" xr:uid="{00000000-0005-0000-0000-0000C3000000}"/>
    <cellStyle name="20% - Accent2 2 2 5 3 2" xfId="15080" xr:uid="{F228714F-9AF4-4112-95AD-B8D43E45DAEF}"/>
    <cellStyle name="20% - Accent2 2 2 5 4" xfId="10863" xr:uid="{078F0831-F0B7-48AB-B332-191002102303}"/>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A710FCE5-CB85-464E-B99C-332CE1802249}"/>
    <cellStyle name="20% - Accent2 2 2 6 2 3" xfId="13421" xr:uid="{C19D6629-1B3E-40E9-A7D9-605D373E88F6}"/>
    <cellStyle name="20% - Accent2 2 2 6 3" xfId="6167" xr:uid="{00000000-0005-0000-0000-0000C7000000}"/>
    <cellStyle name="20% - Accent2 2 2 6 3 2" xfId="15493" xr:uid="{5C6B879B-F44E-4021-873D-41BF48581A8F}"/>
    <cellStyle name="20% - Accent2 2 2 6 4" xfId="11276" xr:uid="{5EDA9A06-6CE0-4C2D-AB6E-A275EF99C57E}"/>
    <cellStyle name="20% - Accent2 2 2 7" xfId="2274" xr:uid="{00000000-0005-0000-0000-0000C8000000}"/>
    <cellStyle name="20% - Accent2 2 2 7 2" xfId="6580" xr:uid="{00000000-0005-0000-0000-0000C9000000}"/>
    <cellStyle name="20% - Accent2 2 2 7 2 2" xfId="15906" xr:uid="{86E05A8D-8D39-4D90-A79F-3601342EB3C2}"/>
    <cellStyle name="20% - Accent2 2 2 7 3" xfId="11689" xr:uid="{7C45ABDE-E0B9-4B9B-94D8-35DA747ED69B}"/>
    <cellStyle name="20% - Accent2 2 2 8" xfId="4514" xr:uid="{00000000-0005-0000-0000-0000CA000000}"/>
    <cellStyle name="20% - Accent2 2 2 8 2" xfId="13840" xr:uid="{3CD2D5EC-8842-45E8-BB7D-F23975705F50}"/>
    <cellStyle name="20% - Accent2 2 2 9" xfId="8896" xr:uid="{7CDAA0F1-5BE6-4749-AD4D-5424E0EA26D8}"/>
    <cellStyle name="20% - Accent2 2 2 9 2" xfId="18220" xr:uid="{94018DCD-C299-4BE1-B0BA-74D97F33F623}"/>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AAB930F2-C765-4C37-A695-E5D20A00C3D1}"/>
    <cellStyle name="20% - Accent2 2 3 2 2 3" xfId="12184" xr:uid="{A85BC4C2-DC5B-4A24-BC98-21E6B695D3B4}"/>
    <cellStyle name="20% - Accent2 2 3 2 3" xfId="4930" xr:uid="{00000000-0005-0000-0000-0000CF000000}"/>
    <cellStyle name="20% - Accent2 2 3 2 3 2" xfId="14256" xr:uid="{D7B0E2EE-C663-40AC-BD51-F8E17598515A}"/>
    <cellStyle name="20% - Accent2 2 3 2 4" xfId="9425" xr:uid="{35BECFF4-0F5A-4F6E-AE6E-354891135B4F}"/>
    <cellStyle name="20% - Accent2 2 3 2 4 2" xfId="18740" xr:uid="{F32768DB-8DF3-4625-B908-95A29E55D8C2}"/>
    <cellStyle name="20% - Accent2 2 3 2 5" xfId="10039" xr:uid="{40B87215-058D-4842-AFF1-C16FDF3C7814}"/>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1416E646-0390-40EA-946B-4FB26379704A}"/>
    <cellStyle name="20% - Accent2 2 3 3 2 3" xfId="12597" xr:uid="{99C24E92-53D3-423F-B875-CF6CCCE9233B}"/>
    <cellStyle name="20% - Accent2 2 3 3 3" xfId="5343" xr:uid="{00000000-0005-0000-0000-0000D3000000}"/>
    <cellStyle name="20% - Accent2 2 3 3 3 2" xfId="14669" xr:uid="{B455A93D-5A0C-475D-9288-45FC8C3A873F}"/>
    <cellStyle name="20% - Accent2 2 3 3 4" xfId="10452" xr:uid="{6C224B58-E8E2-46D9-B014-ACF4308C0507}"/>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9B20EB19-E92E-4766-8BEF-FF3FC655B1AA}"/>
    <cellStyle name="20% - Accent2 2 3 4 2 3" xfId="13010" xr:uid="{4CE965C5-0DA9-4977-8F26-BBC02F80FCB0}"/>
    <cellStyle name="20% - Accent2 2 3 4 3" xfId="5756" xr:uid="{00000000-0005-0000-0000-0000D7000000}"/>
    <cellStyle name="20% - Accent2 2 3 4 3 2" xfId="15082" xr:uid="{85635340-0393-46AF-8455-CD2B0F42F0B5}"/>
    <cellStyle name="20% - Accent2 2 3 4 4" xfId="10865" xr:uid="{B85C25C7-94C1-4771-99E2-752CA35DEFB3}"/>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4AB706E1-EC6F-4C95-9B0A-74675B400C66}"/>
    <cellStyle name="20% - Accent2 2 3 5 2 3" xfId="13423" xr:uid="{948862E6-29A6-44F2-AD08-E53F5DD57FC9}"/>
    <cellStyle name="20% - Accent2 2 3 5 3" xfId="6169" xr:uid="{00000000-0005-0000-0000-0000DB000000}"/>
    <cellStyle name="20% - Accent2 2 3 5 3 2" xfId="15495" xr:uid="{DFE99351-3ABB-46C8-8FEC-9655D7D2D18B}"/>
    <cellStyle name="20% - Accent2 2 3 5 4" xfId="11278" xr:uid="{E86C5469-6A20-4216-A17D-D5622E3ADEB2}"/>
    <cellStyle name="20% - Accent2 2 3 6" xfId="2276" xr:uid="{00000000-0005-0000-0000-0000DC000000}"/>
    <cellStyle name="20% - Accent2 2 3 6 2" xfId="6582" xr:uid="{00000000-0005-0000-0000-0000DD000000}"/>
    <cellStyle name="20% - Accent2 2 3 6 2 2" xfId="15908" xr:uid="{6834BDBD-E684-45C3-B233-AE05E99EFAB4}"/>
    <cellStyle name="20% - Accent2 2 3 6 3" xfId="11691" xr:uid="{82D5990C-74B1-481C-B791-51DCCC20DC50}"/>
    <cellStyle name="20% - Accent2 2 3 7" xfId="4516" xr:uid="{00000000-0005-0000-0000-0000DE000000}"/>
    <cellStyle name="20% - Accent2 2 3 7 2" xfId="13842" xr:uid="{839D2C6E-7AFF-42B1-B3C4-F0FAD6ACAE97}"/>
    <cellStyle name="20% - Accent2 2 3 8" xfId="9000" xr:uid="{133DFC5C-F2FF-49E9-82EE-ABAA9C815393}"/>
    <cellStyle name="20% - Accent2 2 3 8 2" xfId="18324" xr:uid="{DC34786B-9922-4DCB-8E5F-3CF21A400653}"/>
    <cellStyle name="20% - Accent2 2 3 9" xfId="9625" xr:uid="{E17D9D42-4039-4BE5-8794-0D41C305B9D5}"/>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3C962CCA-631D-450F-92C1-F9B90B939360}"/>
    <cellStyle name="20% - Accent2 2 4 2 3" xfId="12181" xr:uid="{4838BACC-777E-4463-96BA-5884C8DB2097}"/>
    <cellStyle name="20% - Accent2 2 4 3" xfId="4927" xr:uid="{00000000-0005-0000-0000-0000E2000000}"/>
    <cellStyle name="20% - Accent2 2 4 3 2" xfId="14253" xr:uid="{F424A449-436D-408A-8333-39D6E3B5F02F}"/>
    <cellStyle name="20% - Accent2 2 4 4" xfId="9217" xr:uid="{28DDC3F5-BA57-40F8-8D06-6CFF141CF9A1}"/>
    <cellStyle name="20% - Accent2 2 4 4 2" xfId="18533" xr:uid="{438838C6-AF0D-4B8A-816A-823EBD868E32}"/>
    <cellStyle name="20% - Accent2 2 4 5" xfId="10036" xr:uid="{720B0DB9-1F83-40F9-A27F-82B08DC94B44}"/>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A3777B08-995E-42F4-A133-D94AD0427089}"/>
    <cellStyle name="20% - Accent2 2 5 2 3" xfId="12594" xr:uid="{B76D8566-86C4-4961-B277-E72C85546FED}"/>
    <cellStyle name="20% - Accent2 2 5 3" xfId="5340" xr:uid="{00000000-0005-0000-0000-0000E6000000}"/>
    <cellStyle name="20% - Accent2 2 5 3 2" xfId="14666" xr:uid="{E15A5222-0AA9-4626-8DCA-28D4C79CD24F}"/>
    <cellStyle name="20% - Accent2 2 5 4" xfId="10449" xr:uid="{F20B958F-E66E-4655-8296-8D4D0C71E649}"/>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61072694-C8B5-4F86-8F4F-5D07A30DD0F7}"/>
    <cellStyle name="20% - Accent2 2 6 2 3" xfId="13007" xr:uid="{F28F4F19-EB2F-4557-91D5-8C5F8FC65494}"/>
    <cellStyle name="20% - Accent2 2 6 3" xfId="5753" xr:uid="{00000000-0005-0000-0000-0000EA000000}"/>
    <cellStyle name="20% - Accent2 2 6 3 2" xfId="15079" xr:uid="{75F49891-D666-46CD-8A8E-142A8CD69AEE}"/>
    <cellStyle name="20% - Accent2 2 6 4" xfId="10862" xr:uid="{360D7C51-77C4-4692-8563-E6A8180FE28D}"/>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64BC107B-583E-4EAB-A392-C40298106736}"/>
    <cellStyle name="20% - Accent2 2 7 2 3" xfId="13420" xr:uid="{8C2DE94E-82C9-47E0-9DC9-D3BD230A9B29}"/>
    <cellStyle name="20% - Accent2 2 7 3" xfId="6166" xr:uid="{00000000-0005-0000-0000-0000EE000000}"/>
    <cellStyle name="20% - Accent2 2 7 3 2" xfId="15492" xr:uid="{A717A9F2-CF98-47C8-83A8-00B23AE64B87}"/>
    <cellStyle name="20% - Accent2 2 7 4" xfId="11275" xr:uid="{0038777A-0B51-4F5B-9B5D-308ADA3C71E9}"/>
    <cellStyle name="20% - Accent2 2 8" xfId="2273" xr:uid="{00000000-0005-0000-0000-0000EF000000}"/>
    <cellStyle name="20% - Accent2 2 8 2" xfId="6579" xr:uid="{00000000-0005-0000-0000-0000F0000000}"/>
    <cellStyle name="20% - Accent2 2 8 2 2" xfId="15905" xr:uid="{DFE2B445-C343-43BB-8B4D-909210AA304C}"/>
    <cellStyle name="20% - Accent2 2 8 3" xfId="11688" xr:uid="{026914BE-813F-4D2E-9DCA-407B60076287}"/>
    <cellStyle name="20% - Accent2 2 9" xfId="4513" xr:uid="{00000000-0005-0000-0000-0000F1000000}"/>
    <cellStyle name="20% - Accent2 2 9 2" xfId="13839" xr:uid="{D8026740-4D72-4D6F-82B7-B1B27EEC439B}"/>
    <cellStyle name="20% - Accent2 3" xfId="14" xr:uid="{00000000-0005-0000-0000-0000F2000000}"/>
    <cellStyle name="20% - Accent2 3 10" xfId="9626" xr:uid="{836E801A-434E-4798-B7F4-DC85D1EA35D1}"/>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08D86C55-CF18-4089-87F7-66CD98906519}"/>
    <cellStyle name="20% - Accent2 3 2 2 2 3" xfId="12186" xr:uid="{BBD4C374-9D89-44CD-B986-0101BE0A71FA}"/>
    <cellStyle name="20% - Accent2 3 2 2 3" xfId="4932" xr:uid="{00000000-0005-0000-0000-0000F7000000}"/>
    <cellStyle name="20% - Accent2 3 2 2 3 2" xfId="14258" xr:uid="{A6BD8191-22E1-4847-A79D-0D6EBF50A7DF}"/>
    <cellStyle name="20% - Accent2 3 2 2 4" xfId="9495" xr:uid="{9F5A6FE7-BBC9-4787-8EC4-2112F4D5A0EA}"/>
    <cellStyle name="20% - Accent2 3 2 2 4 2" xfId="18810" xr:uid="{904AB0AE-7933-4FF0-89FE-F4CD96E7141C}"/>
    <cellStyle name="20% - Accent2 3 2 2 5" xfId="10041" xr:uid="{D86BB2A7-734C-46FC-ACAD-1F2A56C9219A}"/>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4D31E015-963F-4584-A3F8-58B66EBFC7E6}"/>
    <cellStyle name="20% - Accent2 3 2 3 2 3" xfId="12599" xr:uid="{833E9CE6-6B82-4B84-ADB6-166312A98D53}"/>
    <cellStyle name="20% - Accent2 3 2 3 3" xfId="5345" xr:uid="{00000000-0005-0000-0000-0000FB000000}"/>
    <cellStyle name="20% - Accent2 3 2 3 3 2" xfId="14671" xr:uid="{EA62620C-BA29-4313-94B3-2394B2B2A10F}"/>
    <cellStyle name="20% - Accent2 3 2 3 4" xfId="10454" xr:uid="{FB2E2BBA-7795-48CA-A6A5-B56509315EFF}"/>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5132A7DD-3790-46BE-81CC-10E85FD6EF01}"/>
    <cellStyle name="20% - Accent2 3 2 4 2 3" xfId="13012" xr:uid="{40E1C1CD-3A66-4B22-92C6-A60AA636EDEF}"/>
    <cellStyle name="20% - Accent2 3 2 4 3" xfId="5758" xr:uid="{00000000-0005-0000-0000-0000FF000000}"/>
    <cellStyle name="20% - Accent2 3 2 4 3 2" xfId="15084" xr:uid="{28FEDBED-C9D0-49C9-B753-0E2D27A375B6}"/>
    <cellStyle name="20% - Accent2 3 2 4 4" xfId="10867" xr:uid="{37A73CDB-F181-4AAE-A7B9-FB1215EE218A}"/>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F7CC1BAC-CCC7-40AD-BEC3-F346CEAA9BBF}"/>
    <cellStyle name="20% - Accent2 3 2 5 2 3" xfId="13425" xr:uid="{B3AED331-1E39-4189-972D-68FA55D452EF}"/>
    <cellStyle name="20% - Accent2 3 2 5 3" xfId="6171" xr:uid="{00000000-0005-0000-0000-000003010000}"/>
    <cellStyle name="20% - Accent2 3 2 5 3 2" xfId="15497" xr:uid="{427C4E1F-CED5-4C12-88DA-6C8ACA8F37E1}"/>
    <cellStyle name="20% - Accent2 3 2 5 4" xfId="11280" xr:uid="{11EF5C65-5FC6-4611-BEEA-438614D906FD}"/>
    <cellStyle name="20% - Accent2 3 2 6" xfId="2278" xr:uid="{00000000-0005-0000-0000-000004010000}"/>
    <cellStyle name="20% - Accent2 3 2 6 2" xfId="6584" xr:uid="{00000000-0005-0000-0000-000005010000}"/>
    <cellStyle name="20% - Accent2 3 2 6 2 2" xfId="15910" xr:uid="{12B3A599-C2F3-44DD-8291-9EEE0C99880C}"/>
    <cellStyle name="20% - Accent2 3 2 6 3" xfId="11693" xr:uid="{34D854F3-B9AB-4083-B00C-E485407F9A4B}"/>
    <cellStyle name="20% - Accent2 3 2 7" xfId="4518" xr:uid="{00000000-0005-0000-0000-000006010000}"/>
    <cellStyle name="20% - Accent2 3 2 7 2" xfId="13844" xr:uid="{78E0B856-3C5C-477A-97D8-3AE001312A99}"/>
    <cellStyle name="20% - Accent2 3 2 8" xfId="9070" xr:uid="{8A9168BA-490F-4E57-83EA-22187D24153F}"/>
    <cellStyle name="20% - Accent2 3 2 8 2" xfId="18394" xr:uid="{1F922A09-8865-4729-97FB-17BD35B6F9FC}"/>
    <cellStyle name="20% - Accent2 3 2 9" xfId="9627" xr:uid="{A8E6C381-82D3-49CC-B346-6D0D78D717E8}"/>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D4A150EE-FC7B-4215-B084-FC7FFE6C3645}"/>
    <cellStyle name="20% - Accent2 3 3 2 3" xfId="12185" xr:uid="{7A3D6CF0-63CD-48EF-A76A-7954244553B6}"/>
    <cellStyle name="20% - Accent2 3 3 3" xfId="4931" xr:uid="{00000000-0005-0000-0000-00000A010000}"/>
    <cellStyle name="20% - Accent2 3 3 3 2" xfId="14257" xr:uid="{4ECF74E8-0988-4A7E-BDFD-DC89B59CB5FF}"/>
    <cellStyle name="20% - Accent2 3 3 4" xfId="9288" xr:uid="{FCD70616-ECAD-4A0B-889F-4698E1AD889E}"/>
    <cellStyle name="20% - Accent2 3 3 4 2" xfId="18603" xr:uid="{30A5F297-F5CD-421D-B970-03F5B7EF8571}"/>
    <cellStyle name="20% - Accent2 3 3 5" xfId="10040" xr:uid="{02B14536-E5D5-4293-9C42-1404EAA7A7AF}"/>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EB46BDBF-1282-46ED-91F7-5A9BA765302B}"/>
    <cellStyle name="20% - Accent2 3 4 2 3" xfId="12598" xr:uid="{61B574E0-218C-4D57-89EB-DC4348641D7B}"/>
    <cellStyle name="20% - Accent2 3 4 3" xfId="5344" xr:uid="{00000000-0005-0000-0000-00000E010000}"/>
    <cellStyle name="20% - Accent2 3 4 3 2" xfId="14670" xr:uid="{58A54D3B-4CB5-47C5-8950-273338A3240E}"/>
    <cellStyle name="20% - Accent2 3 4 4" xfId="10453" xr:uid="{97BC5907-6B3F-47BA-8492-06178AF44E27}"/>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8A40B03D-3E49-4BFE-B661-A424483E4843}"/>
    <cellStyle name="20% - Accent2 3 5 2 3" xfId="13011" xr:uid="{888B988B-7E23-4F22-8C31-9C240F9151F0}"/>
    <cellStyle name="20% - Accent2 3 5 3" xfId="5757" xr:uid="{00000000-0005-0000-0000-000012010000}"/>
    <cellStyle name="20% - Accent2 3 5 3 2" xfId="15083" xr:uid="{CC00A3AA-DACA-4038-86F3-0F4E74DB9EEC}"/>
    <cellStyle name="20% - Accent2 3 5 4" xfId="10866" xr:uid="{B7149FB9-EBD3-40D5-87CD-4368C4F627ED}"/>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B48FEAAD-00A0-4C07-9554-55117B918E5D}"/>
    <cellStyle name="20% - Accent2 3 6 2 3" xfId="13424" xr:uid="{92ABE303-6111-4EF5-9BE6-E0A22B0D73DA}"/>
    <cellStyle name="20% - Accent2 3 6 3" xfId="6170" xr:uid="{00000000-0005-0000-0000-000016010000}"/>
    <cellStyle name="20% - Accent2 3 6 3 2" xfId="15496" xr:uid="{FFEE648B-FC5F-478A-BAD0-53716848E6EE}"/>
    <cellStyle name="20% - Accent2 3 6 4" xfId="11279" xr:uid="{A5893ED4-E68C-4E33-9191-17FB39D78125}"/>
    <cellStyle name="20% - Accent2 3 7" xfId="2277" xr:uid="{00000000-0005-0000-0000-000017010000}"/>
    <cellStyle name="20% - Accent2 3 7 2" xfId="6583" xr:uid="{00000000-0005-0000-0000-000018010000}"/>
    <cellStyle name="20% - Accent2 3 7 2 2" xfId="15909" xr:uid="{B11C79B9-0B4A-492B-9A9C-DE5B51DB7245}"/>
    <cellStyle name="20% - Accent2 3 7 3" xfId="11692" xr:uid="{AEBA2FC4-9BD9-401E-8A2A-64AAF0193D99}"/>
    <cellStyle name="20% - Accent2 3 8" xfId="4517" xr:uid="{00000000-0005-0000-0000-000019010000}"/>
    <cellStyle name="20% - Accent2 3 8 2" xfId="13843" xr:uid="{7D57AE8A-BAB9-4976-8A92-05777083FE46}"/>
    <cellStyle name="20% - Accent2 3 9" xfId="8863" xr:uid="{C6A258FB-33DC-4171-B9DD-C29513CA80FD}"/>
    <cellStyle name="20% - Accent2 3 9 2" xfId="18187" xr:uid="{BE544909-B840-4F47-94D8-F1E8407A5FB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4D6CE271-523C-4A1D-8D10-18E9590967FB}"/>
    <cellStyle name="20% - Accent2 4 2 2 3" xfId="12187" xr:uid="{AB822E86-3C79-4E1E-9300-8EBC85D1B348}"/>
    <cellStyle name="20% - Accent2 4 2 3" xfId="4933" xr:uid="{00000000-0005-0000-0000-00001E010000}"/>
    <cellStyle name="20% - Accent2 4 2 3 2" xfId="14259" xr:uid="{9FB1237D-5C3F-4AA4-A8C2-5ED2C5424CE4}"/>
    <cellStyle name="20% - Accent2 4 2 4" xfId="9374" xr:uid="{26FD7A0E-8D04-4AF7-B092-2B22A78F0A97}"/>
    <cellStyle name="20% - Accent2 4 2 4 2" xfId="18689" xr:uid="{FA909819-EEBD-40EF-B4D5-42B73C0FBC3F}"/>
    <cellStyle name="20% - Accent2 4 2 5" xfId="10042" xr:uid="{C5A04033-9A4F-4657-848A-5AED6406B287}"/>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568E0A47-4A8C-481B-ACA8-0947B9A4BF78}"/>
    <cellStyle name="20% - Accent2 4 3 2 3" xfId="12600" xr:uid="{322AEB73-2282-495A-8ACA-D0F3F651223E}"/>
    <cellStyle name="20% - Accent2 4 3 3" xfId="5346" xr:uid="{00000000-0005-0000-0000-000022010000}"/>
    <cellStyle name="20% - Accent2 4 3 3 2" xfId="14672" xr:uid="{1C3BD7D8-6EE9-439D-8A2E-AFCAF7700418}"/>
    <cellStyle name="20% - Accent2 4 3 4" xfId="10455" xr:uid="{5AA320CF-5308-4A0E-BC23-BEE5E4DECA7A}"/>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7228433E-11FF-4593-96BC-85E77F12D745}"/>
    <cellStyle name="20% - Accent2 4 4 2 3" xfId="13013" xr:uid="{13B5D9E3-8900-4992-8A72-04E96BEE7DAD}"/>
    <cellStyle name="20% - Accent2 4 4 3" xfId="5759" xr:uid="{00000000-0005-0000-0000-000026010000}"/>
    <cellStyle name="20% - Accent2 4 4 3 2" xfId="15085" xr:uid="{587A82B9-4CC6-41EF-B3A0-CE8787A6708F}"/>
    <cellStyle name="20% - Accent2 4 4 4" xfId="10868" xr:uid="{2D99C503-C7AB-4C47-9A6D-5D3CC1289C93}"/>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33288712-AF2A-4F14-91E9-537FE41C8472}"/>
    <cellStyle name="20% - Accent2 4 5 2 3" xfId="13426" xr:uid="{779755BB-A73B-4052-AAA3-98064BCC3167}"/>
    <cellStyle name="20% - Accent2 4 5 3" xfId="6172" xr:uid="{00000000-0005-0000-0000-00002A010000}"/>
    <cellStyle name="20% - Accent2 4 5 3 2" xfId="15498" xr:uid="{7B3814EA-FCFE-425B-BD7F-AA4A07585667}"/>
    <cellStyle name="20% - Accent2 4 5 4" xfId="11281" xr:uid="{871DE8FD-246E-478D-A72E-9A7E87A4B482}"/>
    <cellStyle name="20% - Accent2 4 6" xfId="2279" xr:uid="{00000000-0005-0000-0000-00002B010000}"/>
    <cellStyle name="20% - Accent2 4 6 2" xfId="6585" xr:uid="{00000000-0005-0000-0000-00002C010000}"/>
    <cellStyle name="20% - Accent2 4 6 2 2" xfId="15911" xr:uid="{A3D56D77-7224-4928-A6C8-210297C3AA3A}"/>
    <cellStyle name="20% - Accent2 4 6 3" xfId="11694" xr:uid="{705233A9-AB8D-4D0B-9E1D-9E85465874CB}"/>
    <cellStyle name="20% - Accent2 4 7" xfId="4519" xr:uid="{00000000-0005-0000-0000-00002D010000}"/>
    <cellStyle name="20% - Accent2 4 7 2" xfId="13845" xr:uid="{73ADC0D4-C85A-47A0-B167-57552D320973}"/>
    <cellStyle name="20% - Accent2 4 8" xfId="8949" xr:uid="{084C22A9-B904-4AFE-A752-AC1DC2CA76B8}"/>
    <cellStyle name="20% - Accent2 4 8 2" xfId="18273" xr:uid="{19DD163B-1F38-4B96-9A14-80CC7681B5FB}"/>
    <cellStyle name="20% - Accent2 4 9" xfId="9628" xr:uid="{89128AD3-32F9-47E2-928C-6A9F98373C54}"/>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75D90CF1-4F36-45A0-979E-03A06101EF7B}"/>
    <cellStyle name="20% - Accent2 5 2 3" xfId="12180" xr:uid="{E8AF2353-C6B7-41D4-A56A-2D7815ED67AE}"/>
    <cellStyle name="20% - Accent2 5 3" xfId="4926" xr:uid="{00000000-0005-0000-0000-000031010000}"/>
    <cellStyle name="20% - Accent2 5 3 2" xfId="14252" xr:uid="{75AE6EF7-2F46-4A9B-8E81-684BD8C7D4B0}"/>
    <cellStyle name="20% - Accent2 5 4" xfId="9182" xr:uid="{F822E263-B2A4-41B5-BBF9-FCE1A7A30601}"/>
    <cellStyle name="20% - Accent2 5 4 2" xfId="18500" xr:uid="{ABCB7AD5-5752-47C4-8313-278CC077C033}"/>
    <cellStyle name="20% - Accent2 5 5" xfId="10035" xr:uid="{35553B2A-3952-4106-9630-C90A03CF5829}"/>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844116D8-F9CD-4978-816C-12D921728F07}"/>
    <cellStyle name="20% - Accent2 6 2 3" xfId="12593" xr:uid="{BA87BF3C-0A7B-4E4B-851F-B47FB6EA6C0F}"/>
    <cellStyle name="20% - Accent2 6 3" xfId="5339" xr:uid="{00000000-0005-0000-0000-000035010000}"/>
    <cellStyle name="20% - Accent2 6 3 2" xfId="14665" xr:uid="{59B30A57-7E74-468A-AE7E-CCEDAF02D3F7}"/>
    <cellStyle name="20% - Accent2 6 4" xfId="10448" xr:uid="{E7C8853B-E6A9-4538-A636-67FC6B658A4B}"/>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97E21E97-D6E5-46C0-ACBC-30C8D74D35E4}"/>
    <cellStyle name="20% - Accent2 7 2 3" xfId="13006" xr:uid="{9D5666FE-1E23-474C-A843-F432AC44615F}"/>
    <cellStyle name="20% - Accent2 7 3" xfId="5752" xr:uid="{00000000-0005-0000-0000-000039010000}"/>
    <cellStyle name="20% - Accent2 7 3 2" xfId="15078" xr:uid="{72ED80B5-5C4E-424C-A685-80074E194E43}"/>
    <cellStyle name="20% - Accent2 7 4" xfId="10861" xr:uid="{BD07BBF5-3930-4EAF-9997-4FD5B7DA539C}"/>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39625BDE-B941-4730-AA8B-D6A15828B880}"/>
    <cellStyle name="20% - Accent2 8 2 3" xfId="13419" xr:uid="{92BEB28D-F227-46C5-9B96-700E73A5A987}"/>
    <cellStyle name="20% - Accent2 8 3" xfId="6165" xr:uid="{00000000-0005-0000-0000-00003D010000}"/>
    <cellStyle name="20% - Accent2 8 3 2" xfId="15491" xr:uid="{CEA8F953-F318-4DAE-AB20-2C2158AB9CF9}"/>
    <cellStyle name="20% - Accent2 8 4" xfId="11274" xr:uid="{9F5DE9C4-9392-4917-939F-7E91B5123596}"/>
    <cellStyle name="20% - Accent2 9" xfId="2272" xr:uid="{00000000-0005-0000-0000-00003E010000}"/>
    <cellStyle name="20% - Accent2 9 2" xfId="6578" xr:uid="{00000000-0005-0000-0000-00003F010000}"/>
    <cellStyle name="20% - Accent2 9 2 2" xfId="15904" xr:uid="{9F7984F5-50FB-4A13-8D6B-0A59A0908EC2}"/>
    <cellStyle name="20% - Accent2 9 3" xfId="11687" xr:uid="{C81E2DA4-4E46-4EAE-B461-CB7E28017C71}"/>
    <cellStyle name="20% - Accent3" xfId="17" builtinId="38" customBuiltin="1"/>
    <cellStyle name="20% - Accent3 10" xfId="4520" xr:uid="{00000000-0005-0000-0000-000041010000}"/>
    <cellStyle name="20% - Accent3 10 2" xfId="13846" xr:uid="{072F9047-27D9-42AB-A5DB-C9B20CC0BE61}"/>
    <cellStyle name="20% - Accent3 11" xfId="8762" xr:uid="{49ACF776-43E7-4BB5-82F5-A8A4FEBC45F8}"/>
    <cellStyle name="20% - Accent3 11 2" xfId="18086" xr:uid="{445FB6C9-487C-45C6-994F-3324A5353F33}"/>
    <cellStyle name="20% - Accent3 12" xfId="9629" xr:uid="{9C8B6010-D11C-40DB-8839-DA6F6B37D52F}"/>
    <cellStyle name="20% - Accent3 2" xfId="18" xr:uid="{00000000-0005-0000-0000-000042010000}"/>
    <cellStyle name="20% - Accent3 2 10" xfId="8792" xr:uid="{65E5762F-047C-4860-B47E-71363924E2A5}"/>
    <cellStyle name="20% - Accent3 2 10 2" xfId="18116" xr:uid="{3A4B1174-DCEB-49B4-9B8E-63BB8F92B128}"/>
    <cellStyle name="20% - Accent3 2 11" xfId="9630" xr:uid="{6D6611F4-E7EB-446E-B505-92CBF3EC2194}"/>
    <cellStyle name="20% - Accent3 2 2" xfId="19" xr:uid="{00000000-0005-0000-0000-000043010000}"/>
    <cellStyle name="20% - Accent3 2 2 10" xfId="9631" xr:uid="{6A579713-2F1D-4EE0-9191-14003AC369E8}"/>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AD51E5C5-2AE7-4684-BF2E-7D1D27FB5486}"/>
    <cellStyle name="20% - Accent3 2 2 2 2 2 3" xfId="12191" xr:uid="{2CEC902A-B463-4655-BE4A-A811933A9D28}"/>
    <cellStyle name="20% - Accent3 2 2 2 2 3" xfId="4937" xr:uid="{00000000-0005-0000-0000-000048010000}"/>
    <cellStyle name="20% - Accent3 2 2 2 2 3 2" xfId="14263" xr:uid="{52AEC2FA-3322-4E54-8179-270008DCAF7A}"/>
    <cellStyle name="20% - Accent3 2 2 2 2 4" xfId="9527" xr:uid="{B82F9F3C-4714-4F10-BEB2-F90FC0563F53}"/>
    <cellStyle name="20% - Accent3 2 2 2 2 4 2" xfId="18842" xr:uid="{3A1C5C88-D8E6-48C4-A4BE-AE1D0BE7FAF8}"/>
    <cellStyle name="20% - Accent3 2 2 2 2 5" xfId="10046" xr:uid="{2014F6D8-D846-41F6-AC03-55ED91653F5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101025DA-981F-4ACD-8769-8DFAFE1C4534}"/>
    <cellStyle name="20% - Accent3 2 2 2 3 2 3" xfId="12604" xr:uid="{C0E2C8AF-BC2A-4B6F-BF6A-B6913611D780}"/>
    <cellStyle name="20% - Accent3 2 2 2 3 3" xfId="5350" xr:uid="{00000000-0005-0000-0000-00004C010000}"/>
    <cellStyle name="20% - Accent3 2 2 2 3 3 2" xfId="14676" xr:uid="{C68B3266-2E68-4941-98DC-FB8114C415A7}"/>
    <cellStyle name="20% - Accent3 2 2 2 3 4" xfId="10459" xr:uid="{EE7927E4-1713-40B8-B75C-A9B01CA8AB19}"/>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5CCCCA72-4E55-4E15-A826-F489F0F6EE29}"/>
    <cellStyle name="20% - Accent3 2 2 2 4 2 3" xfId="13017" xr:uid="{EAF26D79-DF77-41A9-90E1-2DA3BBE3993C}"/>
    <cellStyle name="20% - Accent3 2 2 2 4 3" xfId="5763" xr:uid="{00000000-0005-0000-0000-000050010000}"/>
    <cellStyle name="20% - Accent3 2 2 2 4 3 2" xfId="15089" xr:uid="{5881D296-157D-4165-A3B5-811CE0AFBA5C}"/>
    <cellStyle name="20% - Accent3 2 2 2 4 4" xfId="10872" xr:uid="{131CC9C7-D33C-482E-9EE4-7513EB9A05CF}"/>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4F7E79ED-2EB7-4553-9F50-28E13B536494}"/>
    <cellStyle name="20% - Accent3 2 2 2 5 2 3" xfId="13430" xr:uid="{96BEB36F-312C-4D29-963A-23493E2C9070}"/>
    <cellStyle name="20% - Accent3 2 2 2 5 3" xfId="6176" xr:uid="{00000000-0005-0000-0000-000054010000}"/>
    <cellStyle name="20% - Accent3 2 2 2 5 3 2" xfId="15502" xr:uid="{F9B55611-3FE0-47F7-935B-95AA4B97F06B}"/>
    <cellStyle name="20% - Accent3 2 2 2 5 4" xfId="11285" xr:uid="{2147FD7B-1C9B-4FD5-B686-D85ED8E4BBB8}"/>
    <cellStyle name="20% - Accent3 2 2 2 6" xfId="2283" xr:uid="{00000000-0005-0000-0000-000055010000}"/>
    <cellStyle name="20% - Accent3 2 2 2 6 2" xfId="6589" xr:uid="{00000000-0005-0000-0000-000056010000}"/>
    <cellStyle name="20% - Accent3 2 2 2 6 2 2" xfId="15915" xr:uid="{DBAD8E5D-08DD-43AF-A503-D3477B0BD13A}"/>
    <cellStyle name="20% - Accent3 2 2 2 6 3" xfId="11698" xr:uid="{CC2244F1-D2D0-41BE-A18A-88108F88E899}"/>
    <cellStyle name="20% - Accent3 2 2 2 7" xfId="4523" xr:uid="{00000000-0005-0000-0000-000057010000}"/>
    <cellStyle name="20% - Accent3 2 2 2 7 2" xfId="13849" xr:uid="{F6C6023B-C39C-43A5-8B7E-1A387651503C}"/>
    <cellStyle name="20% - Accent3 2 2 2 8" xfId="9102" xr:uid="{77698EAD-FDE4-4105-BE80-980B5219F464}"/>
    <cellStyle name="20% - Accent3 2 2 2 8 2" xfId="18426" xr:uid="{4B2437A8-57F8-4F68-9253-0DFECAE02C5D}"/>
    <cellStyle name="20% - Accent3 2 2 2 9" xfId="9632" xr:uid="{B0B6A601-DA60-461E-BE5F-F53CB5875E44}"/>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F3581B7F-C664-4DB5-8D3A-F15994C1E4F4}"/>
    <cellStyle name="20% - Accent3 2 2 3 2 3" xfId="12190" xr:uid="{03987CE0-3CF2-4B13-A5C8-294493047BB2}"/>
    <cellStyle name="20% - Accent3 2 2 3 3" xfId="4936" xr:uid="{00000000-0005-0000-0000-00005B010000}"/>
    <cellStyle name="20% - Accent3 2 2 3 3 2" xfId="14262" xr:uid="{450ED69E-D177-4DB2-95B0-F299BBD7F927}"/>
    <cellStyle name="20% - Accent3 2 2 3 4" xfId="9320" xr:uid="{BF070B19-D289-4211-B080-DBB621CAE7BA}"/>
    <cellStyle name="20% - Accent3 2 2 3 4 2" xfId="18635" xr:uid="{CAA36860-3ACA-4806-B967-B87FF1642C85}"/>
    <cellStyle name="20% - Accent3 2 2 3 5" xfId="10045" xr:uid="{C2E58312-43F3-4C66-8D83-095F38B1E6D8}"/>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2E67550A-5166-4C3A-80D8-E6CA878B54FD}"/>
    <cellStyle name="20% - Accent3 2 2 4 2 3" xfId="12603" xr:uid="{1CCD0A33-86B4-42F5-B2B4-48E9F6E7E3D4}"/>
    <cellStyle name="20% - Accent3 2 2 4 3" xfId="5349" xr:uid="{00000000-0005-0000-0000-00005F010000}"/>
    <cellStyle name="20% - Accent3 2 2 4 3 2" xfId="14675" xr:uid="{D08510CA-32B7-45DA-ADB9-CA8D1EDAE10E}"/>
    <cellStyle name="20% - Accent3 2 2 4 4" xfId="10458" xr:uid="{BF7DC118-2079-4BB0-8B26-196D1A7D7733}"/>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376299B3-4D46-4307-91D9-CECD879E9975}"/>
    <cellStyle name="20% - Accent3 2 2 5 2 3" xfId="13016" xr:uid="{ECBC5A0B-939E-4C2E-B39B-4EB7B50164B0}"/>
    <cellStyle name="20% - Accent3 2 2 5 3" xfId="5762" xr:uid="{00000000-0005-0000-0000-000063010000}"/>
    <cellStyle name="20% - Accent3 2 2 5 3 2" xfId="15088" xr:uid="{676EE101-F046-459F-8B00-65989DA30483}"/>
    <cellStyle name="20% - Accent3 2 2 5 4" xfId="10871" xr:uid="{17FFA2AA-BF10-46D9-837A-CBE82436E17D}"/>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5E64A131-0F6F-4523-94F5-1769600C75EC}"/>
    <cellStyle name="20% - Accent3 2 2 6 2 3" xfId="13429" xr:uid="{847027DA-9B9C-4B8D-A659-A91736DB87AF}"/>
    <cellStyle name="20% - Accent3 2 2 6 3" xfId="6175" xr:uid="{00000000-0005-0000-0000-000067010000}"/>
    <cellStyle name="20% - Accent3 2 2 6 3 2" xfId="15501" xr:uid="{C5604B09-3824-408B-B610-377E82C91063}"/>
    <cellStyle name="20% - Accent3 2 2 6 4" xfId="11284" xr:uid="{2A339451-F5EF-48BB-9E41-751033DF4130}"/>
    <cellStyle name="20% - Accent3 2 2 7" xfId="2282" xr:uid="{00000000-0005-0000-0000-000068010000}"/>
    <cellStyle name="20% - Accent3 2 2 7 2" xfId="6588" xr:uid="{00000000-0005-0000-0000-000069010000}"/>
    <cellStyle name="20% - Accent3 2 2 7 2 2" xfId="15914" xr:uid="{D0542AD2-B259-4E1E-9A67-6A929C8C16C3}"/>
    <cellStyle name="20% - Accent3 2 2 7 3" xfId="11697" xr:uid="{9CA4D25E-BC04-4E60-BC13-C34224CC7E53}"/>
    <cellStyle name="20% - Accent3 2 2 8" xfId="4522" xr:uid="{00000000-0005-0000-0000-00006A010000}"/>
    <cellStyle name="20% - Accent3 2 2 8 2" xfId="13848" xr:uid="{2D78DB81-E153-481F-85CE-9BD76408C771}"/>
    <cellStyle name="20% - Accent3 2 2 9" xfId="8895" xr:uid="{0ADDC6BA-FD9D-420D-8F5A-13E0A04BBC7C}"/>
    <cellStyle name="20% - Accent3 2 2 9 2" xfId="18219" xr:uid="{8FC104D6-9685-4366-8558-C4AF88706922}"/>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61C5968C-C01C-4E5E-B4CF-245676991066}"/>
    <cellStyle name="20% - Accent3 2 3 2 2 3" xfId="12192" xr:uid="{60D5B5FA-4B29-4508-B455-C65B31F746FF}"/>
    <cellStyle name="20% - Accent3 2 3 2 3" xfId="4938" xr:uid="{00000000-0005-0000-0000-00006F010000}"/>
    <cellStyle name="20% - Accent3 2 3 2 3 2" xfId="14264" xr:uid="{47035DD6-773F-4C08-AE8F-596944986ED1}"/>
    <cellStyle name="20% - Accent3 2 3 2 4" xfId="9424" xr:uid="{C3588D98-6F24-4F2C-9F96-F34501405613}"/>
    <cellStyle name="20% - Accent3 2 3 2 4 2" xfId="18739" xr:uid="{CD2DC1EA-2F53-4564-8356-D13B4B02DAB9}"/>
    <cellStyle name="20% - Accent3 2 3 2 5" xfId="10047" xr:uid="{CDB655B4-3A11-4DB5-B6E3-4B0C4F047CAA}"/>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0EC68E7F-AFB8-434D-9D3D-ACDD52EF341C}"/>
    <cellStyle name="20% - Accent3 2 3 3 2 3" xfId="12605" xr:uid="{1B112BF6-2FEF-421D-A4E1-039048A37FB2}"/>
    <cellStyle name="20% - Accent3 2 3 3 3" xfId="5351" xr:uid="{00000000-0005-0000-0000-000073010000}"/>
    <cellStyle name="20% - Accent3 2 3 3 3 2" xfId="14677" xr:uid="{4250E2F0-4F34-493C-AA34-27DC4DCFCF04}"/>
    <cellStyle name="20% - Accent3 2 3 3 4" xfId="10460" xr:uid="{9C58E40F-7A5D-414D-B48C-9B73A28761A5}"/>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9C480C9F-1D5C-4975-A8BF-9D187D0B0114}"/>
    <cellStyle name="20% - Accent3 2 3 4 2 3" xfId="13018" xr:uid="{463634FE-6CCD-4C5D-9336-61BB16C83C6F}"/>
    <cellStyle name="20% - Accent3 2 3 4 3" xfId="5764" xr:uid="{00000000-0005-0000-0000-000077010000}"/>
    <cellStyle name="20% - Accent3 2 3 4 3 2" xfId="15090" xr:uid="{3DB247C7-B3FC-413E-BE52-CD67B11AED80}"/>
    <cellStyle name="20% - Accent3 2 3 4 4" xfId="10873" xr:uid="{EF47A685-C065-4E00-BA7F-28C1F5AD5234}"/>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A917A012-7F43-4C1A-84DC-FAB904173557}"/>
    <cellStyle name="20% - Accent3 2 3 5 2 3" xfId="13431" xr:uid="{DD0107E7-E98B-415A-908C-7856ECAA6D6B}"/>
    <cellStyle name="20% - Accent3 2 3 5 3" xfId="6177" xr:uid="{00000000-0005-0000-0000-00007B010000}"/>
    <cellStyle name="20% - Accent3 2 3 5 3 2" xfId="15503" xr:uid="{3F84E89A-22AD-4388-9033-24C349FF88B1}"/>
    <cellStyle name="20% - Accent3 2 3 5 4" xfId="11286" xr:uid="{8AA13E08-57FE-4531-84A7-534B4D025CFF}"/>
    <cellStyle name="20% - Accent3 2 3 6" xfId="2284" xr:uid="{00000000-0005-0000-0000-00007C010000}"/>
    <cellStyle name="20% - Accent3 2 3 6 2" xfId="6590" xr:uid="{00000000-0005-0000-0000-00007D010000}"/>
    <cellStyle name="20% - Accent3 2 3 6 2 2" xfId="15916" xr:uid="{204BF304-9A02-4ABD-B17B-40DD1CC23442}"/>
    <cellStyle name="20% - Accent3 2 3 6 3" xfId="11699" xr:uid="{C35DAEA8-889A-47AB-94E9-C8594967E1DF}"/>
    <cellStyle name="20% - Accent3 2 3 7" xfId="4524" xr:uid="{00000000-0005-0000-0000-00007E010000}"/>
    <cellStyle name="20% - Accent3 2 3 7 2" xfId="13850" xr:uid="{6A6B52E3-3F37-46D5-8BB8-12237A65A49E}"/>
    <cellStyle name="20% - Accent3 2 3 8" xfId="8999" xr:uid="{2B5D0148-B6EA-4DEA-92B1-644886C27051}"/>
    <cellStyle name="20% - Accent3 2 3 8 2" xfId="18323" xr:uid="{306765A7-2CA8-4C53-86C6-0BD62F73F2B1}"/>
    <cellStyle name="20% - Accent3 2 3 9" xfId="9633" xr:uid="{6D0EF830-2865-4C03-9CAF-8A69A6DB6191}"/>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F13ADFCF-7178-463A-833D-418FC0AFA026}"/>
    <cellStyle name="20% - Accent3 2 4 2 3" xfId="12189" xr:uid="{C35866E0-E553-43CD-A78C-D90D6A7FC82C}"/>
    <cellStyle name="20% - Accent3 2 4 3" xfId="4935" xr:uid="{00000000-0005-0000-0000-000082010000}"/>
    <cellStyle name="20% - Accent3 2 4 3 2" xfId="14261" xr:uid="{B59440C5-DBDF-4CCD-8BF3-E215F89693EE}"/>
    <cellStyle name="20% - Accent3 2 4 4" xfId="9216" xr:uid="{A12C3877-5492-4CD3-AD22-81B3F0AB1EDD}"/>
    <cellStyle name="20% - Accent3 2 4 4 2" xfId="18532" xr:uid="{06C9099B-CA62-4119-B2E6-A1E37C24A522}"/>
    <cellStyle name="20% - Accent3 2 4 5" xfId="10044" xr:uid="{426EEF3D-1D90-417D-A7DA-0D22B332FB29}"/>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8DA34124-33BF-4198-AF2C-3C15AC20F786}"/>
    <cellStyle name="20% - Accent3 2 5 2 3" xfId="12602" xr:uid="{A581D7CF-2EC1-4D48-B6A9-BC99F0860AD3}"/>
    <cellStyle name="20% - Accent3 2 5 3" xfId="5348" xr:uid="{00000000-0005-0000-0000-000086010000}"/>
    <cellStyle name="20% - Accent3 2 5 3 2" xfId="14674" xr:uid="{83430F7C-71E0-4773-A0AE-D790A39C4F3E}"/>
    <cellStyle name="20% - Accent3 2 5 4" xfId="10457" xr:uid="{DA69AF61-E969-433E-894A-B4790C034080}"/>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4BA96CE6-B7EE-482D-8166-D0FC8CF907F1}"/>
    <cellStyle name="20% - Accent3 2 6 2 3" xfId="13015" xr:uid="{95C240DC-B141-4D26-BEB6-E7203543A015}"/>
    <cellStyle name="20% - Accent3 2 6 3" xfId="5761" xr:uid="{00000000-0005-0000-0000-00008A010000}"/>
    <cellStyle name="20% - Accent3 2 6 3 2" xfId="15087" xr:uid="{78275AAD-3985-4368-B250-D0FCB5E2197A}"/>
    <cellStyle name="20% - Accent3 2 6 4" xfId="10870" xr:uid="{D92FF0FD-BB10-4CC5-A12C-1DDED2733AE3}"/>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2C00554A-448F-45CF-9128-52C495650CC9}"/>
    <cellStyle name="20% - Accent3 2 7 2 3" xfId="13428" xr:uid="{A90DD0D8-152A-4970-9BD4-08FB4AED924C}"/>
    <cellStyle name="20% - Accent3 2 7 3" xfId="6174" xr:uid="{00000000-0005-0000-0000-00008E010000}"/>
    <cellStyle name="20% - Accent3 2 7 3 2" xfId="15500" xr:uid="{9EE45D40-67AD-433A-AC60-1DC793078B4D}"/>
    <cellStyle name="20% - Accent3 2 7 4" xfId="11283" xr:uid="{0D50872B-9481-4421-96E3-DB83C3AC0DF2}"/>
    <cellStyle name="20% - Accent3 2 8" xfId="2281" xr:uid="{00000000-0005-0000-0000-00008F010000}"/>
    <cellStyle name="20% - Accent3 2 8 2" xfId="6587" xr:uid="{00000000-0005-0000-0000-000090010000}"/>
    <cellStyle name="20% - Accent3 2 8 2 2" xfId="15913" xr:uid="{A6E2BD50-5EEE-4D8C-8599-805DAC46B8EC}"/>
    <cellStyle name="20% - Accent3 2 8 3" xfId="11696" xr:uid="{EECB3969-2319-40F9-AE60-A5885DF6661C}"/>
    <cellStyle name="20% - Accent3 2 9" xfId="4521" xr:uid="{00000000-0005-0000-0000-000091010000}"/>
    <cellStyle name="20% - Accent3 2 9 2" xfId="13847" xr:uid="{807FC673-0F7A-4813-8D40-2EEE00150293}"/>
    <cellStyle name="20% - Accent3 3" xfId="22" xr:uid="{00000000-0005-0000-0000-000092010000}"/>
    <cellStyle name="20% - Accent3 3 10" xfId="9634" xr:uid="{A5299489-91E2-441A-840A-0CE5384F1C44}"/>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3699C512-62F1-48E8-BE23-E0A929D7AC02}"/>
    <cellStyle name="20% - Accent3 3 2 2 2 3" xfId="12194" xr:uid="{916E6F93-70AB-45AB-AB0F-7BA276C8BDFF}"/>
    <cellStyle name="20% - Accent3 3 2 2 3" xfId="4940" xr:uid="{00000000-0005-0000-0000-000097010000}"/>
    <cellStyle name="20% - Accent3 3 2 2 3 2" xfId="14266" xr:uid="{8807A003-3A01-4FD3-8129-C4DF04392014}"/>
    <cellStyle name="20% - Accent3 3 2 2 4" xfId="9497" xr:uid="{43A0E151-F418-49A1-AF18-121DEB02B6D4}"/>
    <cellStyle name="20% - Accent3 3 2 2 4 2" xfId="18812" xr:uid="{6B947ABF-5638-4254-BCAF-D560C75FE554}"/>
    <cellStyle name="20% - Accent3 3 2 2 5" xfId="10049" xr:uid="{ABF3188B-32C8-4DE1-936D-20D96CDCDC41}"/>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AA490326-3E07-43A5-B403-F0B48A6F35EF}"/>
    <cellStyle name="20% - Accent3 3 2 3 2 3" xfId="12607" xr:uid="{924BD453-2147-48F4-9C83-133BFA941B55}"/>
    <cellStyle name="20% - Accent3 3 2 3 3" xfId="5353" xr:uid="{00000000-0005-0000-0000-00009B010000}"/>
    <cellStyle name="20% - Accent3 3 2 3 3 2" xfId="14679" xr:uid="{2F618795-0165-4FF3-B9D1-14BDB9E1B999}"/>
    <cellStyle name="20% - Accent3 3 2 3 4" xfId="10462" xr:uid="{74579074-1AFF-4633-B85B-0C9B9EA3C3C4}"/>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F6CE5B21-972D-4BCF-87F0-302E65A0B48C}"/>
    <cellStyle name="20% - Accent3 3 2 4 2 3" xfId="13020" xr:uid="{BF2D1C5C-4450-4D9F-84BE-F0825BA91B66}"/>
    <cellStyle name="20% - Accent3 3 2 4 3" xfId="5766" xr:uid="{00000000-0005-0000-0000-00009F010000}"/>
    <cellStyle name="20% - Accent3 3 2 4 3 2" xfId="15092" xr:uid="{BABC250C-2658-4980-BC2E-31DD1922155C}"/>
    <cellStyle name="20% - Accent3 3 2 4 4" xfId="10875" xr:uid="{DCA8592A-37B1-4C27-826E-B76DFDED8F9F}"/>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2306A99A-EC37-4BF6-8BA9-3ED940423873}"/>
    <cellStyle name="20% - Accent3 3 2 5 2 3" xfId="13433" xr:uid="{0A038FA6-F9AF-48EB-8A45-9BC9D08D26AA}"/>
    <cellStyle name="20% - Accent3 3 2 5 3" xfId="6179" xr:uid="{00000000-0005-0000-0000-0000A3010000}"/>
    <cellStyle name="20% - Accent3 3 2 5 3 2" xfId="15505" xr:uid="{F1FB1772-34F2-429C-8C3B-20EDD37BD413}"/>
    <cellStyle name="20% - Accent3 3 2 5 4" xfId="11288" xr:uid="{376C4CE8-AAA2-4608-9998-86EEE625CFD4}"/>
    <cellStyle name="20% - Accent3 3 2 6" xfId="2286" xr:uid="{00000000-0005-0000-0000-0000A4010000}"/>
    <cellStyle name="20% - Accent3 3 2 6 2" xfId="6592" xr:uid="{00000000-0005-0000-0000-0000A5010000}"/>
    <cellStyle name="20% - Accent3 3 2 6 2 2" xfId="15918" xr:uid="{62D20604-B046-485D-A808-1B21244BA3F8}"/>
    <cellStyle name="20% - Accent3 3 2 6 3" xfId="11701" xr:uid="{61A6104A-AF3A-4FEF-BB4A-8160CC295D24}"/>
    <cellStyle name="20% - Accent3 3 2 7" xfId="4526" xr:uid="{00000000-0005-0000-0000-0000A6010000}"/>
    <cellStyle name="20% - Accent3 3 2 7 2" xfId="13852" xr:uid="{1C5B13B6-9AC4-4BBA-8337-1DD00B8C0B98}"/>
    <cellStyle name="20% - Accent3 3 2 8" xfId="9072" xr:uid="{422EC144-F6F8-460E-8B93-316BBF9707FB}"/>
    <cellStyle name="20% - Accent3 3 2 8 2" xfId="18396" xr:uid="{DA522268-4958-40D9-A324-C8D6EC350DCF}"/>
    <cellStyle name="20% - Accent3 3 2 9" xfId="9635" xr:uid="{E3197E5F-0CFC-4F9B-A460-FCE4D52D20BE}"/>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0E35838B-49E1-47E7-8393-BDD18C9CC959}"/>
    <cellStyle name="20% - Accent3 3 3 2 3" xfId="12193" xr:uid="{0F129FBC-C515-43AE-A031-B14DB8C1D276}"/>
    <cellStyle name="20% - Accent3 3 3 3" xfId="4939" xr:uid="{00000000-0005-0000-0000-0000AA010000}"/>
    <cellStyle name="20% - Accent3 3 3 3 2" xfId="14265" xr:uid="{70949481-102E-436D-8661-181D29C2750B}"/>
    <cellStyle name="20% - Accent3 3 3 4" xfId="9290" xr:uid="{8511D0A3-BAF4-4D49-BFEA-2ED828678819}"/>
    <cellStyle name="20% - Accent3 3 3 4 2" xfId="18605" xr:uid="{234345A0-101E-4D43-B78D-36EBF904ACB6}"/>
    <cellStyle name="20% - Accent3 3 3 5" xfId="10048" xr:uid="{EDDEC58E-767E-45B5-A13F-66601F8B33F5}"/>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BAB7BE79-707E-4B37-BA33-2388560EE702}"/>
    <cellStyle name="20% - Accent3 3 4 2 3" xfId="12606" xr:uid="{5B263177-558A-43E0-9155-36F3667AE3B8}"/>
    <cellStyle name="20% - Accent3 3 4 3" xfId="5352" xr:uid="{00000000-0005-0000-0000-0000AE010000}"/>
    <cellStyle name="20% - Accent3 3 4 3 2" xfId="14678" xr:uid="{49F4E2DA-1B57-4EB9-9163-463FA2AD14C6}"/>
    <cellStyle name="20% - Accent3 3 4 4" xfId="10461" xr:uid="{B1945812-0361-4436-8816-D23EFA118A99}"/>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0BF81670-FDBC-41F2-B762-6D8266884DD6}"/>
    <cellStyle name="20% - Accent3 3 5 2 3" xfId="13019" xr:uid="{5F55277C-AA1D-49AA-8AB5-06D35866C66E}"/>
    <cellStyle name="20% - Accent3 3 5 3" xfId="5765" xr:uid="{00000000-0005-0000-0000-0000B2010000}"/>
    <cellStyle name="20% - Accent3 3 5 3 2" xfId="15091" xr:uid="{9080BE36-1F1B-4515-B76C-41C3137BAF6F}"/>
    <cellStyle name="20% - Accent3 3 5 4" xfId="10874" xr:uid="{2813515B-2DCF-43F5-BF07-4AA20120406D}"/>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6F2A8401-596A-4356-8E62-E2ED691AD864}"/>
    <cellStyle name="20% - Accent3 3 6 2 3" xfId="13432" xr:uid="{175579D8-750B-4717-A415-4D4048D4E98D}"/>
    <cellStyle name="20% - Accent3 3 6 3" xfId="6178" xr:uid="{00000000-0005-0000-0000-0000B6010000}"/>
    <cellStyle name="20% - Accent3 3 6 3 2" xfId="15504" xr:uid="{B9A99CF2-5EAD-4372-AE67-0D02774CB024}"/>
    <cellStyle name="20% - Accent3 3 6 4" xfId="11287" xr:uid="{CEC78F6E-2B27-4500-B848-67692D354A41}"/>
    <cellStyle name="20% - Accent3 3 7" xfId="2285" xr:uid="{00000000-0005-0000-0000-0000B7010000}"/>
    <cellStyle name="20% - Accent3 3 7 2" xfId="6591" xr:uid="{00000000-0005-0000-0000-0000B8010000}"/>
    <cellStyle name="20% - Accent3 3 7 2 2" xfId="15917" xr:uid="{5B7DE381-2669-4ABE-AF49-B0648946F684}"/>
    <cellStyle name="20% - Accent3 3 7 3" xfId="11700" xr:uid="{5026773F-0D96-4E3E-A4AC-0C9016D845AC}"/>
    <cellStyle name="20% - Accent3 3 8" xfId="4525" xr:uid="{00000000-0005-0000-0000-0000B9010000}"/>
    <cellStyle name="20% - Accent3 3 8 2" xfId="13851" xr:uid="{9682A251-75E1-4A5E-9B5D-7210ADD91242}"/>
    <cellStyle name="20% - Accent3 3 9" xfId="8865" xr:uid="{FFA3EBA3-F40D-47A2-8AA1-A3A9E7BB9A8E}"/>
    <cellStyle name="20% - Accent3 3 9 2" xfId="18189" xr:uid="{4618BD5A-A131-439B-88AA-F7D3C8F7B767}"/>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C26DD60A-DF0E-48B9-A9D3-4D4A7DA3BCDC}"/>
    <cellStyle name="20% - Accent3 4 2 2 3" xfId="12195" xr:uid="{63989D39-C238-40CB-B338-9DF276F9AD6E}"/>
    <cellStyle name="20% - Accent3 4 2 3" xfId="4941" xr:uid="{00000000-0005-0000-0000-0000BE010000}"/>
    <cellStyle name="20% - Accent3 4 2 3 2" xfId="14267" xr:uid="{DCDE586B-5C21-44DF-950D-5192DCD292CF}"/>
    <cellStyle name="20% - Accent3 4 2 4" xfId="9376" xr:uid="{92AC27CA-0B0B-4AFE-8457-D3F19BE2837F}"/>
    <cellStyle name="20% - Accent3 4 2 4 2" xfId="18691" xr:uid="{8CAC78EE-12B5-48F3-8D7D-937D1E34FDB5}"/>
    <cellStyle name="20% - Accent3 4 2 5" xfId="10050" xr:uid="{59006BC2-B72B-4D21-92D1-AB997F3B2BE5}"/>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64E6E8C7-9233-4EB6-A9FC-C1298465C932}"/>
    <cellStyle name="20% - Accent3 4 3 2 3" xfId="12608" xr:uid="{C060B6B8-9BCA-4870-AC56-CC516BAF3707}"/>
    <cellStyle name="20% - Accent3 4 3 3" xfId="5354" xr:uid="{00000000-0005-0000-0000-0000C2010000}"/>
    <cellStyle name="20% - Accent3 4 3 3 2" xfId="14680" xr:uid="{0881924C-DC49-4686-B74D-7665C0355218}"/>
    <cellStyle name="20% - Accent3 4 3 4" xfId="10463" xr:uid="{CFC5847D-0BA1-44D0-829D-F853D80F1E0B}"/>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AD875F36-9A6B-4CAC-97F6-0FB5A6A8B238}"/>
    <cellStyle name="20% - Accent3 4 4 2 3" xfId="13021" xr:uid="{AAED1C12-8642-46C0-9604-A7C353EC94B4}"/>
    <cellStyle name="20% - Accent3 4 4 3" xfId="5767" xr:uid="{00000000-0005-0000-0000-0000C6010000}"/>
    <cellStyle name="20% - Accent3 4 4 3 2" xfId="15093" xr:uid="{97955961-C10F-4174-8B4B-7C03FBFE715B}"/>
    <cellStyle name="20% - Accent3 4 4 4" xfId="10876" xr:uid="{2AC40529-4E0E-488D-93ED-EFF16E6A257C}"/>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064B0050-E1E9-4604-812A-C03F23260ADB}"/>
    <cellStyle name="20% - Accent3 4 5 2 3" xfId="13434" xr:uid="{8284F999-49E5-4F92-9321-125F1DA642FA}"/>
    <cellStyle name="20% - Accent3 4 5 3" xfId="6180" xr:uid="{00000000-0005-0000-0000-0000CA010000}"/>
    <cellStyle name="20% - Accent3 4 5 3 2" xfId="15506" xr:uid="{0D7234C2-C76E-4317-A23D-24A6613ABE95}"/>
    <cellStyle name="20% - Accent3 4 5 4" xfId="11289" xr:uid="{689AD6C5-10BE-42BA-B059-013ED3030910}"/>
    <cellStyle name="20% - Accent3 4 6" xfId="2287" xr:uid="{00000000-0005-0000-0000-0000CB010000}"/>
    <cellStyle name="20% - Accent3 4 6 2" xfId="6593" xr:uid="{00000000-0005-0000-0000-0000CC010000}"/>
    <cellStyle name="20% - Accent3 4 6 2 2" xfId="15919" xr:uid="{45A361B9-4327-4975-BBAE-C50BA74B653D}"/>
    <cellStyle name="20% - Accent3 4 6 3" xfId="11702" xr:uid="{F5EFF237-1214-4CE5-B8FB-ED74D11EF130}"/>
    <cellStyle name="20% - Accent3 4 7" xfId="4527" xr:uid="{00000000-0005-0000-0000-0000CD010000}"/>
    <cellStyle name="20% - Accent3 4 7 2" xfId="13853" xr:uid="{1DF53887-7811-4ED2-91BA-FB6F3A770E26}"/>
    <cellStyle name="20% - Accent3 4 8" xfId="8951" xr:uid="{3CB7770B-4F12-4C44-B65D-06C641FEE851}"/>
    <cellStyle name="20% - Accent3 4 8 2" xfId="18275" xr:uid="{236EC750-CA9B-49CA-8DD8-D1935E16241B}"/>
    <cellStyle name="20% - Accent3 4 9" xfId="9636" xr:uid="{0B19FF8B-8D28-4722-940F-5B4E4E13B537}"/>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47786A87-A00C-40E2-AA8D-D0A4489CC19D}"/>
    <cellStyle name="20% - Accent3 5 2 3" xfId="12188" xr:uid="{6D99951A-85B0-4C77-9A0E-985D351DB96B}"/>
    <cellStyle name="20% - Accent3 5 3" xfId="4934" xr:uid="{00000000-0005-0000-0000-0000D1010000}"/>
    <cellStyle name="20% - Accent3 5 3 2" xfId="14260" xr:uid="{634202F0-D874-4610-AFEA-5C53B9EC2365}"/>
    <cellStyle name="20% - Accent3 5 4" xfId="9184" xr:uid="{F51B2D95-9593-4370-A6D2-AFEF087D7920}"/>
    <cellStyle name="20% - Accent3 5 4 2" xfId="18502" xr:uid="{C1E2A18B-B060-4E5C-85CD-4D93DFB4ABA8}"/>
    <cellStyle name="20% - Accent3 5 5" xfId="10043" xr:uid="{D42298C5-4BFE-423D-806E-980D2CA64FE7}"/>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89D6B39F-41F4-4D51-A86E-5DC126BAF3C2}"/>
    <cellStyle name="20% - Accent3 6 2 3" xfId="12601" xr:uid="{B31035E7-86D2-4E41-9429-C037D1D412EB}"/>
    <cellStyle name="20% - Accent3 6 3" xfId="5347" xr:uid="{00000000-0005-0000-0000-0000D5010000}"/>
    <cellStyle name="20% - Accent3 6 3 2" xfId="14673" xr:uid="{C9F531C7-4ED6-41BF-AB75-811206111CEB}"/>
    <cellStyle name="20% - Accent3 6 4" xfId="10456" xr:uid="{B47E6253-8CA3-4FF5-AC3B-9F70C7FBA45E}"/>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E23F146F-02FD-4C52-95AA-6F7B797B2C51}"/>
    <cellStyle name="20% - Accent3 7 2 3" xfId="13014" xr:uid="{A400C61D-6C05-4607-9184-35A73EEC8EAD}"/>
    <cellStyle name="20% - Accent3 7 3" xfId="5760" xr:uid="{00000000-0005-0000-0000-0000D9010000}"/>
    <cellStyle name="20% - Accent3 7 3 2" xfId="15086" xr:uid="{2ACED214-4CD4-4FA3-AC37-B00556655FD1}"/>
    <cellStyle name="20% - Accent3 7 4" xfId="10869" xr:uid="{C1A09572-9177-4DD4-9F78-CA7E4493082D}"/>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6D6970A9-E8E9-4937-8B3E-C9D0EF7D975C}"/>
    <cellStyle name="20% - Accent3 8 2 3" xfId="13427" xr:uid="{9305ABDE-B299-454A-A170-D8094AB8E1D3}"/>
    <cellStyle name="20% - Accent3 8 3" xfId="6173" xr:uid="{00000000-0005-0000-0000-0000DD010000}"/>
    <cellStyle name="20% - Accent3 8 3 2" xfId="15499" xr:uid="{FB1CF4CF-C662-47A2-BBB8-54FFE0BA227A}"/>
    <cellStyle name="20% - Accent3 8 4" xfId="11282" xr:uid="{B55919F9-3A54-4066-B215-409C33FA4C83}"/>
    <cellStyle name="20% - Accent3 9" xfId="2280" xr:uid="{00000000-0005-0000-0000-0000DE010000}"/>
    <cellStyle name="20% - Accent3 9 2" xfId="6586" xr:uid="{00000000-0005-0000-0000-0000DF010000}"/>
    <cellStyle name="20% - Accent3 9 2 2" xfId="15912" xr:uid="{2A9BE198-F0C9-4C18-81DE-9EDC525FAAEE}"/>
    <cellStyle name="20% - Accent3 9 3" xfId="11695" xr:uid="{AC68A0D9-497E-436B-AC59-08A2CF3DFC06}"/>
    <cellStyle name="20% - Accent4" xfId="25" builtinId="42" customBuiltin="1"/>
    <cellStyle name="20% - Accent4 10" xfId="4528" xr:uid="{00000000-0005-0000-0000-0000E1010000}"/>
    <cellStyle name="20% - Accent4 10 2" xfId="13854" xr:uid="{643EB481-88FE-4066-BDE2-0B1594795F64}"/>
    <cellStyle name="20% - Accent4 11" xfId="8764" xr:uid="{4A9BF508-806C-496D-AEC5-5842E4A62892}"/>
    <cellStyle name="20% - Accent4 11 2" xfId="18088" xr:uid="{FD3B25D2-CDF2-4C9E-A51A-1A030319FDEB}"/>
    <cellStyle name="20% - Accent4 12" xfId="9637" xr:uid="{F1B42A8D-6F12-45B5-A94D-1A524589505C}"/>
    <cellStyle name="20% - Accent4 2" xfId="26" xr:uid="{00000000-0005-0000-0000-0000E2010000}"/>
    <cellStyle name="20% - Accent4 2 10" xfId="8794" xr:uid="{31A2F477-5237-45C2-B43F-25AC049A95FF}"/>
    <cellStyle name="20% - Accent4 2 10 2" xfId="18118" xr:uid="{792A285B-D283-4F2A-9545-3BCA163AB03B}"/>
    <cellStyle name="20% - Accent4 2 11" xfId="9638" xr:uid="{3CE5268C-F973-43E1-A7D4-C70571BD8230}"/>
    <cellStyle name="20% - Accent4 2 2" xfId="27" xr:uid="{00000000-0005-0000-0000-0000E3010000}"/>
    <cellStyle name="20% - Accent4 2 2 10" xfId="9639" xr:uid="{4481791A-8CB4-4D8D-8590-2308B3B2B331}"/>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3F7DC870-FC39-43E3-BBCD-99B981CF037D}"/>
    <cellStyle name="20% - Accent4 2 2 2 2 2 3" xfId="12199" xr:uid="{96093F34-CAA6-42C7-985B-14B0F55108E6}"/>
    <cellStyle name="20% - Accent4 2 2 2 2 3" xfId="4945" xr:uid="{00000000-0005-0000-0000-0000E8010000}"/>
    <cellStyle name="20% - Accent4 2 2 2 2 3 2" xfId="14271" xr:uid="{0EE55A16-F055-4E9D-AC06-7CA612D0DD5A}"/>
    <cellStyle name="20% - Accent4 2 2 2 2 4" xfId="9529" xr:uid="{0C40CE19-1873-4316-818D-CC943AAFBB7B}"/>
    <cellStyle name="20% - Accent4 2 2 2 2 4 2" xfId="18844" xr:uid="{249B0423-AC59-4EB8-8EE0-C9904220487F}"/>
    <cellStyle name="20% - Accent4 2 2 2 2 5" xfId="10054" xr:uid="{1201C61D-6F8D-4884-BDFE-4522DBD720E2}"/>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57D941CC-26C9-4687-BC69-89B9C52169DB}"/>
    <cellStyle name="20% - Accent4 2 2 2 3 2 3" xfId="12612" xr:uid="{4E9EA872-AD52-4BBB-9FA3-409F36222C1D}"/>
    <cellStyle name="20% - Accent4 2 2 2 3 3" xfId="5358" xr:uid="{00000000-0005-0000-0000-0000EC010000}"/>
    <cellStyle name="20% - Accent4 2 2 2 3 3 2" xfId="14684" xr:uid="{5374BF5C-E5B0-4251-82E0-CE4DDEA0B6C0}"/>
    <cellStyle name="20% - Accent4 2 2 2 3 4" xfId="10467" xr:uid="{9AB20676-28BC-441B-BCDF-3E6BA348CDC5}"/>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DEB404D6-EF7A-4E9C-9260-0A126D225AB9}"/>
    <cellStyle name="20% - Accent4 2 2 2 4 2 3" xfId="13025" xr:uid="{885826A9-2FEF-4450-A563-51B2BCC4E525}"/>
    <cellStyle name="20% - Accent4 2 2 2 4 3" xfId="5771" xr:uid="{00000000-0005-0000-0000-0000F0010000}"/>
    <cellStyle name="20% - Accent4 2 2 2 4 3 2" xfId="15097" xr:uid="{FFCA4A4B-95A6-4CFB-8C6D-6951A00370E2}"/>
    <cellStyle name="20% - Accent4 2 2 2 4 4" xfId="10880" xr:uid="{F78C378F-962B-4841-8DD1-C9343B05C163}"/>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6737713C-725E-4753-B058-83C821116E39}"/>
    <cellStyle name="20% - Accent4 2 2 2 5 2 3" xfId="13438" xr:uid="{9645526F-4022-4286-A734-69B8E17263CA}"/>
    <cellStyle name="20% - Accent4 2 2 2 5 3" xfId="6184" xr:uid="{00000000-0005-0000-0000-0000F4010000}"/>
    <cellStyle name="20% - Accent4 2 2 2 5 3 2" xfId="15510" xr:uid="{BC889F16-3DA7-48D5-B91C-94E0BAC1BC33}"/>
    <cellStyle name="20% - Accent4 2 2 2 5 4" xfId="11293" xr:uid="{BDDB7FAC-FE4F-40AD-ABC5-84CB2DAD91B4}"/>
    <cellStyle name="20% - Accent4 2 2 2 6" xfId="2291" xr:uid="{00000000-0005-0000-0000-0000F5010000}"/>
    <cellStyle name="20% - Accent4 2 2 2 6 2" xfId="6597" xr:uid="{00000000-0005-0000-0000-0000F6010000}"/>
    <cellStyle name="20% - Accent4 2 2 2 6 2 2" xfId="15923" xr:uid="{193244FF-A3B1-462B-BA3D-1D940DEC4080}"/>
    <cellStyle name="20% - Accent4 2 2 2 6 3" xfId="11706" xr:uid="{4E75AF2D-5125-4DA1-87B2-931BEB9B1580}"/>
    <cellStyle name="20% - Accent4 2 2 2 7" xfId="4531" xr:uid="{00000000-0005-0000-0000-0000F7010000}"/>
    <cellStyle name="20% - Accent4 2 2 2 7 2" xfId="13857" xr:uid="{DAA8B5CB-3A4A-4005-9A5B-3B4A19F278DF}"/>
    <cellStyle name="20% - Accent4 2 2 2 8" xfId="9104" xr:uid="{526BE306-22BA-4A85-81B2-34AEB56F0D90}"/>
    <cellStyle name="20% - Accent4 2 2 2 8 2" xfId="18428" xr:uid="{A62EC5F4-3D92-45EF-9F0D-AFF8E93ED8DB}"/>
    <cellStyle name="20% - Accent4 2 2 2 9" xfId="9640" xr:uid="{6CE986FA-9ED3-4DFC-A723-39D88164A82C}"/>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3B65BE9A-53CE-4AE3-AEFA-B75A6F796F9F}"/>
    <cellStyle name="20% - Accent4 2 2 3 2 3" xfId="12198" xr:uid="{8AC53F2A-40C9-4A4B-8867-73C47271D009}"/>
    <cellStyle name="20% - Accent4 2 2 3 3" xfId="4944" xr:uid="{00000000-0005-0000-0000-0000FB010000}"/>
    <cellStyle name="20% - Accent4 2 2 3 3 2" xfId="14270" xr:uid="{96BCA674-3CB7-4E7B-849B-7A02DE678608}"/>
    <cellStyle name="20% - Accent4 2 2 3 4" xfId="9322" xr:uid="{003BBE99-27AA-4036-A373-4475953A88F4}"/>
    <cellStyle name="20% - Accent4 2 2 3 4 2" xfId="18637" xr:uid="{23FEB654-979B-43D2-98E5-EFCD34DB8FE9}"/>
    <cellStyle name="20% - Accent4 2 2 3 5" xfId="10053" xr:uid="{65FF5E61-888A-4402-B194-ECE3C0277C09}"/>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CE3527D8-B10B-4F04-83D5-7D048BC98B24}"/>
    <cellStyle name="20% - Accent4 2 2 4 2 3" xfId="12611" xr:uid="{2E87B54C-3EBA-47B5-B2C0-EC29AA718D95}"/>
    <cellStyle name="20% - Accent4 2 2 4 3" xfId="5357" xr:uid="{00000000-0005-0000-0000-0000FF010000}"/>
    <cellStyle name="20% - Accent4 2 2 4 3 2" xfId="14683" xr:uid="{2C22EF8A-40B1-499D-B961-2523ECA95876}"/>
    <cellStyle name="20% - Accent4 2 2 4 4" xfId="10466" xr:uid="{55022B2B-2BA0-40B8-9585-38B1A105F3DD}"/>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9DC3721B-4BBE-4D3C-8262-0F0B00371951}"/>
    <cellStyle name="20% - Accent4 2 2 5 2 3" xfId="13024" xr:uid="{0A529DB7-2E2F-4F30-92E0-FC379F11C994}"/>
    <cellStyle name="20% - Accent4 2 2 5 3" xfId="5770" xr:uid="{00000000-0005-0000-0000-000003020000}"/>
    <cellStyle name="20% - Accent4 2 2 5 3 2" xfId="15096" xr:uid="{B1DD3D18-8D93-482B-BD28-73DD223D7A08}"/>
    <cellStyle name="20% - Accent4 2 2 5 4" xfId="10879" xr:uid="{0AA08B85-1F4C-4A86-8F64-22C8E5C80724}"/>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F876F567-FBFB-49AF-8B05-EE64B5DB0D9D}"/>
    <cellStyle name="20% - Accent4 2 2 6 2 3" xfId="13437" xr:uid="{39D6FD3D-4B09-46E9-8D27-BD4D6A89E4D6}"/>
    <cellStyle name="20% - Accent4 2 2 6 3" xfId="6183" xr:uid="{00000000-0005-0000-0000-000007020000}"/>
    <cellStyle name="20% - Accent4 2 2 6 3 2" xfId="15509" xr:uid="{E7BACABE-EB9B-4457-B647-E9498BB74103}"/>
    <cellStyle name="20% - Accent4 2 2 6 4" xfId="11292" xr:uid="{12F2D4D5-51A3-43DB-A2B2-A2669B5E318B}"/>
    <cellStyle name="20% - Accent4 2 2 7" xfId="2290" xr:uid="{00000000-0005-0000-0000-000008020000}"/>
    <cellStyle name="20% - Accent4 2 2 7 2" xfId="6596" xr:uid="{00000000-0005-0000-0000-000009020000}"/>
    <cellStyle name="20% - Accent4 2 2 7 2 2" xfId="15922" xr:uid="{BEBF769F-ABD1-4381-906D-5FF7EEBB9CB9}"/>
    <cellStyle name="20% - Accent4 2 2 7 3" xfId="11705" xr:uid="{0A238E53-074F-4631-8293-18EF07A95AF5}"/>
    <cellStyle name="20% - Accent4 2 2 8" xfId="4530" xr:uid="{00000000-0005-0000-0000-00000A020000}"/>
    <cellStyle name="20% - Accent4 2 2 8 2" xfId="13856" xr:uid="{260A204F-B1EE-47B2-AF3D-72001680A2EC}"/>
    <cellStyle name="20% - Accent4 2 2 9" xfId="8897" xr:uid="{3A58A73C-0193-4EAC-8E12-5BF8743CE9BA}"/>
    <cellStyle name="20% - Accent4 2 2 9 2" xfId="18221" xr:uid="{3DD3B698-1FAE-48BA-A45B-9B602ACF46AD}"/>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BC09E9CE-76F5-411B-AD01-509AD4000548}"/>
    <cellStyle name="20% - Accent4 2 3 2 2 3" xfId="12200" xr:uid="{621CEE60-7FAD-45E4-AFC7-F6453B7B88E7}"/>
    <cellStyle name="20% - Accent4 2 3 2 3" xfId="4946" xr:uid="{00000000-0005-0000-0000-00000F020000}"/>
    <cellStyle name="20% - Accent4 2 3 2 3 2" xfId="14272" xr:uid="{C2671C0C-EE9D-422D-918F-61DA0D06E2BB}"/>
    <cellStyle name="20% - Accent4 2 3 2 4" xfId="9426" xr:uid="{5B247D51-FBFD-4799-8395-E3F1C04297B8}"/>
    <cellStyle name="20% - Accent4 2 3 2 4 2" xfId="18741" xr:uid="{EABCFCE9-A95C-4F38-9463-2EDDFC793CB2}"/>
    <cellStyle name="20% - Accent4 2 3 2 5" xfId="10055" xr:uid="{AE3C905B-A60E-47E5-859A-91CDA940174E}"/>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0194F855-79D9-43B2-B242-17F1AF15E892}"/>
    <cellStyle name="20% - Accent4 2 3 3 2 3" xfId="12613" xr:uid="{575BDE01-CA6A-431E-927B-B4F47560AF5C}"/>
    <cellStyle name="20% - Accent4 2 3 3 3" xfId="5359" xr:uid="{00000000-0005-0000-0000-000013020000}"/>
    <cellStyle name="20% - Accent4 2 3 3 3 2" xfId="14685" xr:uid="{EEA83DD8-E797-4C49-8AF2-843EBFCB67D2}"/>
    <cellStyle name="20% - Accent4 2 3 3 4" xfId="10468" xr:uid="{383DD963-4D2B-441B-8286-10DBB7FFB220}"/>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21133FA5-890D-491F-A14F-4BB06C1BC745}"/>
    <cellStyle name="20% - Accent4 2 3 4 2 3" xfId="13026" xr:uid="{56F06907-FFB0-4B14-B1E2-F1AC003B0216}"/>
    <cellStyle name="20% - Accent4 2 3 4 3" xfId="5772" xr:uid="{00000000-0005-0000-0000-000017020000}"/>
    <cellStyle name="20% - Accent4 2 3 4 3 2" xfId="15098" xr:uid="{4B26E010-C01A-4810-AB63-224A1FF36665}"/>
    <cellStyle name="20% - Accent4 2 3 4 4" xfId="10881" xr:uid="{79AC2D8E-D957-4EFB-97C7-1016AE6CAD5D}"/>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1DD14C06-699F-4C65-8595-C7DA25D84241}"/>
    <cellStyle name="20% - Accent4 2 3 5 2 3" xfId="13439" xr:uid="{3752F2A9-2CF2-47CA-9DBA-50936D7B0ACB}"/>
    <cellStyle name="20% - Accent4 2 3 5 3" xfId="6185" xr:uid="{00000000-0005-0000-0000-00001B020000}"/>
    <cellStyle name="20% - Accent4 2 3 5 3 2" xfId="15511" xr:uid="{AD0D7C6A-0A33-4208-B225-196BA5D75FF0}"/>
    <cellStyle name="20% - Accent4 2 3 5 4" xfId="11294" xr:uid="{3D58CA30-18B0-415D-AAE0-B427F43AF222}"/>
    <cellStyle name="20% - Accent4 2 3 6" xfId="2292" xr:uid="{00000000-0005-0000-0000-00001C020000}"/>
    <cellStyle name="20% - Accent4 2 3 6 2" xfId="6598" xr:uid="{00000000-0005-0000-0000-00001D020000}"/>
    <cellStyle name="20% - Accent4 2 3 6 2 2" xfId="15924" xr:uid="{7CCC95BB-7D2D-470E-91F8-6E2FF9AF11DC}"/>
    <cellStyle name="20% - Accent4 2 3 6 3" xfId="11707" xr:uid="{D2A23CD9-6B8A-4300-AA3D-36E44CC50CB4}"/>
    <cellStyle name="20% - Accent4 2 3 7" xfId="4532" xr:uid="{00000000-0005-0000-0000-00001E020000}"/>
    <cellStyle name="20% - Accent4 2 3 7 2" xfId="13858" xr:uid="{69369607-46AE-4536-AA2B-F861FF4D7FFE}"/>
    <cellStyle name="20% - Accent4 2 3 8" xfId="9001" xr:uid="{B9DE6BBA-06E2-4FC8-B645-F20E60244072}"/>
    <cellStyle name="20% - Accent4 2 3 8 2" xfId="18325" xr:uid="{1507FC1A-D4C5-4EB2-B3F2-0974187F2503}"/>
    <cellStyle name="20% - Accent4 2 3 9" xfId="9641" xr:uid="{2A481D99-2535-4FBC-9F8F-09B147803369}"/>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3410B3E6-A36C-4535-8D1A-6F6C98822C2D}"/>
    <cellStyle name="20% - Accent4 2 4 2 3" xfId="12197" xr:uid="{B39B09F4-6D0C-4D84-83F5-CAA19E5E5427}"/>
    <cellStyle name="20% - Accent4 2 4 3" xfId="4943" xr:uid="{00000000-0005-0000-0000-000022020000}"/>
    <cellStyle name="20% - Accent4 2 4 3 2" xfId="14269" xr:uid="{0CE42BB1-29F0-47E3-8116-E13A5F860D18}"/>
    <cellStyle name="20% - Accent4 2 4 4" xfId="9218" xr:uid="{EEA9CEE5-7B27-41EB-B571-13D0ADC44445}"/>
    <cellStyle name="20% - Accent4 2 4 4 2" xfId="18534" xr:uid="{37C424F0-2EDE-470C-855D-F99A2688807D}"/>
    <cellStyle name="20% - Accent4 2 4 5" xfId="10052" xr:uid="{BBAE7BA5-8C12-4D79-AEF8-6461D3E0E5EF}"/>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0CF7E837-E6B5-4C36-87D0-869157593170}"/>
    <cellStyle name="20% - Accent4 2 5 2 3" xfId="12610" xr:uid="{04F58D1A-C7ED-4C14-9413-8052C8B5015D}"/>
    <cellStyle name="20% - Accent4 2 5 3" xfId="5356" xr:uid="{00000000-0005-0000-0000-000026020000}"/>
    <cellStyle name="20% - Accent4 2 5 3 2" xfId="14682" xr:uid="{D666E50C-9D12-4D65-9261-58ABB8AF6570}"/>
    <cellStyle name="20% - Accent4 2 5 4" xfId="10465" xr:uid="{227D16F1-D191-4AE2-9B41-B2E65ED82DF2}"/>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77846B46-7A67-4160-935E-5BB0DD31F2ED}"/>
    <cellStyle name="20% - Accent4 2 6 2 3" xfId="13023" xr:uid="{781D651C-9F7D-4FAA-99A2-093E655CCE77}"/>
    <cellStyle name="20% - Accent4 2 6 3" xfId="5769" xr:uid="{00000000-0005-0000-0000-00002A020000}"/>
    <cellStyle name="20% - Accent4 2 6 3 2" xfId="15095" xr:uid="{9CB3EDE4-B028-42E5-9530-7E26B5CE2B36}"/>
    <cellStyle name="20% - Accent4 2 6 4" xfId="10878" xr:uid="{02FF2BB3-C5FD-4F3F-92E0-EDF8A16B9BDF}"/>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5B6F23AE-39FF-482E-BCFE-D220A22B9832}"/>
    <cellStyle name="20% - Accent4 2 7 2 3" xfId="13436" xr:uid="{CEF23BDF-3928-4291-945E-74E4A30F0A3D}"/>
    <cellStyle name="20% - Accent4 2 7 3" xfId="6182" xr:uid="{00000000-0005-0000-0000-00002E020000}"/>
    <cellStyle name="20% - Accent4 2 7 3 2" xfId="15508" xr:uid="{C279CA03-8A5A-49E6-968F-B37EDD677D23}"/>
    <cellStyle name="20% - Accent4 2 7 4" xfId="11291" xr:uid="{21D805CE-391B-4C2E-9A76-04543637BE30}"/>
    <cellStyle name="20% - Accent4 2 8" xfId="2289" xr:uid="{00000000-0005-0000-0000-00002F020000}"/>
    <cellStyle name="20% - Accent4 2 8 2" xfId="6595" xr:uid="{00000000-0005-0000-0000-000030020000}"/>
    <cellStyle name="20% - Accent4 2 8 2 2" xfId="15921" xr:uid="{83510483-F0F9-42AE-8C44-3BE380CCC4A9}"/>
    <cellStyle name="20% - Accent4 2 8 3" xfId="11704" xr:uid="{8ED83478-46FC-451F-97C2-6C08309BE172}"/>
    <cellStyle name="20% - Accent4 2 9" xfId="4529" xr:uid="{00000000-0005-0000-0000-000031020000}"/>
    <cellStyle name="20% - Accent4 2 9 2" xfId="13855" xr:uid="{D21B70B4-1B5F-4746-860C-F57BDDC3848E}"/>
    <cellStyle name="20% - Accent4 3" xfId="30" xr:uid="{00000000-0005-0000-0000-000032020000}"/>
    <cellStyle name="20% - Accent4 3 10" xfId="9642" xr:uid="{9D976586-6D1A-482D-96AC-B4E53F0DA4F8}"/>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CC36127E-0321-4A38-8563-85DB2A369C25}"/>
    <cellStyle name="20% - Accent4 3 2 2 2 3" xfId="12202" xr:uid="{74D367B0-B63B-4C3A-904E-D92D5BD23E9B}"/>
    <cellStyle name="20% - Accent4 3 2 2 3" xfId="4948" xr:uid="{00000000-0005-0000-0000-000037020000}"/>
    <cellStyle name="20% - Accent4 3 2 2 3 2" xfId="14274" xr:uid="{C52065CD-9CE0-431C-A361-FAD4B07CA95A}"/>
    <cellStyle name="20% - Accent4 3 2 2 4" xfId="9499" xr:uid="{019308F4-938B-408B-A627-483AF94276A0}"/>
    <cellStyle name="20% - Accent4 3 2 2 4 2" xfId="18814" xr:uid="{24B649A1-08A5-45BC-BAE1-37DBA9B234A9}"/>
    <cellStyle name="20% - Accent4 3 2 2 5" xfId="10057" xr:uid="{7C8219CB-A889-4C08-AFC7-EDBF179ECE38}"/>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97CC074A-C068-491E-855F-DB8709B66DB3}"/>
    <cellStyle name="20% - Accent4 3 2 3 2 3" xfId="12615" xr:uid="{F150BC1F-7E05-4ADC-AE6F-6E7C45BA165F}"/>
    <cellStyle name="20% - Accent4 3 2 3 3" xfId="5361" xr:uid="{00000000-0005-0000-0000-00003B020000}"/>
    <cellStyle name="20% - Accent4 3 2 3 3 2" xfId="14687" xr:uid="{E481F675-3A21-45EF-808C-38C11DF60F7E}"/>
    <cellStyle name="20% - Accent4 3 2 3 4" xfId="10470" xr:uid="{490B0A05-8170-437E-B59A-1666271EBDC9}"/>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D6369633-8A8B-4176-8AA1-270B77FBE733}"/>
    <cellStyle name="20% - Accent4 3 2 4 2 3" xfId="13028" xr:uid="{F1FECF18-FD7C-4841-8F89-5DE9C7E0F40A}"/>
    <cellStyle name="20% - Accent4 3 2 4 3" xfId="5774" xr:uid="{00000000-0005-0000-0000-00003F020000}"/>
    <cellStyle name="20% - Accent4 3 2 4 3 2" xfId="15100" xr:uid="{59023858-F563-4E5B-B4D5-DBA188D62701}"/>
    <cellStyle name="20% - Accent4 3 2 4 4" xfId="10883" xr:uid="{0732A02F-38FF-466C-9A97-730954C92D34}"/>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2B9ABEFD-C911-4972-9942-FDCF0022651B}"/>
    <cellStyle name="20% - Accent4 3 2 5 2 3" xfId="13441" xr:uid="{F82572A8-210E-4849-BDA3-2406C8D7B43E}"/>
    <cellStyle name="20% - Accent4 3 2 5 3" xfId="6187" xr:uid="{00000000-0005-0000-0000-000043020000}"/>
    <cellStyle name="20% - Accent4 3 2 5 3 2" xfId="15513" xr:uid="{0E6F45B5-A8FD-4D10-8200-B9B40D01D909}"/>
    <cellStyle name="20% - Accent4 3 2 5 4" xfId="11296" xr:uid="{93D3CA8C-ED50-4107-80A8-F6C9B6B36C86}"/>
    <cellStyle name="20% - Accent4 3 2 6" xfId="2294" xr:uid="{00000000-0005-0000-0000-000044020000}"/>
    <cellStyle name="20% - Accent4 3 2 6 2" xfId="6600" xr:uid="{00000000-0005-0000-0000-000045020000}"/>
    <cellStyle name="20% - Accent4 3 2 6 2 2" xfId="15926" xr:uid="{41D4B71D-7AAB-4019-AF50-1D5EAB51382B}"/>
    <cellStyle name="20% - Accent4 3 2 6 3" xfId="11709" xr:uid="{BF00BD76-7082-454C-BE2D-79BCDC5B8CE5}"/>
    <cellStyle name="20% - Accent4 3 2 7" xfId="4534" xr:uid="{00000000-0005-0000-0000-000046020000}"/>
    <cellStyle name="20% - Accent4 3 2 7 2" xfId="13860" xr:uid="{104AA5BF-3BB1-4EFF-AE23-68CF883B5697}"/>
    <cellStyle name="20% - Accent4 3 2 8" xfId="9074" xr:uid="{BA25EAA8-2B5F-4309-91A3-FC61FCEF209C}"/>
    <cellStyle name="20% - Accent4 3 2 8 2" xfId="18398" xr:uid="{A941DD17-E239-4352-B27D-B2013966469C}"/>
    <cellStyle name="20% - Accent4 3 2 9" xfId="9643" xr:uid="{AD5CF375-3EC2-4DE7-A531-57520F776245}"/>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7BEE80FC-003E-4DE8-9869-58C47A2580BA}"/>
    <cellStyle name="20% - Accent4 3 3 2 3" xfId="12201" xr:uid="{F984B830-47F7-4C01-8A88-085DAB2453DC}"/>
    <cellStyle name="20% - Accent4 3 3 3" xfId="4947" xr:uid="{00000000-0005-0000-0000-00004A020000}"/>
    <cellStyle name="20% - Accent4 3 3 3 2" xfId="14273" xr:uid="{8903CD7F-E30A-4EF8-AC5B-E9B0B82E5A4F}"/>
    <cellStyle name="20% - Accent4 3 3 4" xfId="9292" xr:uid="{E33AB5E9-A8F9-45CB-AD95-0E461E901C30}"/>
    <cellStyle name="20% - Accent4 3 3 4 2" xfId="18607" xr:uid="{A0E46FF6-207E-4C88-8CE4-E59CF19A4562}"/>
    <cellStyle name="20% - Accent4 3 3 5" xfId="10056" xr:uid="{A4D018A0-C93B-4EDC-81BB-3D5E6F3BF51B}"/>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5902F3B0-BBFA-4DEB-B3F2-EF3E019DA2C5}"/>
    <cellStyle name="20% - Accent4 3 4 2 3" xfId="12614" xr:uid="{3E5465EF-7BBD-4078-9D40-B3E3392D2926}"/>
    <cellStyle name="20% - Accent4 3 4 3" xfId="5360" xr:uid="{00000000-0005-0000-0000-00004E020000}"/>
    <cellStyle name="20% - Accent4 3 4 3 2" xfId="14686" xr:uid="{310FED27-0F53-4C1D-B9D5-259167F2DBAB}"/>
    <cellStyle name="20% - Accent4 3 4 4" xfId="10469" xr:uid="{2A0F0C57-DCFD-48BC-A432-F2A224AD780B}"/>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55C32B26-BE53-4943-B0C3-F28CD42B3DD4}"/>
    <cellStyle name="20% - Accent4 3 5 2 3" xfId="13027" xr:uid="{7A50366B-ECED-419A-BCCE-9B1A02D2DBB8}"/>
    <cellStyle name="20% - Accent4 3 5 3" xfId="5773" xr:uid="{00000000-0005-0000-0000-000052020000}"/>
    <cellStyle name="20% - Accent4 3 5 3 2" xfId="15099" xr:uid="{9D62C464-6BC6-4322-B232-748A7438EF5A}"/>
    <cellStyle name="20% - Accent4 3 5 4" xfId="10882" xr:uid="{FE87BB84-E9DF-448A-AA9D-F53CB3132577}"/>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39DB770F-673B-4518-B0DE-E648AEA1B025}"/>
    <cellStyle name="20% - Accent4 3 6 2 3" xfId="13440" xr:uid="{D96AFA92-0D6D-4614-BD33-CAC3E68BC4A2}"/>
    <cellStyle name="20% - Accent4 3 6 3" xfId="6186" xr:uid="{00000000-0005-0000-0000-000056020000}"/>
    <cellStyle name="20% - Accent4 3 6 3 2" xfId="15512" xr:uid="{7309DC46-FB45-484E-A0B1-66687139A0A4}"/>
    <cellStyle name="20% - Accent4 3 6 4" xfId="11295" xr:uid="{0AA1AA86-E5B1-46D2-9640-06241AB498AE}"/>
    <cellStyle name="20% - Accent4 3 7" xfId="2293" xr:uid="{00000000-0005-0000-0000-000057020000}"/>
    <cellStyle name="20% - Accent4 3 7 2" xfId="6599" xr:uid="{00000000-0005-0000-0000-000058020000}"/>
    <cellStyle name="20% - Accent4 3 7 2 2" xfId="15925" xr:uid="{656199BB-B865-4448-8482-253A222E10B2}"/>
    <cellStyle name="20% - Accent4 3 7 3" xfId="11708" xr:uid="{9D9E4E55-4559-4283-AC45-1F17042FF764}"/>
    <cellStyle name="20% - Accent4 3 8" xfId="4533" xr:uid="{00000000-0005-0000-0000-000059020000}"/>
    <cellStyle name="20% - Accent4 3 8 2" xfId="13859" xr:uid="{1BCE9933-5E12-48F0-B505-433047636C29}"/>
    <cellStyle name="20% - Accent4 3 9" xfId="8867" xr:uid="{27FB4CEF-7F56-4AEC-B5AC-6B6A1477FBD8}"/>
    <cellStyle name="20% - Accent4 3 9 2" xfId="18191" xr:uid="{770C0222-6E64-4389-8BAC-3B6ACAF6DB4F}"/>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51C995F8-1298-4315-867E-C42B0CF8CEAD}"/>
    <cellStyle name="20% - Accent4 4 2 2 3" xfId="12203" xr:uid="{A8D752F3-AC29-4A23-BB15-03B5D0C68B8E}"/>
    <cellStyle name="20% - Accent4 4 2 3" xfId="4949" xr:uid="{00000000-0005-0000-0000-00005E020000}"/>
    <cellStyle name="20% - Accent4 4 2 3 2" xfId="14275" xr:uid="{7F82B769-60C4-40DB-A065-19F934148336}"/>
    <cellStyle name="20% - Accent4 4 2 4" xfId="9378" xr:uid="{761B3D4A-2751-4646-8A50-05A0DD408525}"/>
    <cellStyle name="20% - Accent4 4 2 4 2" xfId="18693" xr:uid="{C518AF8A-D195-4A23-89A1-E6C4B7D92A9E}"/>
    <cellStyle name="20% - Accent4 4 2 5" xfId="10058" xr:uid="{803811AC-47FF-4E25-96FB-7FA4AE85237C}"/>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0EDA31F4-4F03-49DC-AF0A-78C4C0E9DA15}"/>
    <cellStyle name="20% - Accent4 4 3 2 3" xfId="12616" xr:uid="{E52B2752-2102-40E9-B1FF-B9840EAB2750}"/>
    <cellStyle name="20% - Accent4 4 3 3" xfId="5362" xr:uid="{00000000-0005-0000-0000-000062020000}"/>
    <cellStyle name="20% - Accent4 4 3 3 2" xfId="14688" xr:uid="{7AE394A8-62AA-4060-B8C0-42969C91A877}"/>
    <cellStyle name="20% - Accent4 4 3 4" xfId="10471" xr:uid="{16A850F2-D8F9-47CD-B2E5-7A9C836231D8}"/>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06EAF2A1-8592-4E8D-9343-F60ABDCFFA17}"/>
    <cellStyle name="20% - Accent4 4 4 2 3" xfId="13029" xr:uid="{CBD403D7-0BCB-4780-9D12-4E893AEFA719}"/>
    <cellStyle name="20% - Accent4 4 4 3" xfId="5775" xr:uid="{00000000-0005-0000-0000-000066020000}"/>
    <cellStyle name="20% - Accent4 4 4 3 2" xfId="15101" xr:uid="{C06CB43A-0B86-43D0-840D-7A650E70E468}"/>
    <cellStyle name="20% - Accent4 4 4 4" xfId="10884" xr:uid="{B4552EEB-0858-45CF-9F85-1C8F9CD72383}"/>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D368CF1A-E1BA-497F-97CA-C604EE84B29D}"/>
    <cellStyle name="20% - Accent4 4 5 2 3" xfId="13442" xr:uid="{826660FC-1ADC-4631-9651-336FF0004435}"/>
    <cellStyle name="20% - Accent4 4 5 3" xfId="6188" xr:uid="{00000000-0005-0000-0000-00006A020000}"/>
    <cellStyle name="20% - Accent4 4 5 3 2" xfId="15514" xr:uid="{C62D61D1-D869-48A3-AE2E-AFE3B59B8763}"/>
    <cellStyle name="20% - Accent4 4 5 4" xfId="11297" xr:uid="{79F4ECD4-B809-476E-A03F-9541687C6ABA}"/>
    <cellStyle name="20% - Accent4 4 6" xfId="2295" xr:uid="{00000000-0005-0000-0000-00006B020000}"/>
    <cellStyle name="20% - Accent4 4 6 2" xfId="6601" xr:uid="{00000000-0005-0000-0000-00006C020000}"/>
    <cellStyle name="20% - Accent4 4 6 2 2" xfId="15927" xr:uid="{B4D60440-0486-4F49-9F76-49AF488F0A69}"/>
    <cellStyle name="20% - Accent4 4 6 3" xfId="11710" xr:uid="{1CCE5A0E-D3C1-4874-A7B1-EF185F4C6F26}"/>
    <cellStyle name="20% - Accent4 4 7" xfId="4535" xr:uid="{00000000-0005-0000-0000-00006D020000}"/>
    <cellStyle name="20% - Accent4 4 7 2" xfId="13861" xr:uid="{08DFE852-5C5A-486A-9D10-0E472B7C4487}"/>
    <cellStyle name="20% - Accent4 4 8" xfId="8953" xr:uid="{66D1590A-BB3A-4B79-BA94-169F97E79370}"/>
    <cellStyle name="20% - Accent4 4 8 2" xfId="18277" xr:uid="{06811D14-F25D-4131-8E73-02641E8BC425}"/>
    <cellStyle name="20% - Accent4 4 9" xfId="9644" xr:uid="{4DBD689E-2294-4147-BB4F-EDBFFEA0631D}"/>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FF82FD76-8B44-4E55-8AB2-E4DCD4CCC98A}"/>
    <cellStyle name="20% - Accent4 5 2 3" xfId="12196" xr:uid="{F2773074-0881-4090-B467-FD78CD60FD19}"/>
    <cellStyle name="20% - Accent4 5 3" xfId="4942" xr:uid="{00000000-0005-0000-0000-000071020000}"/>
    <cellStyle name="20% - Accent4 5 3 2" xfId="14268" xr:uid="{A1442D13-CF4B-498E-9BF2-EF4BABB4E459}"/>
    <cellStyle name="20% - Accent4 5 4" xfId="9186" xr:uid="{E62ED282-F767-404B-ADA1-4F8E5B4D01EB}"/>
    <cellStyle name="20% - Accent4 5 4 2" xfId="18504" xr:uid="{12137B17-A0E2-417F-9D2E-234E2BAAFAF0}"/>
    <cellStyle name="20% - Accent4 5 5" xfId="10051" xr:uid="{3A53E80C-2775-4CD3-8688-0A4D5121D0AC}"/>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9AA6D3C1-6E57-4427-AC64-19EB5F64E220}"/>
    <cellStyle name="20% - Accent4 6 2 3" xfId="12609" xr:uid="{B40E71A3-CDD1-49B4-A3D8-A8FBA7A9EDAC}"/>
    <cellStyle name="20% - Accent4 6 3" xfId="5355" xr:uid="{00000000-0005-0000-0000-000075020000}"/>
    <cellStyle name="20% - Accent4 6 3 2" xfId="14681" xr:uid="{CAF4E5DE-078E-4EED-A675-7866881B331E}"/>
    <cellStyle name="20% - Accent4 6 4" xfId="10464" xr:uid="{CECE8FA3-3F8C-483A-881B-5003C3F2E820}"/>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DED37E96-DD1D-4803-AF8F-E62398598F84}"/>
    <cellStyle name="20% - Accent4 7 2 3" xfId="13022" xr:uid="{89A1E250-B2DD-48AE-81F1-0B9920B81E32}"/>
    <cellStyle name="20% - Accent4 7 3" xfId="5768" xr:uid="{00000000-0005-0000-0000-000079020000}"/>
    <cellStyle name="20% - Accent4 7 3 2" xfId="15094" xr:uid="{4187C4EF-1D85-419A-BCE4-A0071B00B8DA}"/>
    <cellStyle name="20% - Accent4 7 4" xfId="10877" xr:uid="{82D1D958-6805-45B4-847A-526A80D94C40}"/>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D0E4A79D-70E9-48CC-B1C8-C6CE738B83F9}"/>
    <cellStyle name="20% - Accent4 8 2 3" xfId="13435" xr:uid="{6B2756E9-A682-48EA-921D-B8A70285F75A}"/>
    <cellStyle name="20% - Accent4 8 3" xfId="6181" xr:uid="{00000000-0005-0000-0000-00007D020000}"/>
    <cellStyle name="20% - Accent4 8 3 2" xfId="15507" xr:uid="{C6ADF893-2437-48A4-8E02-99F9A7F041A7}"/>
    <cellStyle name="20% - Accent4 8 4" xfId="11290" xr:uid="{7DBAC847-33DF-438D-97C7-7966919F3197}"/>
    <cellStyle name="20% - Accent4 9" xfId="2288" xr:uid="{00000000-0005-0000-0000-00007E020000}"/>
    <cellStyle name="20% - Accent4 9 2" xfId="6594" xr:uid="{00000000-0005-0000-0000-00007F020000}"/>
    <cellStyle name="20% - Accent4 9 2 2" xfId="15920" xr:uid="{42B34A54-A98E-4F24-AE27-4DB188582FF9}"/>
    <cellStyle name="20% - Accent4 9 3" xfId="11703" xr:uid="{C32D9D2D-CBEE-43C0-945B-9427BE4DA9F8}"/>
    <cellStyle name="20% - Accent5" xfId="33" builtinId="46" customBuiltin="1"/>
    <cellStyle name="20% - Accent5 10" xfId="4536" xr:uid="{00000000-0005-0000-0000-000081020000}"/>
    <cellStyle name="20% - Accent5 10 2" xfId="13862" xr:uid="{6E6C1DF5-4CDE-4284-9B88-B987EB3E2F56}"/>
    <cellStyle name="20% - Accent5 11" xfId="8766" xr:uid="{A87C980D-48BC-4AA3-98F7-53B2F02F228C}"/>
    <cellStyle name="20% - Accent5 11 2" xfId="18090" xr:uid="{37E6E7F8-24D8-4215-83F6-CC2AB831202A}"/>
    <cellStyle name="20% - Accent5 12" xfId="9645" xr:uid="{EFE2AC63-0ECF-49AD-9BCA-C6AF73B3E261}"/>
    <cellStyle name="20% - Accent5 2" xfId="34" xr:uid="{00000000-0005-0000-0000-000082020000}"/>
    <cellStyle name="20% - Accent5 2 10" xfId="8796" xr:uid="{5BBF4372-A7B1-47A0-AC3D-4A60EDC1A5F8}"/>
    <cellStyle name="20% - Accent5 2 10 2" xfId="18120" xr:uid="{D7111A8A-A77D-463C-8C0A-4E1C6052F593}"/>
    <cellStyle name="20% - Accent5 2 11" xfId="9646" xr:uid="{001CD324-E707-4A83-9DCA-B82176305D7C}"/>
    <cellStyle name="20% - Accent5 2 2" xfId="35" xr:uid="{00000000-0005-0000-0000-000083020000}"/>
    <cellStyle name="20% - Accent5 2 2 10" xfId="9647" xr:uid="{D5A23DC9-5240-4FBB-9493-E03C9603E472}"/>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D57AEB4A-5B95-4A2E-A11C-A6BECF4C4CE5}"/>
    <cellStyle name="20% - Accent5 2 2 2 2 2 3" xfId="12207" xr:uid="{B027BB79-FC2F-46AD-B77B-E4DD723FDF95}"/>
    <cellStyle name="20% - Accent5 2 2 2 2 3" xfId="4953" xr:uid="{00000000-0005-0000-0000-000088020000}"/>
    <cellStyle name="20% - Accent5 2 2 2 2 3 2" xfId="14279" xr:uid="{7C9DFC2B-380B-49F5-AFE8-3BE0EA81AC9D}"/>
    <cellStyle name="20% - Accent5 2 2 2 2 4" xfId="9531" xr:uid="{5DC5F027-F767-49FB-B9DE-2ACABCF8AC5A}"/>
    <cellStyle name="20% - Accent5 2 2 2 2 4 2" xfId="18846" xr:uid="{60FFBE50-DEC4-4CDB-AF5F-E169747ED70C}"/>
    <cellStyle name="20% - Accent5 2 2 2 2 5" xfId="10062" xr:uid="{3FCCF75A-88E0-461C-AED9-A7BCF3E6C496}"/>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DE0220C1-F6DF-4629-BE1A-BD3C00960C6B}"/>
    <cellStyle name="20% - Accent5 2 2 2 3 2 3" xfId="12620" xr:uid="{91657391-4B6D-4E19-A6FD-FEF59FEC56BF}"/>
    <cellStyle name="20% - Accent5 2 2 2 3 3" xfId="5366" xr:uid="{00000000-0005-0000-0000-00008C020000}"/>
    <cellStyle name="20% - Accent5 2 2 2 3 3 2" xfId="14692" xr:uid="{F13FA6E2-9A38-4003-A488-C047E200D3EA}"/>
    <cellStyle name="20% - Accent5 2 2 2 3 4" xfId="10475" xr:uid="{C2BF4CD6-153C-457E-AA30-615795ED9E54}"/>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FF8917BC-C44D-4E98-B6E6-F343E7DBAFD7}"/>
    <cellStyle name="20% - Accent5 2 2 2 4 2 3" xfId="13033" xr:uid="{C3063803-8A1E-40B9-8270-91EA5AF45B46}"/>
    <cellStyle name="20% - Accent5 2 2 2 4 3" xfId="5779" xr:uid="{00000000-0005-0000-0000-000090020000}"/>
    <cellStyle name="20% - Accent5 2 2 2 4 3 2" xfId="15105" xr:uid="{EFA347E5-0C42-45C5-8ED5-E33AC5751D0D}"/>
    <cellStyle name="20% - Accent5 2 2 2 4 4" xfId="10888" xr:uid="{697CF54C-8E75-45CC-BE37-E9DC0687F6A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FA9589BC-984F-4B39-ACAF-3AD058E0EB3E}"/>
    <cellStyle name="20% - Accent5 2 2 2 5 2 3" xfId="13446" xr:uid="{3BCA3E26-4BAB-4DAF-AE4E-AAA2623C364F}"/>
    <cellStyle name="20% - Accent5 2 2 2 5 3" xfId="6192" xr:uid="{00000000-0005-0000-0000-000094020000}"/>
    <cellStyle name="20% - Accent5 2 2 2 5 3 2" xfId="15518" xr:uid="{773B5570-E9B8-4CF9-B669-66898D2A1941}"/>
    <cellStyle name="20% - Accent5 2 2 2 5 4" xfId="11301" xr:uid="{F1F48E69-2474-45E5-A0B7-3E2FFCEC7B91}"/>
    <cellStyle name="20% - Accent5 2 2 2 6" xfId="2299" xr:uid="{00000000-0005-0000-0000-000095020000}"/>
    <cellStyle name="20% - Accent5 2 2 2 6 2" xfId="6605" xr:uid="{00000000-0005-0000-0000-000096020000}"/>
    <cellStyle name="20% - Accent5 2 2 2 6 2 2" xfId="15931" xr:uid="{CD8E602E-257C-4134-B1BA-58EAF355CE1F}"/>
    <cellStyle name="20% - Accent5 2 2 2 6 3" xfId="11714" xr:uid="{08EE1872-F787-4B7E-8726-9B879864D9EF}"/>
    <cellStyle name="20% - Accent5 2 2 2 7" xfId="4539" xr:uid="{00000000-0005-0000-0000-000097020000}"/>
    <cellStyle name="20% - Accent5 2 2 2 7 2" xfId="13865" xr:uid="{13A77844-58D3-4432-9DD9-0D93E8CD8B0F}"/>
    <cellStyle name="20% - Accent5 2 2 2 8" xfId="9106" xr:uid="{E7B219CB-83A9-494A-83ED-783719A0F1D9}"/>
    <cellStyle name="20% - Accent5 2 2 2 8 2" xfId="18430" xr:uid="{6A124D13-6FA8-4E94-9535-3DB0E1DBA1CA}"/>
    <cellStyle name="20% - Accent5 2 2 2 9" xfId="9648" xr:uid="{454A511F-70AD-4A66-8A69-E8E987350C14}"/>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B221E592-1238-44E8-A01A-B5725C49630A}"/>
    <cellStyle name="20% - Accent5 2 2 3 2 3" xfId="12206" xr:uid="{C8A5752F-E27C-4FA3-9924-BA03B822CA1A}"/>
    <cellStyle name="20% - Accent5 2 2 3 3" xfId="4952" xr:uid="{00000000-0005-0000-0000-00009B020000}"/>
    <cellStyle name="20% - Accent5 2 2 3 3 2" xfId="14278" xr:uid="{C015049E-5423-4059-9365-853EE98FA0BE}"/>
    <cellStyle name="20% - Accent5 2 2 3 4" xfId="9324" xr:uid="{6094FEE1-8E2A-466F-9CDF-43EB9EE581FF}"/>
    <cellStyle name="20% - Accent5 2 2 3 4 2" xfId="18639" xr:uid="{12BBB95D-A775-48BF-8C3A-ABCF7C83F72D}"/>
    <cellStyle name="20% - Accent5 2 2 3 5" xfId="10061" xr:uid="{6F3AF9F1-DFB4-4F69-A2D5-B253C70A6474}"/>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A84D68A7-34CB-4F71-A1B9-5B2DFE8169BF}"/>
    <cellStyle name="20% - Accent5 2 2 4 2 3" xfId="12619" xr:uid="{CCAB7707-F7CD-48CC-AB66-6474EAE760B3}"/>
    <cellStyle name="20% - Accent5 2 2 4 3" xfId="5365" xr:uid="{00000000-0005-0000-0000-00009F020000}"/>
    <cellStyle name="20% - Accent5 2 2 4 3 2" xfId="14691" xr:uid="{A1170E21-6657-4BB3-B659-AF80E2E6FDF7}"/>
    <cellStyle name="20% - Accent5 2 2 4 4" xfId="10474" xr:uid="{F185AFFE-2514-456F-B84E-304D68BA8B9F}"/>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4DBB0DDA-E3CF-4FC4-AB7C-7732F4AF62E7}"/>
    <cellStyle name="20% - Accent5 2 2 5 2 3" xfId="13032" xr:uid="{06B649B6-3D91-4023-8ABC-2E66F714640E}"/>
    <cellStyle name="20% - Accent5 2 2 5 3" xfId="5778" xr:uid="{00000000-0005-0000-0000-0000A3020000}"/>
    <cellStyle name="20% - Accent5 2 2 5 3 2" xfId="15104" xr:uid="{E5818C4E-3288-4F74-933D-0BBA4BC26BEF}"/>
    <cellStyle name="20% - Accent5 2 2 5 4" xfId="10887" xr:uid="{68479B22-B5C8-4163-B24F-117D1897C09F}"/>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CCB4AB93-BF9E-44F8-89E3-273B06F7F186}"/>
    <cellStyle name="20% - Accent5 2 2 6 2 3" xfId="13445" xr:uid="{54833679-6B99-4A3C-9771-75AB0E4A217D}"/>
    <cellStyle name="20% - Accent5 2 2 6 3" xfId="6191" xr:uid="{00000000-0005-0000-0000-0000A7020000}"/>
    <cellStyle name="20% - Accent5 2 2 6 3 2" xfId="15517" xr:uid="{B4012F4A-3B39-42B8-836E-FD5E6C1FB48A}"/>
    <cellStyle name="20% - Accent5 2 2 6 4" xfId="11300" xr:uid="{97413CB2-E4CD-4FA1-80DE-BFBC6A5073B1}"/>
    <cellStyle name="20% - Accent5 2 2 7" xfId="2298" xr:uid="{00000000-0005-0000-0000-0000A8020000}"/>
    <cellStyle name="20% - Accent5 2 2 7 2" xfId="6604" xr:uid="{00000000-0005-0000-0000-0000A9020000}"/>
    <cellStyle name="20% - Accent5 2 2 7 2 2" xfId="15930" xr:uid="{C233103D-1BED-4C5A-B404-10EE00E027BD}"/>
    <cellStyle name="20% - Accent5 2 2 7 3" xfId="11713" xr:uid="{5483AC37-A45B-4E6E-BF45-559C8CA810FD}"/>
    <cellStyle name="20% - Accent5 2 2 8" xfId="4538" xr:uid="{00000000-0005-0000-0000-0000AA020000}"/>
    <cellStyle name="20% - Accent5 2 2 8 2" xfId="13864" xr:uid="{E7102FE0-CEF7-48F5-A7FA-53BEEE264692}"/>
    <cellStyle name="20% - Accent5 2 2 9" xfId="8899" xr:uid="{0E8F9EC8-D565-41C9-B716-FF597FFF35B9}"/>
    <cellStyle name="20% - Accent5 2 2 9 2" xfId="18223" xr:uid="{4E53E301-2BC7-4E35-A3C4-AAF45923A8AF}"/>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BE072A7C-43F7-46C6-99F2-7E2110F6F923}"/>
    <cellStyle name="20% - Accent5 2 3 2 2 3" xfId="12208" xr:uid="{419CDC4E-2B16-4893-AED3-AE0C3C9ECA80}"/>
    <cellStyle name="20% - Accent5 2 3 2 3" xfId="4954" xr:uid="{00000000-0005-0000-0000-0000AF020000}"/>
    <cellStyle name="20% - Accent5 2 3 2 3 2" xfId="14280" xr:uid="{1EA09FED-C395-4557-B81F-5965CE38F50F}"/>
    <cellStyle name="20% - Accent5 2 3 2 4" xfId="9428" xr:uid="{B7820ACF-E1F3-4653-B5DD-FD829B169E84}"/>
    <cellStyle name="20% - Accent5 2 3 2 4 2" xfId="18743" xr:uid="{E4B7E596-57DC-48BD-9CE7-7186757C407C}"/>
    <cellStyle name="20% - Accent5 2 3 2 5" xfId="10063" xr:uid="{5254FA61-6CEE-4DC5-9915-102C2DF2FD0A}"/>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A84B059F-0730-4E4C-9901-ACC42A7274AD}"/>
    <cellStyle name="20% - Accent5 2 3 3 2 3" xfId="12621" xr:uid="{404D2E5E-D17F-4978-8556-3716558FE9AD}"/>
    <cellStyle name="20% - Accent5 2 3 3 3" xfId="5367" xr:uid="{00000000-0005-0000-0000-0000B3020000}"/>
    <cellStyle name="20% - Accent5 2 3 3 3 2" xfId="14693" xr:uid="{E3CAA088-40BA-4063-991B-9EB0C0BAF7B3}"/>
    <cellStyle name="20% - Accent5 2 3 3 4" xfId="10476" xr:uid="{8BA4DD0B-CB5D-4A72-AB17-3B7918A570AB}"/>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F8E7BA40-6A64-41D9-B2FE-DFFF9C9D127B}"/>
    <cellStyle name="20% - Accent5 2 3 4 2 3" xfId="13034" xr:uid="{196C7AA6-F077-48C0-9F86-AC8678E2512B}"/>
    <cellStyle name="20% - Accent5 2 3 4 3" xfId="5780" xr:uid="{00000000-0005-0000-0000-0000B7020000}"/>
    <cellStyle name="20% - Accent5 2 3 4 3 2" xfId="15106" xr:uid="{66F74E4D-EF6A-49E1-9149-CF0FB6C40FC3}"/>
    <cellStyle name="20% - Accent5 2 3 4 4" xfId="10889" xr:uid="{0EA28885-D453-4A2C-BECB-2F5D04D83702}"/>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A04A16C3-B840-4D32-9C30-90ECB4F129F2}"/>
    <cellStyle name="20% - Accent5 2 3 5 2 3" xfId="13447" xr:uid="{277B846A-EA90-41C0-A647-EDFF24620FE7}"/>
    <cellStyle name="20% - Accent5 2 3 5 3" xfId="6193" xr:uid="{00000000-0005-0000-0000-0000BB020000}"/>
    <cellStyle name="20% - Accent5 2 3 5 3 2" xfId="15519" xr:uid="{FF3D2FE2-F12F-490E-98F8-6158DC4C7AE7}"/>
    <cellStyle name="20% - Accent5 2 3 5 4" xfId="11302" xr:uid="{798C2629-91B1-40A3-8804-A23EA89192A6}"/>
    <cellStyle name="20% - Accent5 2 3 6" xfId="2300" xr:uid="{00000000-0005-0000-0000-0000BC020000}"/>
    <cellStyle name="20% - Accent5 2 3 6 2" xfId="6606" xr:uid="{00000000-0005-0000-0000-0000BD020000}"/>
    <cellStyle name="20% - Accent5 2 3 6 2 2" xfId="15932" xr:uid="{09B864D3-C1B3-4B72-B873-215294683D78}"/>
    <cellStyle name="20% - Accent5 2 3 6 3" xfId="11715" xr:uid="{F660C918-147B-41A0-9424-09D50F2E6886}"/>
    <cellStyle name="20% - Accent5 2 3 7" xfId="4540" xr:uid="{00000000-0005-0000-0000-0000BE020000}"/>
    <cellStyle name="20% - Accent5 2 3 7 2" xfId="13866" xr:uid="{A56266CB-D5C1-4814-971E-A450685B67F1}"/>
    <cellStyle name="20% - Accent5 2 3 8" xfId="9003" xr:uid="{9830E7D1-E361-4BA3-A986-3DCE647EEF8E}"/>
    <cellStyle name="20% - Accent5 2 3 8 2" xfId="18327" xr:uid="{C58E9CD9-35D3-4D59-820E-2360B53C38CF}"/>
    <cellStyle name="20% - Accent5 2 3 9" xfId="9649" xr:uid="{2CBBD3A7-6978-4F11-9486-66E6615C918D}"/>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A91F5A1F-BAA8-4409-A0FE-8C9C6C431439}"/>
    <cellStyle name="20% - Accent5 2 4 2 3" xfId="12205" xr:uid="{F7039EA5-ABA4-4AEF-B9E0-137959B266BC}"/>
    <cellStyle name="20% - Accent5 2 4 3" xfId="4951" xr:uid="{00000000-0005-0000-0000-0000C2020000}"/>
    <cellStyle name="20% - Accent5 2 4 3 2" xfId="14277" xr:uid="{04B842B7-0722-4EBF-A56B-019D93ACA4EF}"/>
    <cellStyle name="20% - Accent5 2 4 4" xfId="9220" xr:uid="{A7B88928-FE72-4C1B-B74E-3CA76DBA84CC}"/>
    <cellStyle name="20% - Accent5 2 4 4 2" xfId="18536" xr:uid="{80410E36-5D2F-4701-9779-C082EE88A490}"/>
    <cellStyle name="20% - Accent5 2 4 5" xfId="10060" xr:uid="{A799EDEF-1DB0-460C-8758-5F7CE14E6234}"/>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4B1F016D-5594-40A7-996F-9BBB79B6B7E1}"/>
    <cellStyle name="20% - Accent5 2 5 2 3" xfId="12618" xr:uid="{B3284C67-EE46-4D9D-85E4-1159F147F851}"/>
    <cellStyle name="20% - Accent5 2 5 3" xfId="5364" xr:uid="{00000000-0005-0000-0000-0000C6020000}"/>
    <cellStyle name="20% - Accent5 2 5 3 2" xfId="14690" xr:uid="{4ABFF771-67FC-4045-A0BA-27A68BF1262D}"/>
    <cellStyle name="20% - Accent5 2 5 4" xfId="10473" xr:uid="{BA2D2264-AE77-4502-93F2-E0089DE1D4F4}"/>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6AE61898-73D3-45C8-9E2D-9B5B05BD4BDE}"/>
    <cellStyle name="20% - Accent5 2 6 2 3" xfId="13031" xr:uid="{C860B818-22D7-4DE7-BF1C-22F40AC53B11}"/>
    <cellStyle name="20% - Accent5 2 6 3" xfId="5777" xr:uid="{00000000-0005-0000-0000-0000CA020000}"/>
    <cellStyle name="20% - Accent5 2 6 3 2" xfId="15103" xr:uid="{D067E4DF-6E89-4B69-B195-1612A5C2F7E7}"/>
    <cellStyle name="20% - Accent5 2 6 4" xfId="10886" xr:uid="{0D45D466-FCBD-4919-BFA9-D52BB8A03E9C}"/>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96E69D63-BF61-4A9E-80E2-5E2B35A8B25C}"/>
    <cellStyle name="20% - Accent5 2 7 2 3" xfId="13444" xr:uid="{CAFFA4EE-C801-44B8-993C-41D678B1DA62}"/>
    <cellStyle name="20% - Accent5 2 7 3" xfId="6190" xr:uid="{00000000-0005-0000-0000-0000CE020000}"/>
    <cellStyle name="20% - Accent5 2 7 3 2" xfId="15516" xr:uid="{8554C4D3-98B1-4812-88C5-EE26BE133055}"/>
    <cellStyle name="20% - Accent5 2 7 4" xfId="11299" xr:uid="{6D303408-2B1F-4784-BB55-419D3761F6DA}"/>
    <cellStyle name="20% - Accent5 2 8" xfId="2297" xr:uid="{00000000-0005-0000-0000-0000CF020000}"/>
    <cellStyle name="20% - Accent5 2 8 2" xfId="6603" xr:uid="{00000000-0005-0000-0000-0000D0020000}"/>
    <cellStyle name="20% - Accent5 2 8 2 2" xfId="15929" xr:uid="{E6DD0676-9FD2-4A2B-BCCD-674AFC1F9021}"/>
    <cellStyle name="20% - Accent5 2 8 3" xfId="11712" xr:uid="{3C3DF12F-A6C0-4CEC-8BDA-85E3F7F96D92}"/>
    <cellStyle name="20% - Accent5 2 9" xfId="4537" xr:uid="{00000000-0005-0000-0000-0000D1020000}"/>
    <cellStyle name="20% - Accent5 2 9 2" xfId="13863" xr:uid="{29A3B41C-7237-4980-8AB4-F1C734390E2D}"/>
    <cellStyle name="20% - Accent5 3" xfId="38" xr:uid="{00000000-0005-0000-0000-0000D2020000}"/>
    <cellStyle name="20% - Accent5 3 10" xfId="9650" xr:uid="{50D3A7E9-673F-42AF-BAA4-B9104C156192}"/>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84163157-656E-452C-9C0E-A31A23C31AAB}"/>
    <cellStyle name="20% - Accent5 3 2 2 2 3" xfId="12210" xr:uid="{F6C08595-4939-46E0-80E7-419F6C19117A}"/>
    <cellStyle name="20% - Accent5 3 2 2 3" xfId="4956" xr:uid="{00000000-0005-0000-0000-0000D7020000}"/>
    <cellStyle name="20% - Accent5 3 2 2 3 2" xfId="14282" xr:uid="{3005682C-5915-479F-B1B5-C38ABCDBB170}"/>
    <cellStyle name="20% - Accent5 3 2 2 4" xfId="9501" xr:uid="{82A590A5-96D4-476E-8E6F-D81EEE08C409}"/>
    <cellStyle name="20% - Accent5 3 2 2 4 2" xfId="18816" xr:uid="{7AD22C84-6C0F-49AB-A8D1-C966567161CD}"/>
    <cellStyle name="20% - Accent5 3 2 2 5" xfId="10065" xr:uid="{84E1F205-CD81-4E06-9A36-931D7D6B4CFE}"/>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7F4237D6-F287-42E4-A2C1-AC16270BF853}"/>
    <cellStyle name="20% - Accent5 3 2 3 2 3" xfId="12623" xr:uid="{00658ABB-31EC-4279-97CD-005CE6707A7D}"/>
    <cellStyle name="20% - Accent5 3 2 3 3" xfId="5369" xr:uid="{00000000-0005-0000-0000-0000DB020000}"/>
    <cellStyle name="20% - Accent5 3 2 3 3 2" xfId="14695" xr:uid="{11879380-AA15-4F41-A6B4-0DA20E1A2739}"/>
    <cellStyle name="20% - Accent5 3 2 3 4" xfId="10478" xr:uid="{CEA9F4D3-7E9B-4FA2-B23F-C12A219D0BA3}"/>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EC9A869B-EE7B-4B12-A877-840A99EA51AB}"/>
    <cellStyle name="20% - Accent5 3 2 4 2 3" xfId="13036" xr:uid="{6D906187-9201-4E85-B0D6-E9858FDA08CD}"/>
    <cellStyle name="20% - Accent5 3 2 4 3" xfId="5782" xr:uid="{00000000-0005-0000-0000-0000DF020000}"/>
    <cellStyle name="20% - Accent5 3 2 4 3 2" xfId="15108" xr:uid="{78D04A8E-B749-4CD8-A8D0-C9B2EAD81555}"/>
    <cellStyle name="20% - Accent5 3 2 4 4" xfId="10891" xr:uid="{540EB3DB-7A48-41AF-8416-1F8DAED67099}"/>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6DCF3398-31B0-4B31-9E20-9D916A1B2C95}"/>
    <cellStyle name="20% - Accent5 3 2 5 2 3" xfId="13449" xr:uid="{04430F4E-20A8-48AA-A324-E0F970341848}"/>
    <cellStyle name="20% - Accent5 3 2 5 3" xfId="6195" xr:uid="{00000000-0005-0000-0000-0000E3020000}"/>
    <cellStyle name="20% - Accent5 3 2 5 3 2" xfId="15521" xr:uid="{C8066B17-46B8-4B9F-9B48-8FD5F4419422}"/>
    <cellStyle name="20% - Accent5 3 2 5 4" xfId="11304" xr:uid="{B821E605-847D-4433-99F6-7553818B3E24}"/>
    <cellStyle name="20% - Accent5 3 2 6" xfId="2302" xr:uid="{00000000-0005-0000-0000-0000E4020000}"/>
    <cellStyle name="20% - Accent5 3 2 6 2" xfId="6608" xr:uid="{00000000-0005-0000-0000-0000E5020000}"/>
    <cellStyle name="20% - Accent5 3 2 6 2 2" xfId="15934" xr:uid="{9BAC1C72-D872-4580-930F-4DE85E0B7EC2}"/>
    <cellStyle name="20% - Accent5 3 2 6 3" xfId="11717" xr:uid="{241F163D-938D-4DED-88A4-66752794382E}"/>
    <cellStyle name="20% - Accent5 3 2 7" xfId="4542" xr:uid="{00000000-0005-0000-0000-0000E6020000}"/>
    <cellStyle name="20% - Accent5 3 2 7 2" xfId="13868" xr:uid="{B8403ACF-C172-4E62-AD83-64AF4B764847}"/>
    <cellStyle name="20% - Accent5 3 2 8" xfId="9076" xr:uid="{BEDF1D01-35A3-4513-9363-9C1AFC748168}"/>
    <cellStyle name="20% - Accent5 3 2 8 2" xfId="18400" xr:uid="{17A49987-F57B-4994-8555-AD5CAEA47157}"/>
    <cellStyle name="20% - Accent5 3 2 9" xfId="9651" xr:uid="{1BD1CC1B-23B3-4A25-B58B-3F1DDA334405}"/>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90C33388-6595-456E-ACC5-187D105C1F6F}"/>
    <cellStyle name="20% - Accent5 3 3 2 3" xfId="12209" xr:uid="{EC36057D-5BE6-46F8-A91D-217ADDF06AEC}"/>
    <cellStyle name="20% - Accent5 3 3 3" xfId="4955" xr:uid="{00000000-0005-0000-0000-0000EA020000}"/>
    <cellStyle name="20% - Accent5 3 3 3 2" xfId="14281" xr:uid="{7A57A68C-B89E-4786-A19E-02E0C1A968BA}"/>
    <cellStyle name="20% - Accent5 3 3 4" xfId="9294" xr:uid="{124960EA-C7A4-4686-BF67-47D6C57F7EEB}"/>
    <cellStyle name="20% - Accent5 3 3 4 2" xfId="18609" xr:uid="{25E03581-1109-42A2-95DC-8702163BB574}"/>
    <cellStyle name="20% - Accent5 3 3 5" xfId="10064" xr:uid="{6F8B99A8-B901-412C-8BDB-9661969248F4}"/>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E3594A2B-C2A4-4981-8BB4-F5319FE39CD8}"/>
    <cellStyle name="20% - Accent5 3 4 2 3" xfId="12622" xr:uid="{3E3DC3DB-681B-4777-9B84-FEFD25DA427B}"/>
    <cellStyle name="20% - Accent5 3 4 3" xfId="5368" xr:uid="{00000000-0005-0000-0000-0000EE020000}"/>
    <cellStyle name="20% - Accent5 3 4 3 2" xfId="14694" xr:uid="{BDD61532-CEF2-45A2-B87F-A970A5BFFD19}"/>
    <cellStyle name="20% - Accent5 3 4 4" xfId="10477" xr:uid="{7553CC4D-3248-450F-A539-2CD39AD5145B}"/>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001974E6-F591-4F0F-ABC8-D1804C842013}"/>
    <cellStyle name="20% - Accent5 3 5 2 3" xfId="13035" xr:uid="{5172C60A-6D2D-4BFF-B82B-B4EF9AF939BE}"/>
    <cellStyle name="20% - Accent5 3 5 3" xfId="5781" xr:uid="{00000000-0005-0000-0000-0000F2020000}"/>
    <cellStyle name="20% - Accent5 3 5 3 2" xfId="15107" xr:uid="{F444B4CB-74B6-4A45-8780-E48ABEF5D0B0}"/>
    <cellStyle name="20% - Accent5 3 5 4" xfId="10890" xr:uid="{BC26258F-F402-4F60-A288-A635ABE195BB}"/>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E413CB05-8DCD-4AA8-A25D-6DAAF4A5360E}"/>
    <cellStyle name="20% - Accent5 3 6 2 3" xfId="13448" xr:uid="{0E3B835D-AC92-4A06-9B60-CE1228DB6A29}"/>
    <cellStyle name="20% - Accent5 3 6 3" xfId="6194" xr:uid="{00000000-0005-0000-0000-0000F6020000}"/>
    <cellStyle name="20% - Accent5 3 6 3 2" xfId="15520" xr:uid="{8D3808FA-A806-45FC-972B-DBD375CF6477}"/>
    <cellStyle name="20% - Accent5 3 6 4" xfId="11303" xr:uid="{261D4E77-2628-4FA6-B2B5-C42FB97AD285}"/>
    <cellStyle name="20% - Accent5 3 7" xfId="2301" xr:uid="{00000000-0005-0000-0000-0000F7020000}"/>
    <cellStyle name="20% - Accent5 3 7 2" xfId="6607" xr:uid="{00000000-0005-0000-0000-0000F8020000}"/>
    <cellStyle name="20% - Accent5 3 7 2 2" xfId="15933" xr:uid="{CBD890BF-5C0C-45D8-B509-CA2204CCE695}"/>
    <cellStyle name="20% - Accent5 3 7 3" xfId="11716" xr:uid="{9C5C17E3-D37F-4BF8-84D5-0A57DDBFE5E3}"/>
    <cellStyle name="20% - Accent5 3 8" xfId="4541" xr:uid="{00000000-0005-0000-0000-0000F9020000}"/>
    <cellStyle name="20% - Accent5 3 8 2" xfId="13867" xr:uid="{3717DEF3-3725-43FE-93B4-26521A4C477A}"/>
    <cellStyle name="20% - Accent5 3 9" xfId="8869" xr:uid="{43CC8A87-AEEB-4E51-98E7-F8AE8D86AD2B}"/>
    <cellStyle name="20% - Accent5 3 9 2" xfId="18193" xr:uid="{241E913F-EBF7-4BB6-B306-1B5A520E82A1}"/>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BC646DC4-9C80-4484-AD51-EE643DE35733}"/>
    <cellStyle name="20% - Accent5 4 2 2 3" xfId="12211" xr:uid="{F28FCF4E-4EAA-4065-887D-5EF438519034}"/>
    <cellStyle name="20% - Accent5 4 2 3" xfId="4957" xr:uid="{00000000-0005-0000-0000-0000FE020000}"/>
    <cellStyle name="20% - Accent5 4 2 3 2" xfId="14283" xr:uid="{0723F21B-F30A-4B99-9481-7E5379B4E759}"/>
    <cellStyle name="20% - Accent5 4 2 4" xfId="9380" xr:uid="{1C764D65-D71C-4646-AD86-15F83BDBF498}"/>
    <cellStyle name="20% - Accent5 4 2 4 2" xfId="18695" xr:uid="{FEDCFB4E-C937-4C4F-ACD7-979C63D9D81A}"/>
    <cellStyle name="20% - Accent5 4 2 5" xfId="10066" xr:uid="{EDA64B8B-9C07-4445-BF08-C1DEE39CCFF5}"/>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3870BB84-DCDB-4F10-9CFF-7014EC4FC5DB}"/>
    <cellStyle name="20% - Accent5 4 3 2 3" xfId="12624" xr:uid="{49DD7A93-12D4-4772-B2C9-9861D1EC546B}"/>
    <cellStyle name="20% - Accent5 4 3 3" xfId="5370" xr:uid="{00000000-0005-0000-0000-000002030000}"/>
    <cellStyle name="20% - Accent5 4 3 3 2" xfId="14696" xr:uid="{4734C2F2-F2F2-4AF5-8E37-FD248B7C578F}"/>
    <cellStyle name="20% - Accent5 4 3 4" xfId="10479" xr:uid="{E70B0077-884F-46D3-9459-CCAA573828B1}"/>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36711649-F8D3-43B0-B5B1-7AE431F168C4}"/>
    <cellStyle name="20% - Accent5 4 4 2 3" xfId="13037" xr:uid="{C7D13306-DFC8-40D4-9D95-CA0FC856D318}"/>
    <cellStyle name="20% - Accent5 4 4 3" xfId="5783" xr:uid="{00000000-0005-0000-0000-000006030000}"/>
    <cellStyle name="20% - Accent5 4 4 3 2" xfId="15109" xr:uid="{49547A5D-5C21-4B9E-8287-580FCA79174D}"/>
    <cellStyle name="20% - Accent5 4 4 4" xfId="10892" xr:uid="{31AD2C3C-09CD-43D2-8DD2-08A9A83BD0CD}"/>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07B3BC1B-74FE-4FC0-BD45-A221859A61F1}"/>
    <cellStyle name="20% - Accent5 4 5 2 3" xfId="13450" xr:uid="{3A4D2368-5D13-4742-85B4-4E27FB96D836}"/>
    <cellStyle name="20% - Accent5 4 5 3" xfId="6196" xr:uid="{00000000-0005-0000-0000-00000A030000}"/>
    <cellStyle name="20% - Accent5 4 5 3 2" xfId="15522" xr:uid="{1CC8DA96-6347-46D9-B828-41BC83AA9F05}"/>
    <cellStyle name="20% - Accent5 4 5 4" xfId="11305" xr:uid="{ED3895AC-44F8-41C0-AF64-2E2C0EB954B3}"/>
    <cellStyle name="20% - Accent5 4 6" xfId="2303" xr:uid="{00000000-0005-0000-0000-00000B030000}"/>
    <cellStyle name="20% - Accent5 4 6 2" xfId="6609" xr:uid="{00000000-0005-0000-0000-00000C030000}"/>
    <cellStyle name="20% - Accent5 4 6 2 2" xfId="15935" xr:uid="{F2CFC948-74A6-4A86-BAC6-5D32BF58E9E1}"/>
    <cellStyle name="20% - Accent5 4 6 3" xfId="11718" xr:uid="{9D6CD4AE-43DD-4BE8-8979-24AD998385D0}"/>
    <cellStyle name="20% - Accent5 4 7" xfId="4543" xr:uid="{00000000-0005-0000-0000-00000D030000}"/>
    <cellStyle name="20% - Accent5 4 7 2" xfId="13869" xr:uid="{F7DCD443-9091-41FA-83A0-5B017642E8EE}"/>
    <cellStyle name="20% - Accent5 4 8" xfId="8955" xr:uid="{8AD43D76-8747-44EC-8D3B-2720ADF9D1B1}"/>
    <cellStyle name="20% - Accent5 4 8 2" xfId="18279" xr:uid="{BA770E9C-DD32-4C18-95BE-A9D5D42B9A23}"/>
    <cellStyle name="20% - Accent5 4 9" xfId="9652" xr:uid="{AFCB3758-4F94-40F8-BED8-45BB9B63B575}"/>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1C1EA009-4122-4CC4-BC67-4136D757FF37}"/>
    <cellStyle name="20% - Accent5 5 2 3" xfId="12204" xr:uid="{A8D1723B-A23B-4AF8-8824-E44E440D4DA6}"/>
    <cellStyle name="20% - Accent5 5 3" xfId="4950" xr:uid="{00000000-0005-0000-0000-000011030000}"/>
    <cellStyle name="20% - Accent5 5 3 2" xfId="14276" xr:uid="{A20BBF53-526C-44DC-9204-0D7B4C07AE4F}"/>
    <cellStyle name="20% - Accent5 5 4" xfId="9188" xr:uid="{164CF7CE-7706-426C-90AA-4867A06E28BD}"/>
    <cellStyle name="20% - Accent5 5 4 2" xfId="18506" xr:uid="{20593EE2-C3D5-4387-8419-565BD13E18A9}"/>
    <cellStyle name="20% - Accent5 5 5" xfId="10059" xr:uid="{B7B9F739-1ADF-4524-8484-0BDF06EC895D}"/>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852AB07F-6912-473D-847C-22E3875B29FF}"/>
    <cellStyle name="20% - Accent5 6 2 3" xfId="12617" xr:uid="{1ACE2CE2-8C26-4A1F-B148-6E4ABD9E9C9F}"/>
    <cellStyle name="20% - Accent5 6 3" xfId="5363" xr:uid="{00000000-0005-0000-0000-000015030000}"/>
    <cellStyle name="20% - Accent5 6 3 2" xfId="14689" xr:uid="{1CF2EEF7-BFB6-4DE7-B1A8-30A5D4A3B765}"/>
    <cellStyle name="20% - Accent5 6 4" xfId="10472" xr:uid="{4F4F6428-C57E-4322-8556-38D967BC6C82}"/>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DEF06A02-FC1E-4C2F-86D8-92F916237863}"/>
    <cellStyle name="20% - Accent5 7 2 3" xfId="13030" xr:uid="{429169AF-C4EA-49F3-B0A4-659FBC4A675A}"/>
    <cellStyle name="20% - Accent5 7 3" xfId="5776" xr:uid="{00000000-0005-0000-0000-000019030000}"/>
    <cellStyle name="20% - Accent5 7 3 2" xfId="15102" xr:uid="{46054597-D9B0-49A1-A15D-51A5C56164E2}"/>
    <cellStyle name="20% - Accent5 7 4" xfId="10885" xr:uid="{4BC7387E-3E3D-4A90-B003-FF6273C0A32C}"/>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782F33CC-F77D-4B45-80F5-AAC0CA9B96BE}"/>
    <cellStyle name="20% - Accent5 8 2 3" xfId="13443" xr:uid="{77DB0864-BDF3-4858-8D1A-9627FAFA202C}"/>
    <cellStyle name="20% - Accent5 8 3" xfId="6189" xr:uid="{00000000-0005-0000-0000-00001D030000}"/>
    <cellStyle name="20% - Accent5 8 3 2" xfId="15515" xr:uid="{51092F79-8C80-4D3D-9140-DBD870BA4C0C}"/>
    <cellStyle name="20% - Accent5 8 4" xfId="11298" xr:uid="{BD28F198-1F6D-4696-BD1B-39B58701B686}"/>
    <cellStyle name="20% - Accent5 9" xfId="2296" xr:uid="{00000000-0005-0000-0000-00001E030000}"/>
    <cellStyle name="20% - Accent5 9 2" xfId="6602" xr:uid="{00000000-0005-0000-0000-00001F030000}"/>
    <cellStyle name="20% - Accent5 9 2 2" xfId="15928" xr:uid="{DC72F795-174B-44F2-B480-6EDEE14C1C8B}"/>
    <cellStyle name="20% - Accent5 9 3" xfId="11711" xr:uid="{BF5C749C-4674-48CE-AC97-7C2384CECF8E}"/>
    <cellStyle name="20% - Accent6" xfId="41" builtinId="50" customBuiltin="1"/>
    <cellStyle name="20% - Accent6 10" xfId="4544" xr:uid="{00000000-0005-0000-0000-000021030000}"/>
    <cellStyle name="20% - Accent6 10 2" xfId="13870" xr:uid="{BCCE395F-B3D6-4BBF-A472-B1B9DF08B3BD}"/>
    <cellStyle name="20% - Accent6 11" xfId="8768" xr:uid="{5A1F1293-A19F-445F-908A-D9DBB6265CA0}"/>
    <cellStyle name="20% - Accent6 11 2" xfId="18092" xr:uid="{E4BD2C7A-B841-48CA-A03D-3A3B70DE9767}"/>
    <cellStyle name="20% - Accent6 12" xfId="9653" xr:uid="{63498459-F05A-41E1-99C5-50047FAEB6EE}"/>
    <cellStyle name="20% - Accent6 2" xfId="42" xr:uid="{00000000-0005-0000-0000-000022030000}"/>
    <cellStyle name="20% - Accent6 2 10" xfId="8795" xr:uid="{9A35B19E-8802-437A-ABDC-7B06A4E07F58}"/>
    <cellStyle name="20% - Accent6 2 10 2" xfId="18119" xr:uid="{A96C7BC9-5CEF-4BDA-9D5D-2EEFB7D34563}"/>
    <cellStyle name="20% - Accent6 2 11" xfId="9654" xr:uid="{00BBE094-47DD-483C-811E-703B2194EE1F}"/>
    <cellStyle name="20% - Accent6 2 2" xfId="43" xr:uid="{00000000-0005-0000-0000-000023030000}"/>
    <cellStyle name="20% - Accent6 2 2 10" xfId="9655" xr:uid="{417AAAA7-63E7-431C-B67F-6055064AAB89}"/>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1F392AB3-365E-40CB-A79B-4FC841B9E3BA}"/>
    <cellStyle name="20% - Accent6 2 2 2 2 2 3" xfId="12215" xr:uid="{8FBE6FA7-D0A5-406C-9259-11AD500605D6}"/>
    <cellStyle name="20% - Accent6 2 2 2 2 3" xfId="4961" xr:uid="{00000000-0005-0000-0000-000028030000}"/>
    <cellStyle name="20% - Accent6 2 2 2 2 3 2" xfId="14287" xr:uid="{0A077F9F-871E-46EF-A2C8-06BCF0999A46}"/>
    <cellStyle name="20% - Accent6 2 2 2 2 4" xfId="9530" xr:uid="{AFD3EE0E-70EF-4C1B-B994-7B8E7E8187BC}"/>
    <cellStyle name="20% - Accent6 2 2 2 2 4 2" xfId="18845" xr:uid="{4D4B46FE-15B6-4352-87DC-8CFCD7F49C91}"/>
    <cellStyle name="20% - Accent6 2 2 2 2 5" xfId="10070" xr:uid="{9F81C65C-2CA2-43C7-A0F6-9AD6DDE6F796}"/>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6A5FFC0F-CBF2-4A5C-AA9C-CBBABA34E218}"/>
    <cellStyle name="20% - Accent6 2 2 2 3 2 3" xfId="12628" xr:uid="{7C894750-4C78-4347-BA0A-D8353E9A9090}"/>
    <cellStyle name="20% - Accent6 2 2 2 3 3" xfId="5374" xr:uid="{00000000-0005-0000-0000-00002C030000}"/>
    <cellStyle name="20% - Accent6 2 2 2 3 3 2" xfId="14700" xr:uid="{6CB34B2D-7F52-42C1-B727-294F92F00C44}"/>
    <cellStyle name="20% - Accent6 2 2 2 3 4" xfId="10483" xr:uid="{8042B05A-EE3B-4BAB-8321-2D552AC6EF1A}"/>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D6FBEC01-1FE2-4DC4-B0E4-7DA04D4F2A1F}"/>
    <cellStyle name="20% - Accent6 2 2 2 4 2 3" xfId="13041" xr:uid="{C0F1BFC0-7677-4195-B5E1-F4DDFB99A9BD}"/>
    <cellStyle name="20% - Accent6 2 2 2 4 3" xfId="5787" xr:uid="{00000000-0005-0000-0000-000030030000}"/>
    <cellStyle name="20% - Accent6 2 2 2 4 3 2" xfId="15113" xr:uid="{A5EB6BAF-49B3-4154-977B-75E6168AAFBB}"/>
    <cellStyle name="20% - Accent6 2 2 2 4 4" xfId="10896" xr:uid="{7AD88618-A196-4F44-A9A7-1E54C10DD543}"/>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CF168A30-30EA-495B-A90C-329B21D607FD}"/>
    <cellStyle name="20% - Accent6 2 2 2 5 2 3" xfId="13454" xr:uid="{F72F15FA-30C5-450C-A82F-20D4F95080B9}"/>
    <cellStyle name="20% - Accent6 2 2 2 5 3" xfId="6200" xr:uid="{00000000-0005-0000-0000-000034030000}"/>
    <cellStyle name="20% - Accent6 2 2 2 5 3 2" xfId="15526" xr:uid="{6DC54081-5743-4474-87C2-54797379EF60}"/>
    <cellStyle name="20% - Accent6 2 2 2 5 4" xfId="11309" xr:uid="{BBC1716A-E960-4F09-BE2C-74E256684431}"/>
    <cellStyle name="20% - Accent6 2 2 2 6" xfId="2307" xr:uid="{00000000-0005-0000-0000-000035030000}"/>
    <cellStyle name="20% - Accent6 2 2 2 6 2" xfId="6613" xr:uid="{00000000-0005-0000-0000-000036030000}"/>
    <cellStyle name="20% - Accent6 2 2 2 6 2 2" xfId="15939" xr:uid="{4178FBCD-9942-4528-B374-CCBA45658BC3}"/>
    <cellStyle name="20% - Accent6 2 2 2 6 3" xfId="11722" xr:uid="{C7FCAC75-28F1-48B0-81F0-55F1F95E21BB}"/>
    <cellStyle name="20% - Accent6 2 2 2 7" xfId="4547" xr:uid="{00000000-0005-0000-0000-000037030000}"/>
    <cellStyle name="20% - Accent6 2 2 2 7 2" xfId="13873" xr:uid="{81AE949F-E06B-4C8C-9213-4AE821D49429}"/>
    <cellStyle name="20% - Accent6 2 2 2 8" xfId="9105" xr:uid="{2D3B6B01-F2FB-4D08-A7F9-9902961EFB46}"/>
    <cellStyle name="20% - Accent6 2 2 2 8 2" xfId="18429" xr:uid="{72667854-90A1-471B-8236-2862C4CF30EB}"/>
    <cellStyle name="20% - Accent6 2 2 2 9" xfId="9656" xr:uid="{510DBF94-5244-444F-83D6-69203299CF48}"/>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24DDAE07-398B-4544-B243-E663E6BC7B60}"/>
    <cellStyle name="20% - Accent6 2 2 3 2 3" xfId="12214" xr:uid="{3BF68D9D-7DF2-4CDB-82B7-ABAAE3024521}"/>
    <cellStyle name="20% - Accent6 2 2 3 3" xfId="4960" xr:uid="{00000000-0005-0000-0000-00003B030000}"/>
    <cellStyle name="20% - Accent6 2 2 3 3 2" xfId="14286" xr:uid="{223D258A-4E4C-4E05-A556-BA56EFF32BC7}"/>
    <cellStyle name="20% - Accent6 2 2 3 4" xfId="9323" xr:uid="{93CC3C58-EC1C-4AC6-8D02-E00EFD80A494}"/>
    <cellStyle name="20% - Accent6 2 2 3 4 2" xfId="18638" xr:uid="{FEC5C66D-24C7-43F4-BAC2-D0B666587164}"/>
    <cellStyle name="20% - Accent6 2 2 3 5" xfId="10069" xr:uid="{3C5B36DC-7DC2-471C-84E1-24B10733F30D}"/>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F4C6413B-6157-48F2-A287-404C0AF88C57}"/>
    <cellStyle name="20% - Accent6 2 2 4 2 3" xfId="12627" xr:uid="{0167BE78-9319-4E1D-B9EE-0690A4642895}"/>
    <cellStyle name="20% - Accent6 2 2 4 3" xfId="5373" xr:uid="{00000000-0005-0000-0000-00003F030000}"/>
    <cellStyle name="20% - Accent6 2 2 4 3 2" xfId="14699" xr:uid="{89EFBAC8-61AD-4CAE-B8BA-58FA147C6ED5}"/>
    <cellStyle name="20% - Accent6 2 2 4 4" xfId="10482" xr:uid="{71848667-2B92-4F60-951A-C576E545DCA1}"/>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285366FB-A51E-43E0-BD93-2D1901D6F7E9}"/>
    <cellStyle name="20% - Accent6 2 2 5 2 3" xfId="13040" xr:uid="{20F234AA-15A7-4E33-8790-AAC340D55404}"/>
    <cellStyle name="20% - Accent6 2 2 5 3" xfId="5786" xr:uid="{00000000-0005-0000-0000-000043030000}"/>
    <cellStyle name="20% - Accent6 2 2 5 3 2" xfId="15112" xr:uid="{51F18595-409F-4413-9C77-75E3CF0CC9AF}"/>
    <cellStyle name="20% - Accent6 2 2 5 4" xfId="10895" xr:uid="{23351C04-333E-407F-8C34-BBD463836D4B}"/>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2F1238BB-3776-4F56-9D6C-435F5A82C165}"/>
    <cellStyle name="20% - Accent6 2 2 6 2 3" xfId="13453" xr:uid="{2F517C67-B08C-4FA6-944E-E1DFCA8BD2D6}"/>
    <cellStyle name="20% - Accent6 2 2 6 3" xfId="6199" xr:uid="{00000000-0005-0000-0000-000047030000}"/>
    <cellStyle name="20% - Accent6 2 2 6 3 2" xfId="15525" xr:uid="{6C9B583D-1929-40F8-B04E-8B0CC1271C8F}"/>
    <cellStyle name="20% - Accent6 2 2 6 4" xfId="11308" xr:uid="{66705753-5497-4E46-A6FD-6A01D17F19E0}"/>
    <cellStyle name="20% - Accent6 2 2 7" xfId="2306" xr:uid="{00000000-0005-0000-0000-000048030000}"/>
    <cellStyle name="20% - Accent6 2 2 7 2" xfId="6612" xr:uid="{00000000-0005-0000-0000-000049030000}"/>
    <cellStyle name="20% - Accent6 2 2 7 2 2" xfId="15938" xr:uid="{12B0787C-F361-4F04-BDE6-0F6D0E3976B4}"/>
    <cellStyle name="20% - Accent6 2 2 7 3" xfId="11721" xr:uid="{0003F065-F0E9-4E55-ABA3-4F3C37AB2D62}"/>
    <cellStyle name="20% - Accent6 2 2 8" xfId="4546" xr:uid="{00000000-0005-0000-0000-00004A030000}"/>
    <cellStyle name="20% - Accent6 2 2 8 2" xfId="13872" xr:uid="{358F44C3-A474-4379-AFEC-29E8351C5D42}"/>
    <cellStyle name="20% - Accent6 2 2 9" xfId="8898" xr:uid="{88686F75-037F-4072-9BDC-942546C51E8F}"/>
    <cellStyle name="20% - Accent6 2 2 9 2" xfId="18222" xr:uid="{FCFFDF1E-164A-4E20-9A78-AD84A8E88548}"/>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06847345-081B-4CEE-B3F2-F69F03FAE0A6}"/>
    <cellStyle name="20% - Accent6 2 3 2 2 3" xfId="12216" xr:uid="{466B52D2-4013-4430-8901-00899BE6C3FD}"/>
    <cellStyle name="20% - Accent6 2 3 2 3" xfId="4962" xr:uid="{00000000-0005-0000-0000-00004F030000}"/>
    <cellStyle name="20% - Accent6 2 3 2 3 2" xfId="14288" xr:uid="{2ED8EDD7-30AA-420E-ADCF-B3BBEC7AE6D4}"/>
    <cellStyle name="20% - Accent6 2 3 2 4" xfId="9427" xr:uid="{009378B6-C0A8-4C7C-A9A2-F91104842D93}"/>
    <cellStyle name="20% - Accent6 2 3 2 4 2" xfId="18742" xr:uid="{625F804B-CEA4-4994-9ED7-042DAD175D29}"/>
    <cellStyle name="20% - Accent6 2 3 2 5" xfId="10071" xr:uid="{0E51E300-4995-4D1D-8416-A6EEDCE24602}"/>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1CEA1E60-41B5-4F89-A270-A8AFCF537394}"/>
    <cellStyle name="20% - Accent6 2 3 3 2 3" xfId="12629" xr:uid="{4623C57B-B971-4D48-A998-ECD9A183A86B}"/>
    <cellStyle name="20% - Accent6 2 3 3 3" xfId="5375" xr:uid="{00000000-0005-0000-0000-000053030000}"/>
    <cellStyle name="20% - Accent6 2 3 3 3 2" xfId="14701" xr:uid="{A6A7D80E-8DA3-4440-9B22-358B05C6FF19}"/>
    <cellStyle name="20% - Accent6 2 3 3 4" xfId="10484" xr:uid="{912A7249-8142-4D1A-A9A5-7FAF4E2DD08D}"/>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CD5DAC9B-0045-4209-A1E6-8DFF990821D6}"/>
    <cellStyle name="20% - Accent6 2 3 4 2 3" xfId="13042" xr:uid="{C34CC9F1-C25B-4103-A97C-2DE017424CF7}"/>
    <cellStyle name="20% - Accent6 2 3 4 3" xfId="5788" xr:uid="{00000000-0005-0000-0000-000057030000}"/>
    <cellStyle name="20% - Accent6 2 3 4 3 2" xfId="15114" xr:uid="{F53400E5-7CE8-43E5-BB6C-9FE1DD135115}"/>
    <cellStyle name="20% - Accent6 2 3 4 4" xfId="10897" xr:uid="{A3EBABB8-1493-4925-8A70-8AECD3E99913}"/>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282E3F2A-4519-4F20-AAF7-BC6CADDDFAA8}"/>
    <cellStyle name="20% - Accent6 2 3 5 2 3" xfId="13455" xr:uid="{4A321C49-60A7-4F9A-BA98-0CC241464F9B}"/>
    <cellStyle name="20% - Accent6 2 3 5 3" xfId="6201" xr:uid="{00000000-0005-0000-0000-00005B030000}"/>
    <cellStyle name="20% - Accent6 2 3 5 3 2" xfId="15527" xr:uid="{96B98FE9-A415-4412-B993-C10C70683591}"/>
    <cellStyle name="20% - Accent6 2 3 5 4" xfId="11310" xr:uid="{54596BE5-70F0-4D27-9A6F-2C14862519E2}"/>
    <cellStyle name="20% - Accent6 2 3 6" xfId="2308" xr:uid="{00000000-0005-0000-0000-00005C030000}"/>
    <cellStyle name="20% - Accent6 2 3 6 2" xfId="6614" xr:uid="{00000000-0005-0000-0000-00005D030000}"/>
    <cellStyle name="20% - Accent6 2 3 6 2 2" xfId="15940" xr:uid="{192CE536-C192-4CE7-B4EB-9FF200379AD5}"/>
    <cellStyle name="20% - Accent6 2 3 6 3" xfId="11723" xr:uid="{44BAF4AE-04FE-49AE-927D-05085FB8AB3C}"/>
    <cellStyle name="20% - Accent6 2 3 7" xfId="4548" xr:uid="{00000000-0005-0000-0000-00005E030000}"/>
    <cellStyle name="20% - Accent6 2 3 7 2" xfId="13874" xr:uid="{DDBBAE88-D4A6-43D4-A38D-A6B9BC6FDB0E}"/>
    <cellStyle name="20% - Accent6 2 3 8" xfId="9002" xr:uid="{F69877AB-868C-474F-8F88-C5F2F1F2C041}"/>
    <cellStyle name="20% - Accent6 2 3 8 2" xfId="18326" xr:uid="{8B60BDAD-3F6F-4FA4-AE40-EA531B9B6353}"/>
    <cellStyle name="20% - Accent6 2 3 9" xfId="9657" xr:uid="{225289A5-1ED0-4189-95DF-7CF0EB5AC4A8}"/>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B01C758E-CC55-4541-AA1E-3998A9DF2D99}"/>
    <cellStyle name="20% - Accent6 2 4 2 3" xfId="12213" xr:uid="{327CB6F4-9FB5-4D34-96EE-1973B92F428D}"/>
    <cellStyle name="20% - Accent6 2 4 3" xfId="4959" xr:uid="{00000000-0005-0000-0000-000062030000}"/>
    <cellStyle name="20% - Accent6 2 4 3 2" xfId="14285" xr:uid="{FC3CBEC5-CA55-423C-910D-66314BAAAA7E}"/>
    <cellStyle name="20% - Accent6 2 4 4" xfId="9219" xr:uid="{C8AD75F8-261B-45C4-93F0-0E0A49EEEF79}"/>
    <cellStyle name="20% - Accent6 2 4 4 2" xfId="18535" xr:uid="{F3122FF1-3E38-4C41-8777-61FE68DECAE2}"/>
    <cellStyle name="20% - Accent6 2 4 5" xfId="10068" xr:uid="{64D0F898-159F-4891-954A-E228A366C86B}"/>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6CA14896-5D5A-4FA9-A8E2-D1E4E19236A3}"/>
    <cellStyle name="20% - Accent6 2 5 2 3" xfId="12626" xr:uid="{422F49D1-E31F-4B9D-A5CD-A4C6390C5FFF}"/>
    <cellStyle name="20% - Accent6 2 5 3" xfId="5372" xr:uid="{00000000-0005-0000-0000-000066030000}"/>
    <cellStyle name="20% - Accent6 2 5 3 2" xfId="14698" xr:uid="{B2A5DFD0-B28A-461E-AC85-A5280373ADEF}"/>
    <cellStyle name="20% - Accent6 2 5 4" xfId="10481" xr:uid="{F41AC4AA-C102-4BCB-BB52-9EC3382EE803}"/>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E347049D-7926-4A3E-9D85-290E9C00E08E}"/>
    <cellStyle name="20% - Accent6 2 6 2 3" xfId="13039" xr:uid="{181ADB7C-03F8-41CD-A0EC-D2A6E728CB30}"/>
    <cellStyle name="20% - Accent6 2 6 3" xfId="5785" xr:uid="{00000000-0005-0000-0000-00006A030000}"/>
    <cellStyle name="20% - Accent6 2 6 3 2" xfId="15111" xr:uid="{8E53358D-0014-4D55-AAAE-3B8CBF80034C}"/>
    <cellStyle name="20% - Accent6 2 6 4" xfId="10894" xr:uid="{6DD5439D-F0F3-404B-B065-F25F255693ED}"/>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D9466E89-C623-4372-9C77-F16F456D67D2}"/>
    <cellStyle name="20% - Accent6 2 7 2 3" xfId="13452" xr:uid="{ED168A88-46CE-4D68-8898-C851EB1349F5}"/>
    <cellStyle name="20% - Accent6 2 7 3" xfId="6198" xr:uid="{00000000-0005-0000-0000-00006E030000}"/>
    <cellStyle name="20% - Accent6 2 7 3 2" xfId="15524" xr:uid="{0B34CB97-231A-483D-B184-EF3E756DB585}"/>
    <cellStyle name="20% - Accent6 2 7 4" xfId="11307" xr:uid="{7023E9D1-1927-4232-A981-5E81E507F295}"/>
    <cellStyle name="20% - Accent6 2 8" xfId="2305" xr:uid="{00000000-0005-0000-0000-00006F030000}"/>
    <cellStyle name="20% - Accent6 2 8 2" xfId="6611" xr:uid="{00000000-0005-0000-0000-000070030000}"/>
    <cellStyle name="20% - Accent6 2 8 2 2" xfId="15937" xr:uid="{14604A15-C0ED-4F29-B844-A7F06C586986}"/>
    <cellStyle name="20% - Accent6 2 8 3" xfId="11720" xr:uid="{9282CF1A-F349-4C11-9E1A-E38C6A42DFCF}"/>
    <cellStyle name="20% - Accent6 2 9" xfId="4545" xr:uid="{00000000-0005-0000-0000-000071030000}"/>
    <cellStyle name="20% - Accent6 2 9 2" xfId="13871" xr:uid="{6BDFE008-F32A-4A95-A933-91E2CAFE286E}"/>
    <cellStyle name="20% - Accent6 3" xfId="46" xr:uid="{00000000-0005-0000-0000-000072030000}"/>
    <cellStyle name="20% - Accent6 3 10" xfId="9658" xr:uid="{5ED2FCED-74E5-4408-9575-52E3334207C6}"/>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48BDD3D5-1A72-40D6-BDEE-ABD881A5D903}"/>
    <cellStyle name="20% - Accent6 3 2 2 2 3" xfId="12218" xr:uid="{532415BE-2B57-4469-B4CD-D011E657EFCC}"/>
    <cellStyle name="20% - Accent6 3 2 2 3" xfId="4964" xr:uid="{00000000-0005-0000-0000-000077030000}"/>
    <cellStyle name="20% - Accent6 3 2 2 3 2" xfId="14290" xr:uid="{8C7CFCC9-5162-4261-8A08-F2148BB4218A}"/>
    <cellStyle name="20% - Accent6 3 2 2 4" xfId="9503" xr:uid="{A5A3EDF8-16EA-4A86-8795-C3BA46FE244A}"/>
    <cellStyle name="20% - Accent6 3 2 2 4 2" xfId="18818" xr:uid="{F62EC5BF-14FB-43FA-8CE9-0ED9D433998F}"/>
    <cellStyle name="20% - Accent6 3 2 2 5" xfId="10073" xr:uid="{87739B51-4B21-43FC-BDCA-54C95139D72A}"/>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78D6179E-58F3-45E1-99D7-37791415288A}"/>
    <cellStyle name="20% - Accent6 3 2 3 2 3" xfId="12631" xr:uid="{110E3FD2-0CCA-41BD-8FD8-405EBAB7E0AF}"/>
    <cellStyle name="20% - Accent6 3 2 3 3" xfId="5377" xr:uid="{00000000-0005-0000-0000-00007B030000}"/>
    <cellStyle name="20% - Accent6 3 2 3 3 2" xfId="14703" xr:uid="{C586E9C1-5FB9-45B1-BCFB-C4028C9B77CE}"/>
    <cellStyle name="20% - Accent6 3 2 3 4" xfId="10486" xr:uid="{A8ED6C96-32C9-4BF7-BF3E-C743DEB93080}"/>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7B4910C8-1A0F-4B47-B08F-941C82A9A5EB}"/>
    <cellStyle name="20% - Accent6 3 2 4 2 3" xfId="13044" xr:uid="{11950219-E2AF-4342-8942-5CFACB1EEB7F}"/>
    <cellStyle name="20% - Accent6 3 2 4 3" xfId="5790" xr:uid="{00000000-0005-0000-0000-00007F030000}"/>
    <cellStyle name="20% - Accent6 3 2 4 3 2" xfId="15116" xr:uid="{DB2E964C-5DC5-4045-BC26-47247158A017}"/>
    <cellStyle name="20% - Accent6 3 2 4 4" xfId="10899" xr:uid="{1852C111-889E-47CF-B6E4-64BAF53EED5C}"/>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386254F9-DD32-4B42-AE0D-A97BB6526E26}"/>
    <cellStyle name="20% - Accent6 3 2 5 2 3" xfId="13457" xr:uid="{5514B8BC-C03D-413D-8A70-43AC3B5C4AB8}"/>
    <cellStyle name="20% - Accent6 3 2 5 3" xfId="6203" xr:uid="{00000000-0005-0000-0000-000083030000}"/>
    <cellStyle name="20% - Accent6 3 2 5 3 2" xfId="15529" xr:uid="{BC2A9773-50B3-4974-93A1-B42CC70DD1FA}"/>
    <cellStyle name="20% - Accent6 3 2 5 4" xfId="11312" xr:uid="{DDE501B2-F7DD-4532-B68F-7F812B77A2E3}"/>
    <cellStyle name="20% - Accent6 3 2 6" xfId="2310" xr:uid="{00000000-0005-0000-0000-000084030000}"/>
    <cellStyle name="20% - Accent6 3 2 6 2" xfId="6616" xr:uid="{00000000-0005-0000-0000-000085030000}"/>
    <cellStyle name="20% - Accent6 3 2 6 2 2" xfId="15942" xr:uid="{318A1D57-F7DE-4092-8DD1-E369F1DD321B}"/>
    <cellStyle name="20% - Accent6 3 2 6 3" xfId="11725" xr:uid="{3CC3515F-4C99-4C28-9ED4-1062933E3A1B}"/>
    <cellStyle name="20% - Accent6 3 2 7" xfId="4550" xr:uid="{00000000-0005-0000-0000-000086030000}"/>
    <cellStyle name="20% - Accent6 3 2 7 2" xfId="13876" xr:uid="{1C24750B-434A-432D-BF9C-9C399EC8B607}"/>
    <cellStyle name="20% - Accent6 3 2 8" xfId="9078" xr:uid="{55C63253-C10A-44F0-A9A1-D3E9AD1B1E77}"/>
    <cellStyle name="20% - Accent6 3 2 8 2" xfId="18402" xr:uid="{FE883B58-557F-44D3-879C-E6F4043B05C8}"/>
    <cellStyle name="20% - Accent6 3 2 9" xfId="9659" xr:uid="{B4AFBF47-0002-49FC-88CF-E1765E4F598E}"/>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48A4B696-911A-4258-BFB0-F02A7DE7728D}"/>
    <cellStyle name="20% - Accent6 3 3 2 3" xfId="12217" xr:uid="{4E87A0CC-0AEC-415C-8DAA-AB9E439A049A}"/>
    <cellStyle name="20% - Accent6 3 3 3" xfId="4963" xr:uid="{00000000-0005-0000-0000-00008A030000}"/>
    <cellStyle name="20% - Accent6 3 3 3 2" xfId="14289" xr:uid="{1720350A-C245-4836-B17E-F6B905C84814}"/>
    <cellStyle name="20% - Accent6 3 3 4" xfId="9296" xr:uid="{68DBDAD1-945F-459A-93CE-56D312D1EDE4}"/>
    <cellStyle name="20% - Accent6 3 3 4 2" xfId="18611" xr:uid="{07BBE274-3667-4FB9-ADB5-AAC0C681E896}"/>
    <cellStyle name="20% - Accent6 3 3 5" xfId="10072" xr:uid="{08E9BC6B-A70D-4CAF-A19B-5466B968A06E}"/>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1DC3FE08-8A36-4124-B5FF-A20D5EAA15F1}"/>
    <cellStyle name="20% - Accent6 3 4 2 3" xfId="12630" xr:uid="{3B7F46E7-F3C2-47A3-AFE1-0CD4B4948270}"/>
    <cellStyle name="20% - Accent6 3 4 3" xfId="5376" xr:uid="{00000000-0005-0000-0000-00008E030000}"/>
    <cellStyle name="20% - Accent6 3 4 3 2" xfId="14702" xr:uid="{2C081E81-0FC4-4E12-8567-E028DF4551E7}"/>
    <cellStyle name="20% - Accent6 3 4 4" xfId="10485" xr:uid="{9AB157D6-96CC-4223-BD3B-8CB9C776B260}"/>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3320DDB2-C162-4D18-8F21-C387CB3DFC5E}"/>
    <cellStyle name="20% - Accent6 3 5 2 3" xfId="13043" xr:uid="{D60F219E-5DB8-4093-B004-07AEA462E00A}"/>
    <cellStyle name="20% - Accent6 3 5 3" xfId="5789" xr:uid="{00000000-0005-0000-0000-000092030000}"/>
    <cellStyle name="20% - Accent6 3 5 3 2" xfId="15115" xr:uid="{71376148-C5BA-4848-8947-74A58CFBBF44}"/>
    <cellStyle name="20% - Accent6 3 5 4" xfId="10898" xr:uid="{B3EBDBEA-E7E8-4021-81A4-11542B73DCFB}"/>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D7E2FE82-C9D0-4C36-8A12-C7F49F320B5A}"/>
    <cellStyle name="20% - Accent6 3 6 2 3" xfId="13456" xr:uid="{926CEF79-0CB5-4C46-A641-87FC22A717FB}"/>
    <cellStyle name="20% - Accent6 3 6 3" xfId="6202" xr:uid="{00000000-0005-0000-0000-000096030000}"/>
    <cellStyle name="20% - Accent6 3 6 3 2" xfId="15528" xr:uid="{0BC6CD62-AD04-4FFA-9656-F038B35988FF}"/>
    <cellStyle name="20% - Accent6 3 6 4" xfId="11311" xr:uid="{5EBCDAE4-F4AA-4874-8157-176323FAE7B9}"/>
    <cellStyle name="20% - Accent6 3 7" xfId="2309" xr:uid="{00000000-0005-0000-0000-000097030000}"/>
    <cellStyle name="20% - Accent6 3 7 2" xfId="6615" xr:uid="{00000000-0005-0000-0000-000098030000}"/>
    <cellStyle name="20% - Accent6 3 7 2 2" xfId="15941" xr:uid="{C1AE323B-23B1-4457-9011-DFE0C8592588}"/>
    <cellStyle name="20% - Accent6 3 7 3" xfId="11724" xr:uid="{E6CD1BE8-2144-4123-8115-55E5644F6115}"/>
    <cellStyle name="20% - Accent6 3 8" xfId="4549" xr:uid="{00000000-0005-0000-0000-000099030000}"/>
    <cellStyle name="20% - Accent6 3 8 2" xfId="13875" xr:uid="{4690DA3B-1FC0-4702-B10E-35B592CDEA69}"/>
    <cellStyle name="20% - Accent6 3 9" xfId="8871" xr:uid="{6A653046-C3D6-46DC-9DAA-DA1241CBE9F0}"/>
    <cellStyle name="20% - Accent6 3 9 2" xfId="18195" xr:uid="{E8029DA8-593C-4DAF-972E-39879839F1C6}"/>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40890DE6-E613-49DB-BB5A-A1EA648DBA84}"/>
    <cellStyle name="20% - Accent6 4 2 2 3" xfId="12219" xr:uid="{30B18CED-DD2C-48DC-83EA-CD531E243DEE}"/>
    <cellStyle name="20% - Accent6 4 2 3" xfId="4965" xr:uid="{00000000-0005-0000-0000-00009E030000}"/>
    <cellStyle name="20% - Accent6 4 2 3 2" xfId="14291" xr:uid="{107B895C-6E34-488F-B58B-253FFDA24BE4}"/>
    <cellStyle name="20% - Accent6 4 2 4" xfId="9382" xr:uid="{704ED43C-A59A-4E80-A03F-B933767E3A55}"/>
    <cellStyle name="20% - Accent6 4 2 4 2" xfId="18697" xr:uid="{498110A7-E12B-4A3C-BACD-9C5F65466E85}"/>
    <cellStyle name="20% - Accent6 4 2 5" xfId="10074" xr:uid="{71AC8E7E-0F6F-4227-99AF-67C3A6B07DAE}"/>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1708B902-E36B-494A-AAF4-5E02405AC88B}"/>
    <cellStyle name="20% - Accent6 4 3 2 3" xfId="12632" xr:uid="{EAD29066-35B2-46D0-9C42-4F88CBAB3AEA}"/>
    <cellStyle name="20% - Accent6 4 3 3" xfId="5378" xr:uid="{00000000-0005-0000-0000-0000A2030000}"/>
    <cellStyle name="20% - Accent6 4 3 3 2" xfId="14704" xr:uid="{71DFBA79-444C-49F7-8403-ADF1E47CB808}"/>
    <cellStyle name="20% - Accent6 4 3 4" xfId="10487" xr:uid="{6E24A055-49EB-4FEC-B17D-4DC68CFE0C6B}"/>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EB9331DB-3EC7-4D28-B1E2-B34AE45D0C9F}"/>
    <cellStyle name="20% - Accent6 4 4 2 3" xfId="13045" xr:uid="{751509A4-571E-4F81-90BD-1DAAD3F60BE8}"/>
    <cellStyle name="20% - Accent6 4 4 3" xfId="5791" xr:uid="{00000000-0005-0000-0000-0000A6030000}"/>
    <cellStyle name="20% - Accent6 4 4 3 2" xfId="15117" xr:uid="{B95F20A8-CB54-4B80-9D60-29CD4B103A9E}"/>
    <cellStyle name="20% - Accent6 4 4 4" xfId="10900" xr:uid="{2A8FE8B0-75A5-4ABC-8DDB-3B541704BD63}"/>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C42BD2A6-ACB3-4452-8A50-C301EE5ECC93}"/>
    <cellStyle name="20% - Accent6 4 5 2 3" xfId="13458" xr:uid="{46F26EC3-F991-470B-AAA2-7A918FD82093}"/>
    <cellStyle name="20% - Accent6 4 5 3" xfId="6204" xr:uid="{00000000-0005-0000-0000-0000AA030000}"/>
    <cellStyle name="20% - Accent6 4 5 3 2" xfId="15530" xr:uid="{EC819A63-6BB7-429B-BE95-A26E1B2E1C39}"/>
    <cellStyle name="20% - Accent6 4 5 4" xfId="11313" xr:uid="{7763ACAE-2D69-43D5-884D-4B6C800C63BF}"/>
    <cellStyle name="20% - Accent6 4 6" xfId="2311" xr:uid="{00000000-0005-0000-0000-0000AB030000}"/>
    <cellStyle name="20% - Accent6 4 6 2" xfId="6617" xr:uid="{00000000-0005-0000-0000-0000AC030000}"/>
    <cellStyle name="20% - Accent6 4 6 2 2" xfId="15943" xr:uid="{5B077464-2733-4831-B8F9-F69A44906DAC}"/>
    <cellStyle name="20% - Accent6 4 6 3" xfId="11726" xr:uid="{017D0423-F545-4254-866B-59BF1EA6FC98}"/>
    <cellStyle name="20% - Accent6 4 7" xfId="4551" xr:uid="{00000000-0005-0000-0000-0000AD030000}"/>
    <cellStyle name="20% - Accent6 4 7 2" xfId="13877" xr:uid="{8B1E5965-8D24-47E5-A821-8E6471C904F4}"/>
    <cellStyle name="20% - Accent6 4 8" xfId="8957" xr:uid="{03E1DA3A-6A3F-4C0D-9844-2D38E7BA13BC}"/>
    <cellStyle name="20% - Accent6 4 8 2" xfId="18281" xr:uid="{845FAB86-1575-4EA2-B60C-594A0745E2FC}"/>
    <cellStyle name="20% - Accent6 4 9" xfId="9660" xr:uid="{BCBA1A21-76A1-4C59-B5CF-7F323C657910}"/>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2500654C-7AC5-4AE3-9DB4-2B42ADD36271}"/>
    <cellStyle name="20% - Accent6 5 2 3" xfId="12212" xr:uid="{51A51049-51EE-4B59-8EA6-D84BF5CC1EBF}"/>
    <cellStyle name="20% - Accent6 5 3" xfId="4958" xr:uid="{00000000-0005-0000-0000-0000B1030000}"/>
    <cellStyle name="20% - Accent6 5 3 2" xfId="14284" xr:uid="{A3CC74BC-423F-468D-B448-A4069CF6F22D}"/>
    <cellStyle name="20% - Accent6 5 4" xfId="9191" xr:uid="{C812E2E5-5572-4E86-9CB6-C7C53792C044}"/>
    <cellStyle name="20% - Accent6 5 4 2" xfId="18508" xr:uid="{8AE60F70-BC7E-4ABA-BB02-7968A37DF116}"/>
    <cellStyle name="20% - Accent6 5 5" xfId="10067" xr:uid="{1E38A752-7C40-47C5-9C46-90F123DC4D8E}"/>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C7E97288-E026-4362-8844-DC1D340D8F66}"/>
    <cellStyle name="20% - Accent6 6 2 3" xfId="12625" xr:uid="{7C5990E9-C546-4340-A44C-8F45CF25AA16}"/>
    <cellStyle name="20% - Accent6 6 3" xfId="5371" xr:uid="{00000000-0005-0000-0000-0000B5030000}"/>
    <cellStyle name="20% - Accent6 6 3 2" xfId="14697" xr:uid="{7DD19C87-E1DE-4DBA-9837-24E6DE19DE83}"/>
    <cellStyle name="20% - Accent6 6 4" xfId="10480" xr:uid="{08BD98C9-05BA-45E0-B685-824311D08B2C}"/>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44EEBB85-54E4-436C-8BFB-AA6309926028}"/>
    <cellStyle name="20% - Accent6 7 2 3" xfId="13038" xr:uid="{5106AE55-32C7-4534-AE4C-C54659C788A7}"/>
    <cellStyle name="20% - Accent6 7 3" xfId="5784" xr:uid="{00000000-0005-0000-0000-0000B9030000}"/>
    <cellStyle name="20% - Accent6 7 3 2" xfId="15110" xr:uid="{E0F8EA24-CAD8-4D1E-9470-B4B8F866C5AC}"/>
    <cellStyle name="20% - Accent6 7 4" xfId="10893" xr:uid="{EA40B2BB-ED95-4E78-842A-0E1EA82A23E9}"/>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43B8C661-3B74-435E-B2B7-E7547303152D}"/>
    <cellStyle name="20% - Accent6 8 2 3" xfId="13451" xr:uid="{EB7CD8EC-DD43-48D7-929C-1F760FC325BE}"/>
    <cellStyle name="20% - Accent6 8 3" xfId="6197" xr:uid="{00000000-0005-0000-0000-0000BD030000}"/>
    <cellStyle name="20% - Accent6 8 3 2" xfId="15523" xr:uid="{D98AEEB7-F655-4934-8ACE-5C966CE0B864}"/>
    <cellStyle name="20% - Accent6 8 4" xfId="11306" xr:uid="{4809BDC4-4808-48D3-8B8E-4E220C968E7D}"/>
    <cellStyle name="20% - Accent6 9" xfId="2304" xr:uid="{00000000-0005-0000-0000-0000BE030000}"/>
    <cellStyle name="20% - Accent6 9 2" xfId="6610" xr:uid="{00000000-0005-0000-0000-0000BF030000}"/>
    <cellStyle name="20% - Accent6 9 2 2" xfId="15936" xr:uid="{95CAF563-4D73-4E69-8F0F-FF8EE81DB47E}"/>
    <cellStyle name="20% - Accent6 9 3" xfId="11719" xr:uid="{BD4F50C0-4D40-468F-AE75-5ECE5F1B0CFC}"/>
    <cellStyle name="40% - Accent1" xfId="49" builtinId="31" customBuiltin="1"/>
    <cellStyle name="40% - Accent1 10" xfId="4552" xr:uid="{00000000-0005-0000-0000-0000C1030000}"/>
    <cellStyle name="40% - Accent1 10 2" xfId="13878" xr:uid="{2191B330-676D-403F-BD32-6C8872C0CD37}"/>
    <cellStyle name="40% - Accent1 11" xfId="8759" xr:uid="{E0AA4078-00FF-4C00-81ED-1F048AC6C533}"/>
    <cellStyle name="40% - Accent1 11 2" xfId="18083" xr:uid="{68285CD8-1246-493E-89A7-1C9A33CD5292}"/>
    <cellStyle name="40% - Accent1 12" xfId="9661" xr:uid="{70C0206A-E5A6-4210-A50C-19590446067B}"/>
    <cellStyle name="40% - Accent1 2" xfId="50" xr:uid="{00000000-0005-0000-0000-0000C2030000}"/>
    <cellStyle name="40% - Accent1 2 10" xfId="8798" xr:uid="{82026451-631C-40CA-BC49-BE5DA2EA921A}"/>
    <cellStyle name="40% - Accent1 2 10 2" xfId="18122" xr:uid="{729B462E-356F-4AE4-9327-ED6F2EAE076E}"/>
    <cellStyle name="40% - Accent1 2 11" xfId="9662" xr:uid="{F4C2A813-F5FF-4A10-B715-800BA490D9CD}"/>
    <cellStyle name="40% - Accent1 2 2" xfId="51" xr:uid="{00000000-0005-0000-0000-0000C3030000}"/>
    <cellStyle name="40% - Accent1 2 2 10" xfId="9663" xr:uid="{01FDC40A-186F-455F-BCCF-B81A2BD1B3A4}"/>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2D4D8DF0-AE71-4FE3-B9B8-215F31EDBE47}"/>
    <cellStyle name="40% - Accent1 2 2 2 2 2 3" xfId="12223" xr:uid="{31DCC0E8-664C-438A-81B7-7DF4E6350F9F}"/>
    <cellStyle name="40% - Accent1 2 2 2 2 3" xfId="4969" xr:uid="{00000000-0005-0000-0000-0000C8030000}"/>
    <cellStyle name="40% - Accent1 2 2 2 2 3 2" xfId="14295" xr:uid="{57C0A5B0-5486-486B-BD62-A952F4502AC6}"/>
    <cellStyle name="40% - Accent1 2 2 2 2 4" xfId="9533" xr:uid="{757B5AC4-115E-4B90-B4EA-505C31F9B178}"/>
    <cellStyle name="40% - Accent1 2 2 2 2 4 2" xfId="18848" xr:uid="{21E72474-AD3E-4CD8-A4CD-47A36EE39E8E}"/>
    <cellStyle name="40% - Accent1 2 2 2 2 5" xfId="10078" xr:uid="{92C3C0B9-82AF-4F57-BD33-B591AB95AF35}"/>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B1225E83-470E-40D6-B8E0-D9F67F6B3405}"/>
    <cellStyle name="40% - Accent1 2 2 2 3 2 3" xfId="12636" xr:uid="{1FEB6038-20FB-4543-ABAC-D8BD84861478}"/>
    <cellStyle name="40% - Accent1 2 2 2 3 3" xfId="5382" xr:uid="{00000000-0005-0000-0000-0000CC030000}"/>
    <cellStyle name="40% - Accent1 2 2 2 3 3 2" xfId="14708" xr:uid="{F751EDC2-1F10-412B-B34B-0A9754E96AF0}"/>
    <cellStyle name="40% - Accent1 2 2 2 3 4" xfId="10491" xr:uid="{44B78144-F7DF-4595-B82E-4C32DEE7DE3B}"/>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49232FC9-FA75-4BE6-8B36-FC1E0596D63A}"/>
    <cellStyle name="40% - Accent1 2 2 2 4 2 3" xfId="13049" xr:uid="{73565865-2C64-4BB4-93D1-7D68078F2166}"/>
    <cellStyle name="40% - Accent1 2 2 2 4 3" xfId="5795" xr:uid="{00000000-0005-0000-0000-0000D0030000}"/>
    <cellStyle name="40% - Accent1 2 2 2 4 3 2" xfId="15121" xr:uid="{B7C2988F-8994-4416-B570-F623F4C78871}"/>
    <cellStyle name="40% - Accent1 2 2 2 4 4" xfId="10904" xr:uid="{C29AB87A-117D-44DB-A152-A4C636881B52}"/>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0DC73784-AF75-43A1-B441-9BD84093BA40}"/>
    <cellStyle name="40% - Accent1 2 2 2 5 2 3" xfId="13462" xr:uid="{8EF6A7F5-F210-41BB-9FE6-DD0635AE44C0}"/>
    <cellStyle name="40% - Accent1 2 2 2 5 3" xfId="6208" xr:uid="{00000000-0005-0000-0000-0000D4030000}"/>
    <cellStyle name="40% - Accent1 2 2 2 5 3 2" xfId="15534" xr:uid="{FA7D70CD-3EAB-40D0-A309-17F69FF32B18}"/>
    <cellStyle name="40% - Accent1 2 2 2 5 4" xfId="11317" xr:uid="{CDB0C60A-5FF7-4601-B9AF-69BA6A8F6F7F}"/>
    <cellStyle name="40% - Accent1 2 2 2 6" xfId="2315" xr:uid="{00000000-0005-0000-0000-0000D5030000}"/>
    <cellStyle name="40% - Accent1 2 2 2 6 2" xfId="6621" xr:uid="{00000000-0005-0000-0000-0000D6030000}"/>
    <cellStyle name="40% - Accent1 2 2 2 6 2 2" xfId="15947" xr:uid="{A7BEEC8E-D033-4CD4-B081-462F4E5DC04A}"/>
    <cellStyle name="40% - Accent1 2 2 2 6 3" xfId="11730" xr:uid="{D71832A1-B9C4-4DAE-A426-749CA4926B58}"/>
    <cellStyle name="40% - Accent1 2 2 2 7" xfId="4555" xr:uid="{00000000-0005-0000-0000-0000D7030000}"/>
    <cellStyle name="40% - Accent1 2 2 2 7 2" xfId="13881" xr:uid="{0D9D9469-4606-41B5-88F1-40DBDD919FD7}"/>
    <cellStyle name="40% - Accent1 2 2 2 8" xfId="9108" xr:uid="{1189B5E8-DD3C-4F9A-ACD3-DB853C0AC60B}"/>
    <cellStyle name="40% - Accent1 2 2 2 8 2" xfId="18432" xr:uid="{C1B6F928-0BBF-4751-886A-ABD13BCF0030}"/>
    <cellStyle name="40% - Accent1 2 2 2 9" xfId="9664" xr:uid="{34E1F4E5-F7A6-4864-A697-86E8D7BECA28}"/>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4EA568DD-BE86-4CD9-B2D6-051471779EC2}"/>
    <cellStyle name="40% - Accent1 2 2 3 2 3" xfId="12222" xr:uid="{1B45B36C-C34F-4342-8E3A-AE3DA2C4C459}"/>
    <cellStyle name="40% - Accent1 2 2 3 3" xfId="4968" xr:uid="{00000000-0005-0000-0000-0000DB030000}"/>
    <cellStyle name="40% - Accent1 2 2 3 3 2" xfId="14294" xr:uid="{C36CB70E-ACC1-499B-9765-3182148C2726}"/>
    <cellStyle name="40% - Accent1 2 2 3 4" xfId="9326" xr:uid="{6D693950-F4D3-4A82-8C01-49E2379281D4}"/>
    <cellStyle name="40% - Accent1 2 2 3 4 2" xfId="18641" xr:uid="{21B565E3-548B-477F-AB0A-39EE634A9526}"/>
    <cellStyle name="40% - Accent1 2 2 3 5" xfId="10077" xr:uid="{40DEC157-A198-464F-832D-1B97568576DC}"/>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2683B115-F230-49CA-8AC4-87A9C537CB5B}"/>
    <cellStyle name="40% - Accent1 2 2 4 2 3" xfId="12635" xr:uid="{DF949157-1BE9-455F-8F5C-0BF0450DE88B}"/>
    <cellStyle name="40% - Accent1 2 2 4 3" xfId="5381" xr:uid="{00000000-0005-0000-0000-0000DF030000}"/>
    <cellStyle name="40% - Accent1 2 2 4 3 2" xfId="14707" xr:uid="{0625D119-4545-4574-BB75-2184413D4696}"/>
    <cellStyle name="40% - Accent1 2 2 4 4" xfId="10490" xr:uid="{1905598A-7765-4B38-BF30-4B5530641699}"/>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0FF70987-9C5A-4A16-AD15-5335D8E1C24F}"/>
    <cellStyle name="40% - Accent1 2 2 5 2 3" xfId="13048" xr:uid="{13AE9066-9A1B-4957-B5B1-A42575C76ED9}"/>
    <cellStyle name="40% - Accent1 2 2 5 3" xfId="5794" xr:uid="{00000000-0005-0000-0000-0000E3030000}"/>
    <cellStyle name="40% - Accent1 2 2 5 3 2" xfId="15120" xr:uid="{EE1550DF-3678-4EE7-8CFE-7732E9E99A5F}"/>
    <cellStyle name="40% - Accent1 2 2 5 4" xfId="10903" xr:uid="{76E3650F-4E4B-48A0-9422-E013ABD5507E}"/>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DE4330C2-F188-47B8-805D-34A32ADC144E}"/>
    <cellStyle name="40% - Accent1 2 2 6 2 3" xfId="13461" xr:uid="{D1B620B9-41EF-45B1-9116-81ECE6204AE3}"/>
    <cellStyle name="40% - Accent1 2 2 6 3" xfId="6207" xr:uid="{00000000-0005-0000-0000-0000E7030000}"/>
    <cellStyle name="40% - Accent1 2 2 6 3 2" xfId="15533" xr:uid="{A86B1248-84CE-43D1-BD98-D5B9792CB38D}"/>
    <cellStyle name="40% - Accent1 2 2 6 4" xfId="11316" xr:uid="{1CC006C2-B3BC-41CD-89F2-0CFFEB8323D7}"/>
    <cellStyle name="40% - Accent1 2 2 7" xfId="2314" xr:uid="{00000000-0005-0000-0000-0000E8030000}"/>
    <cellStyle name="40% - Accent1 2 2 7 2" xfId="6620" xr:uid="{00000000-0005-0000-0000-0000E9030000}"/>
    <cellStyle name="40% - Accent1 2 2 7 2 2" xfId="15946" xr:uid="{71BC7F90-A97E-4E7B-ADEC-BB315AAD846F}"/>
    <cellStyle name="40% - Accent1 2 2 7 3" xfId="11729" xr:uid="{039EB937-EC16-4A50-B1C1-F437E830A9F6}"/>
    <cellStyle name="40% - Accent1 2 2 8" xfId="4554" xr:uid="{00000000-0005-0000-0000-0000EA030000}"/>
    <cellStyle name="40% - Accent1 2 2 8 2" xfId="13880" xr:uid="{872C9A35-1C1B-4474-9775-69B76BCE5C5C}"/>
    <cellStyle name="40% - Accent1 2 2 9" xfId="8901" xr:uid="{10130317-AF31-4351-8201-FD8BD447EA3C}"/>
    <cellStyle name="40% - Accent1 2 2 9 2" xfId="18225" xr:uid="{738675C8-FDDB-4349-BD51-1FF0DBCBC6FB}"/>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FAC15BB7-99CA-493F-9CFE-D621D9B0FA17}"/>
    <cellStyle name="40% - Accent1 2 3 2 2 3" xfId="12224" xr:uid="{A6CEABEA-8FCF-454A-B9D8-58C25631926A}"/>
    <cellStyle name="40% - Accent1 2 3 2 3" xfId="4970" xr:uid="{00000000-0005-0000-0000-0000EF030000}"/>
    <cellStyle name="40% - Accent1 2 3 2 3 2" xfId="14296" xr:uid="{7BD76F9E-30EC-4182-A6F8-B90607CD713E}"/>
    <cellStyle name="40% - Accent1 2 3 2 4" xfId="9430" xr:uid="{C79D1FB2-141C-4301-8F37-B3B9643C0550}"/>
    <cellStyle name="40% - Accent1 2 3 2 4 2" xfId="18745" xr:uid="{60BFA41D-59A1-49FD-9296-944E810D0C1D}"/>
    <cellStyle name="40% - Accent1 2 3 2 5" xfId="10079" xr:uid="{E7DAD570-A302-4915-9CE2-20A218A3DC1A}"/>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68E45F26-BE42-49FE-954C-14B44870EEE5}"/>
    <cellStyle name="40% - Accent1 2 3 3 2 3" xfId="12637" xr:uid="{1BFF32DA-70A5-406A-B202-EEF805F02ABA}"/>
    <cellStyle name="40% - Accent1 2 3 3 3" xfId="5383" xr:uid="{00000000-0005-0000-0000-0000F3030000}"/>
    <cellStyle name="40% - Accent1 2 3 3 3 2" xfId="14709" xr:uid="{D6A82DD4-CC42-476B-906B-A24E1B3304FE}"/>
    <cellStyle name="40% - Accent1 2 3 3 4" xfId="10492" xr:uid="{9D85FD49-0720-49F0-A16A-8529677D22BB}"/>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C556AC9D-BBAD-41E2-8254-1783D3512686}"/>
    <cellStyle name="40% - Accent1 2 3 4 2 3" xfId="13050" xr:uid="{B42A443E-0103-45F3-9FD4-EFB6FF112093}"/>
    <cellStyle name="40% - Accent1 2 3 4 3" xfId="5796" xr:uid="{00000000-0005-0000-0000-0000F7030000}"/>
    <cellStyle name="40% - Accent1 2 3 4 3 2" xfId="15122" xr:uid="{E772D7AE-F69E-4895-8624-52D32AD65B4E}"/>
    <cellStyle name="40% - Accent1 2 3 4 4" xfId="10905" xr:uid="{E32AF0E2-E71F-4943-A378-4FC9BC0A094E}"/>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8A545832-E49F-4FAD-A486-E92CC8C1549B}"/>
    <cellStyle name="40% - Accent1 2 3 5 2 3" xfId="13463" xr:uid="{CBFCF32F-20C3-4F49-ADE0-B452878A0A1C}"/>
    <cellStyle name="40% - Accent1 2 3 5 3" xfId="6209" xr:uid="{00000000-0005-0000-0000-0000FB030000}"/>
    <cellStyle name="40% - Accent1 2 3 5 3 2" xfId="15535" xr:uid="{A42B6C84-C62E-4931-80E3-496AB395B5BA}"/>
    <cellStyle name="40% - Accent1 2 3 5 4" xfId="11318" xr:uid="{31EB5169-7BBC-494C-B6A0-2CE997FA7C4D}"/>
    <cellStyle name="40% - Accent1 2 3 6" xfId="2316" xr:uid="{00000000-0005-0000-0000-0000FC030000}"/>
    <cellStyle name="40% - Accent1 2 3 6 2" xfId="6622" xr:uid="{00000000-0005-0000-0000-0000FD030000}"/>
    <cellStyle name="40% - Accent1 2 3 6 2 2" xfId="15948" xr:uid="{5C736DAE-D50F-4F78-9B34-E7409E229C72}"/>
    <cellStyle name="40% - Accent1 2 3 6 3" xfId="11731" xr:uid="{AF3B6116-B2B9-4664-85E1-9A8970266DDB}"/>
    <cellStyle name="40% - Accent1 2 3 7" xfId="4556" xr:uid="{00000000-0005-0000-0000-0000FE030000}"/>
    <cellStyle name="40% - Accent1 2 3 7 2" xfId="13882" xr:uid="{A420DF56-E354-464E-B881-4E50A0C3DC52}"/>
    <cellStyle name="40% - Accent1 2 3 8" xfId="9005" xr:uid="{83AF69B9-664F-4E19-B721-7989C2FEBC0C}"/>
    <cellStyle name="40% - Accent1 2 3 8 2" xfId="18329" xr:uid="{E9D677EB-A9E9-4768-88A3-F7EFEDCB22E9}"/>
    <cellStyle name="40% - Accent1 2 3 9" xfId="9665" xr:uid="{7C8A6016-619D-4F75-B189-EA9B17845BC3}"/>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A8D1C779-0758-4035-8146-46385AEAA99D}"/>
    <cellStyle name="40% - Accent1 2 4 2 3" xfId="12221" xr:uid="{50F689E7-B8B9-4AF4-8C87-4BD8AA76747F}"/>
    <cellStyle name="40% - Accent1 2 4 3" xfId="4967" xr:uid="{00000000-0005-0000-0000-000002040000}"/>
    <cellStyle name="40% - Accent1 2 4 3 2" xfId="14293" xr:uid="{389088F4-9CA2-431A-AD88-60D2BEB7CBD0}"/>
    <cellStyle name="40% - Accent1 2 4 4" xfId="9222" xr:uid="{A6B83122-AC98-4E58-AA4D-EC5ECC38FC6B}"/>
    <cellStyle name="40% - Accent1 2 4 4 2" xfId="18538" xr:uid="{B9B70B62-7F2E-4B24-A5A8-C017D4E9B1B1}"/>
    <cellStyle name="40% - Accent1 2 4 5" xfId="10076" xr:uid="{6A8CDEDC-017C-45C5-AD99-56DE6E22358B}"/>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30D4F68F-23BF-4291-A5F6-BFA3CA2B0E3C}"/>
    <cellStyle name="40% - Accent1 2 5 2 3" xfId="12634" xr:uid="{DCE116BE-EEB7-4C5A-8C9B-06527A61CE84}"/>
    <cellStyle name="40% - Accent1 2 5 3" xfId="5380" xr:uid="{00000000-0005-0000-0000-000006040000}"/>
    <cellStyle name="40% - Accent1 2 5 3 2" xfId="14706" xr:uid="{02054E15-2B2F-4856-907E-B236F0BB69AB}"/>
    <cellStyle name="40% - Accent1 2 5 4" xfId="10489" xr:uid="{D6E913D7-3723-40A3-A1DD-5131FD57AAFD}"/>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8BF5FE6F-B9FD-47B6-AB46-A4290FDD0550}"/>
    <cellStyle name="40% - Accent1 2 6 2 3" xfId="13047" xr:uid="{A9542E91-D414-4616-9597-82AD5025E8B9}"/>
    <cellStyle name="40% - Accent1 2 6 3" xfId="5793" xr:uid="{00000000-0005-0000-0000-00000A040000}"/>
    <cellStyle name="40% - Accent1 2 6 3 2" xfId="15119" xr:uid="{FB7118ED-7763-4076-912F-082BC06C594F}"/>
    <cellStyle name="40% - Accent1 2 6 4" xfId="10902" xr:uid="{25BC6F83-7316-4BAC-A90D-E1B1C196C928}"/>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1CCE9936-0825-4593-BC69-FFD84F8AF1AD}"/>
    <cellStyle name="40% - Accent1 2 7 2 3" xfId="13460" xr:uid="{689832D8-8E3B-47C4-A1D7-5C244624EFAE}"/>
    <cellStyle name="40% - Accent1 2 7 3" xfId="6206" xr:uid="{00000000-0005-0000-0000-00000E040000}"/>
    <cellStyle name="40% - Accent1 2 7 3 2" xfId="15532" xr:uid="{7873024A-0A12-491A-B1C0-45C7388B20C8}"/>
    <cellStyle name="40% - Accent1 2 7 4" xfId="11315" xr:uid="{C6974DC4-A83E-4B39-A33B-EB554C40B50F}"/>
    <cellStyle name="40% - Accent1 2 8" xfId="2313" xr:uid="{00000000-0005-0000-0000-00000F040000}"/>
    <cellStyle name="40% - Accent1 2 8 2" xfId="6619" xr:uid="{00000000-0005-0000-0000-000010040000}"/>
    <cellStyle name="40% - Accent1 2 8 2 2" xfId="15945" xr:uid="{048D3003-5467-4B3F-AA8C-73B93C62F76E}"/>
    <cellStyle name="40% - Accent1 2 8 3" xfId="11728" xr:uid="{73B27396-A2B6-411B-8C5F-364395B109A3}"/>
    <cellStyle name="40% - Accent1 2 9" xfId="4553" xr:uid="{00000000-0005-0000-0000-000011040000}"/>
    <cellStyle name="40% - Accent1 2 9 2" xfId="13879" xr:uid="{D6520418-84FD-4AE0-AD11-7829A02822E8}"/>
    <cellStyle name="40% - Accent1 3" xfId="54" xr:uid="{00000000-0005-0000-0000-000012040000}"/>
    <cellStyle name="40% - Accent1 3 10" xfId="9666" xr:uid="{FF20B6BC-00A3-486F-BC0E-F90433C381A9}"/>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60054A3E-76B7-4536-9487-644AF78AF352}"/>
    <cellStyle name="40% - Accent1 3 2 2 2 3" xfId="12226" xr:uid="{D39F6D52-0C3A-4FB6-89F7-0A9B60F07D6C}"/>
    <cellStyle name="40% - Accent1 3 2 2 3" xfId="4972" xr:uid="{00000000-0005-0000-0000-000017040000}"/>
    <cellStyle name="40% - Accent1 3 2 2 3 2" xfId="14298" xr:uid="{61EC008C-108E-4789-9328-EF7BEDA5AB9F}"/>
    <cellStyle name="40% - Accent1 3 2 2 4" xfId="9494" xr:uid="{49092FA9-F337-44E8-98C8-15711B1C1558}"/>
    <cellStyle name="40% - Accent1 3 2 2 4 2" xfId="18809" xr:uid="{CD2BD329-70AB-4099-94C0-B8753AE46B01}"/>
    <cellStyle name="40% - Accent1 3 2 2 5" xfId="10081" xr:uid="{95AB313E-BE6D-413D-AB54-5EC83E0F7D07}"/>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0741F5B6-3571-4964-BDD8-45D404E305EC}"/>
    <cellStyle name="40% - Accent1 3 2 3 2 3" xfId="12639" xr:uid="{3C17AC67-39E9-42BC-AFAB-7EF4F75614AD}"/>
    <cellStyle name="40% - Accent1 3 2 3 3" xfId="5385" xr:uid="{00000000-0005-0000-0000-00001B040000}"/>
    <cellStyle name="40% - Accent1 3 2 3 3 2" xfId="14711" xr:uid="{5EB82A36-D207-4FF6-AB80-C4188E1A5C09}"/>
    <cellStyle name="40% - Accent1 3 2 3 4" xfId="10494" xr:uid="{03C37747-1486-4661-9D95-F0E3E2FAA379}"/>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BECB299B-8CCE-4376-8CDB-8AA5CCBB3FAF}"/>
    <cellStyle name="40% - Accent1 3 2 4 2 3" xfId="13052" xr:uid="{48195ABC-F413-4EEC-A1A5-3AA6023367ED}"/>
    <cellStyle name="40% - Accent1 3 2 4 3" xfId="5798" xr:uid="{00000000-0005-0000-0000-00001F040000}"/>
    <cellStyle name="40% - Accent1 3 2 4 3 2" xfId="15124" xr:uid="{3416B999-6135-465F-BAE2-7C0BBB2F7E78}"/>
    <cellStyle name="40% - Accent1 3 2 4 4" xfId="10907" xr:uid="{13C0513D-F5E0-4131-BB3B-E174FE78BDC8}"/>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1D8ECE2D-CA45-48A6-9CC6-7704CDC1E58C}"/>
    <cellStyle name="40% - Accent1 3 2 5 2 3" xfId="13465" xr:uid="{78CDE06C-3A09-4389-8D71-EE219EBFD138}"/>
    <cellStyle name="40% - Accent1 3 2 5 3" xfId="6211" xr:uid="{00000000-0005-0000-0000-000023040000}"/>
    <cellStyle name="40% - Accent1 3 2 5 3 2" xfId="15537" xr:uid="{1B09A550-2B7B-4C6A-91EC-C4AEBD54DACB}"/>
    <cellStyle name="40% - Accent1 3 2 5 4" xfId="11320" xr:uid="{F7700E43-A6C9-426A-A06D-6B0A0665DF0E}"/>
    <cellStyle name="40% - Accent1 3 2 6" xfId="2318" xr:uid="{00000000-0005-0000-0000-000024040000}"/>
    <cellStyle name="40% - Accent1 3 2 6 2" xfId="6624" xr:uid="{00000000-0005-0000-0000-000025040000}"/>
    <cellStyle name="40% - Accent1 3 2 6 2 2" xfId="15950" xr:uid="{47254374-35C5-420C-B5F2-ADD3BB5CB0F7}"/>
    <cellStyle name="40% - Accent1 3 2 6 3" xfId="11733" xr:uid="{EC7D7EFE-09C2-4F42-89B4-B62EAA7391B2}"/>
    <cellStyle name="40% - Accent1 3 2 7" xfId="4558" xr:uid="{00000000-0005-0000-0000-000026040000}"/>
    <cellStyle name="40% - Accent1 3 2 7 2" xfId="13884" xr:uid="{F52F5C48-F00A-4501-A596-78A456097BF0}"/>
    <cellStyle name="40% - Accent1 3 2 8" xfId="9069" xr:uid="{F3D9FD63-8946-4492-B81A-42936E8B246D}"/>
    <cellStyle name="40% - Accent1 3 2 8 2" xfId="18393" xr:uid="{902C1BC2-93C8-43FB-A491-06BD528B6353}"/>
    <cellStyle name="40% - Accent1 3 2 9" xfId="9667" xr:uid="{4E3DA946-CAE8-4B3D-997B-956140C0AD07}"/>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BEF3ED4E-DFA7-41D7-A071-18B66DDC9EB9}"/>
    <cellStyle name="40% - Accent1 3 3 2 3" xfId="12225" xr:uid="{87526B45-99DC-4011-B731-13784CC71C1E}"/>
    <cellStyle name="40% - Accent1 3 3 3" xfId="4971" xr:uid="{00000000-0005-0000-0000-00002A040000}"/>
    <cellStyle name="40% - Accent1 3 3 3 2" xfId="14297" xr:uid="{94431DBE-A7E5-403A-BE30-6641B1729C74}"/>
    <cellStyle name="40% - Accent1 3 3 4" xfId="9287" xr:uid="{8C21B573-3D31-49DA-ACD8-D3EC7CC3A858}"/>
    <cellStyle name="40% - Accent1 3 3 4 2" xfId="18602" xr:uid="{0C4E2B7F-46DD-44D0-AE25-D377CD88D244}"/>
    <cellStyle name="40% - Accent1 3 3 5" xfId="10080" xr:uid="{31B59D3A-CB20-4AB7-BC5A-849693CD6F7D}"/>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2CF666D0-B8A9-451F-8134-F1F3A790C086}"/>
    <cellStyle name="40% - Accent1 3 4 2 3" xfId="12638" xr:uid="{039F93E1-1F59-4281-BD90-4369C655D39A}"/>
    <cellStyle name="40% - Accent1 3 4 3" xfId="5384" xr:uid="{00000000-0005-0000-0000-00002E040000}"/>
    <cellStyle name="40% - Accent1 3 4 3 2" xfId="14710" xr:uid="{9525C7C3-AB61-47E0-8BD1-F3C27A109185}"/>
    <cellStyle name="40% - Accent1 3 4 4" xfId="10493" xr:uid="{9D99EF6E-63C1-4934-B084-0157221AA986}"/>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4DAFFFCB-5B5F-49EB-B462-12FE846EDD18}"/>
    <cellStyle name="40% - Accent1 3 5 2 3" xfId="13051" xr:uid="{883B6AE0-0B4B-4698-9AE0-B6D05F12F99D}"/>
    <cellStyle name="40% - Accent1 3 5 3" xfId="5797" xr:uid="{00000000-0005-0000-0000-000032040000}"/>
    <cellStyle name="40% - Accent1 3 5 3 2" xfId="15123" xr:uid="{BB65B0D6-B9FD-4E18-97B3-8A9A58079A66}"/>
    <cellStyle name="40% - Accent1 3 5 4" xfId="10906" xr:uid="{72A06AFE-195B-4975-9223-0C15D4DA3FBD}"/>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9DA8B907-4E15-4C87-A891-0F365BD3C3A5}"/>
    <cellStyle name="40% - Accent1 3 6 2 3" xfId="13464" xr:uid="{43F6793D-14D3-4411-B433-BC63E46D9D08}"/>
    <cellStyle name="40% - Accent1 3 6 3" xfId="6210" xr:uid="{00000000-0005-0000-0000-000036040000}"/>
    <cellStyle name="40% - Accent1 3 6 3 2" xfId="15536" xr:uid="{BE391A1C-534E-40AE-8996-1C85014B65FE}"/>
    <cellStyle name="40% - Accent1 3 6 4" xfId="11319" xr:uid="{EF7EBC86-EEF8-4353-B5EB-BE04B7A68DF7}"/>
    <cellStyle name="40% - Accent1 3 7" xfId="2317" xr:uid="{00000000-0005-0000-0000-000037040000}"/>
    <cellStyle name="40% - Accent1 3 7 2" xfId="6623" xr:uid="{00000000-0005-0000-0000-000038040000}"/>
    <cellStyle name="40% - Accent1 3 7 2 2" xfId="15949" xr:uid="{D773D2D9-D8F2-4529-BD8A-8A997A70C34D}"/>
    <cellStyle name="40% - Accent1 3 7 3" xfId="11732" xr:uid="{EE4348FC-4BAB-4C12-A1D0-F60A8C57C102}"/>
    <cellStyle name="40% - Accent1 3 8" xfId="4557" xr:uid="{00000000-0005-0000-0000-000039040000}"/>
    <cellStyle name="40% - Accent1 3 8 2" xfId="13883" xr:uid="{36B08BCE-238A-4750-AE75-EFFAB0E39B91}"/>
    <cellStyle name="40% - Accent1 3 9" xfId="8862" xr:uid="{2CC30516-31CA-485E-88BE-FCC7F9756A95}"/>
    <cellStyle name="40% - Accent1 3 9 2" xfId="18186" xr:uid="{25C275E4-FB16-4B59-9B8D-8E9711BCCBCF}"/>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4E96419C-761D-4183-BC79-BF1E68CB2C72}"/>
    <cellStyle name="40% - Accent1 4 2 2 3" xfId="12227" xr:uid="{E97E950A-942A-4275-A652-819EEA5161D7}"/>
    <cellStyle name="40% - Accent1 4 2 3" xfId="4973" xr:uid="{00000000-0005-0000-0000-00003E040000}"/>
    <cellStyle name="40% - Accent1 4 2 3 2" xfId="14299" xr:uid="{F99F6F84-B087-45D5-9409-7778F010436F}"/>
    <cellStyle name="40% - Accent1 4 2 4" xfId="9373" xr:uid="{3BC949C7-8F86-44EA-9F10-CF277586B131}"/>
    <cellStyle name="40% - Accent1 4 2 4 2" xfId="18688" xr:uid="{72B7F092-2D54-4ACA-B418-6609299F89FC}"/>
    <cellStyle name="40% - Accent1 4 2 5" xfId="10082" xr:uid="{56813B50-D419-4C4D-B188-E573E30E1765}"/>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D1ABBCCB-ACFC-46B6-B63C-0F8E0D1009FF}"/>
    <cellStyle name="40% - Accent1 4 3 2 3" xfId="12640" xr:uid="{884BA227-FAE1-4A58-8CDC-D10EAC373B1F}"/>
    <cellStyle name="40% - Accent1 4 3 3" xfId="5386" xr:uid="{00000000-0005-0000-0000-000042040000}"/>
    <cellStyle name="40% - Accent1 4 3 3 2" xfId="14712" xr:uid="{FC077BFC-E694-4C0C-9A00-645C8DCC1447}"/>
    <cellStyle name="40% - Accent1 4 3 4" xfId="10495" xr:uid="{F3ECCEC7-8F8B-4DDA-B906-C12C308E3D1A}"/>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F3DD1065-5DFD-45C7-B234-AA6D5ED58B5F}"/>
    <cellStyle name="40% - Accent1 4 4 2 3" xfId="13053" xr:uid="{B77F6383-0C5B-4D36-B554-6F001B52215F}"/>
    <cellStyle name="40% - Accent1 4 4 3" xfId="5799" xr:uid="{00000000-0005-0000-0000-000046040000}"/>
    <cellStyle name="40% - Accent1 4 4 3 2" xfId="15125" xr:uid="{9BC68EC6-B5E5-4BE6-BF3F-D2C0C0157BCB}"/>
    <cellStyle name="40% - Accent1 4 4 4" xfId="10908" xr:uid="{83E589C0-EED8-4E86-A6CC-ABC9A38E2DE1}"/>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6DEF7E03-A42D-4CCB-BC97-90536C70040D}"/>
    <cellStyle name="40% - Accent1 4 5 2 3" xfId="13466" xr:uid="{A50F05DC-E394-44CA-A728-2D52F52A9B8E}"/>
    <cellStyle name="40% - Accent1 4 5 3" xfId="6212" xr:uid="{00000000-0005-0000-0000-00004A040000}"/>
    <cellStyle name="40% - Accent1 4 5 3 2" xfId="15538" xr:uid="{80211655-59F4-4379-B5A3-CF98ADA9AEC4}"/>
    <cellStyle name="40% - Accent1 4 5 4" xfId="11321" xr:uid="{5814295C-E121-4BB1-BB62-666D858037E4}"/>
    <cellStyle name="40% - Accent1 4 6" xfId="2319" xr:uid="{00000000-0005-0000-0000-00004B040000}"/>
    <cellStyle name="40% - Accent1 4 6 2" xfId="6625" xr:uid="{00000000-0005-0000-0000-00004C040000}"/>
    <cellStyle name="40% - Accent1 4 6 2 2" xfId="15951" xr:uid="{891EA3FD-3773-471A-BE10-546B2283E084}"/>
    <cellStyle name="40% - Accent1 4 6 3" xfId="11734" xr:uid="{144525DD-8F12-4094-84F0-339D5036AB4D}"/>
    <cellStyle name="40% - Accent1 4 7" xfId="4559" xr:uid="{00000000-0005-0000-0000-00004D040000}"/>
    <cellStyle name="40% - Accent1 4 7 2" xfId="13885" xr:uid="{69A2BCF8-89C9-4963-850A-DAB0AECC284A}"/>
    <cellStyle name="40% - Accent1 4 8" xfId="8948" xr:uid="{7BCBB449-71B8-4468-A700-0125C7659C3D}"/>
    <cellStyle name="40% - Accent1 4 8 2" xfId="18272" xr:uid="{AFACDF89-B652-4AF4-AFD4-7EA1511ECAEB}"/>
    <cellStyle name="40% - Accent1 4 9" xfId="9668" xr:uid="{3708A471-2188-437B-AD83-46D5E7D0F46C}"/>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9A5004F7-D0FB-4413-8E9D-38E595C12EBB}"/>
    <cellStyle name="40% - Accent1 5 2 3" xfId="12220" xr:uid="{1E249093-D590-4C91-A63B-785556BA273E}"/>
    <cellStyle name="40% - Accent1 5 3" xfId="4966" xr:uid="{00000000-0005-0000-0000-000051040000}"/>
    <cellStyle name="40% - Accent1 5 3 2" xfId="14292" xr:uid="{5AC66FBA-CB09-4407-A779-CA0C62E6B528}"/>
    <cellStyle name="40% - Accent1 5 4" xfId="9181" xr:uid="{332DA761-F1AA-4FF3-9BBB-9ECEE19D2DFF}"/>
    <cellStyle name="40% - Accent1 5 4 2" xfId="18499" xr:uid="{98B13476-53BE-4CD2-BED6-BDE306C77D55}"/>
    <cellStyle name="40% - Accent1 5 5" xfId="10075" xr:uid="{D7854702-7733-44DE-B9C8-89A335C97760}"/>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0335B701-F427-47D6-B8F8-6244614B31B0}"/>
    <cellStyle name="40% - Accent1 6 2 3" xfId="12633" xr:uid="{BB2341DB-3CF1-4AC9-8B64-06441C62B5EB}"/>
    <cellStyle name="40% - Accent1 6 3" xfId="5379" xr:uid="{00000000-0005-0000-0000-000055040000}"/>
    <cellStyle name="40% - Accent1 6 3 2" xfId="14705" xr:uid="{A7529B9F-8010-451E-B2A2-594E53677AEA}"/>
    <cellStyle name="40% - Accent1 6 4" xfId="10488" xr:uid="{4B82CB9F-1FE5-4320-BA31-AAD2CDEDA1A0}"/>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EBDF0AA3-9274-40D1-8BB5-BBE73DB283BE}"/>
    <cellStyle name="40% - Accent1 7 2 3" xfId="13046" xr:uid="{45015D14-DAC4-47F8-93B0-92B0EBB240D2}"/>
    <cellStyle name="40% - Accent1 7 3" xfId="5792" xr:uid="{00000000-0005-0000-0000-000059040000}"/>
    <cellStyle name="40% - Accent1 7 3 2" xfId="15118" xr:uid="{5BB23A5D-87A9-4C90-B875-A8479ED928C7}"/>
    <cellStyle name="40% - Accent1 7 4" xfId="10901" xr:uid="{F488BE12-2BEF-4CD0-9A2B-6B7C7C8B5614}"/>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BDE93712-BF2A-461A-8A66-089ED3131F56}"/>
    <cellStyle name="40% - Accent1 8 2 3" xfId="13459" xr:uid="{83B5CFEC-D6DF-416F-955F-1701090D4341}"/>
    <cellStyle name="40% - Accent1 8 3" xfId="6205" xr:uid="{00000000-0005-0000-0000-00005D040000}"/>
    <cellStyle name="40% - Accent1 8 3 2" xfId="15531" xr:uid="{6A664BB9-BE55-45CD-ADF2-B1FAF570F130}"/>
    <cellStyle name="40% - Accent1 8 4" xfId="11314" xr:uid="{9EF9023A-3981-462D-AA6E-84DA675E67B9}"/>
    <cellStyle name="40% - Accent1 9" xfId="2312" xr:uid="{00000000-0005-0000-0000-00005E040000}"/>
    <cellStyle name="40% - Accent1 9 2" xfId="6618" xr:uid="{00000000-0005-0000-0000-00005F040000}"/>
    <cellStyle name="40% - Accent1 9 2 2" xfId="15944" xr:uid="{93E8B0C0-8B49-411F-9FC1-E0A64C569DF3}"/>
    <cellStyle name="40% - Accent1 9 3" xfId="11727" xr:uid="{5F1F7A2A-02D3-409A-9ECA-D42CF29A8E94}"/>
    <cellStyle name="40% - Accent2" xfId="57" builtinId="35" customBuiltin="1"/>
    <cellStyle name="40% - Accent2 10" xfId="4560" xr:uid="{00000000-0005-0000-0000-000061040000}"/>
    <cellStyle name="40% - Accent2 10 2" xfId="13886" xr:uid="{FC310D75-CCE3-45A3-853C-0395B2DAD58D}"/>
    <cellStyle name="40% - Accent2 11" xfId="8761" xr:uid="{8631D9D1-53DA-4958-8F7C-AD68B7B91D61}"/>
    <cellStyle name="40% - Accent2 11 2" xfId="18085" xr:uid="{D2E8B0CE-77D6-483F-A7F6-E6E216258C4D}"/>
    <cellStyle name="40% - Accent2 12" xfId="9669" xr:uid="{4662DDD9-80FA-418A-8261-CEE49354AAAC}"/>
    <cellStyle name="40% - Accent2 2" xfId="58" xr:uid="{00000000-0005-0000-0000-000062040000}"/>
    <cellStyle name="40% - Accent2 2 10" xfId="8799" xr:uid="{E3EEC046-6E76-44A5-8D1B-64621A8F0AC5}"/>
    <cellStyle name="40% - Accent2 2 10 2" xfId="18123" xr:uid="{8919FC37-F7FE-4216-8C6E-9A7B20005F15}"/>
    <cellStyle name="40% - Accent2 2 11" xfId="9670" xr:uid="{C854034E-8BCE-4CF1-AE8B-AB75CA9B66D2}"/>
    <cellStyle name="40% - Accent2 2 2" xfId="59" xr:uid="{00000000-0005-0000-0000-000063040000}"/>
    <cellStyle name="40% - Accent2 2 2 10" xfId="9671" xr:uid="{961A4B12-BFE7-42C1-A5F0-496EB87E348C}"/>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B8AC5A70-31D7-4F51-BDB4-E84ADB1DD96E}"/>
    <cellStyle name="40% - Accent2 2 2 2 2 2 3" xfId="12231" xr:uid="{E9A5B511-4BA1-4E46-8B3F-1B14B939038A}"/>
    <cellStyle name="40% - Accent2 2 2 2 2 3" xfId="4977" xr:uid="{00000000-0005-0000-0000-000068040000}"/>
    <cellStyle name="40% - Accent2 2 2 2 2 3 2" xfId="14303" xr:uid="{499893C5-670F-458A-A4DD-3B86525993BB}"/>
    <cellStyle name="40% - Accent2 2 2 2 2 4" xfId="9534" xr:uid="{9F53A086-33FC-422E-9DFF-72D04AC43949}"/>
    <cellStyle name="40% - Accent2 2 2 2 2 4 2" xfId="18849" xr:uid="{B14E4969-01D2-444F-BA89-7ADDD5313273}"/>
    <cellStyle name="40% - Accent2 2 2 2 2 5" xfId="10086" xr:uid="{15F43EA8-922D-4C19-93D0-330057F44AD2}"/>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F4452977-3755-40AB-B7B7-B401F4C15CEE}"/>
    <cellStyle name="40% - Accent2 2 2 2 3 2 3" xfId="12644" xr:uid="{A75C17DD-0995-4B8E-AC64-5BC23D14F154}"/>
    <cellStyle name="40% - Accent2 2 2 2 3 3" xfId="5390" xr:uid="{00000000-0005-0000-0000-00006C040000}"/>
    <cellStyle name="40% - Accent2 2 2 2 3 3 2" xfId="14716" xr:uid="{4953CAC2-1E4B-4B24-9A26-5A4B3B14A744}"/>
    <cellStyle name="40% - Accent2 2 2 2 3 4" xfId="10499" xr:uid="{06C089A6-4EF4-47FD-BAE3-F0BC4DBE3C97}"/>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2D4A99EB-54DB-48DB-B781-939313815F29}"/>
    <cellStyle name="40% - Accent2 2 2 2 4 2 3" xfId="13057" xr:uid="{07906812-90E9-4B64-B45B-DE91FD2594FF}"/>
    <cellStyle name="40% - Accent2 2 2 2 4 3" xfId="5803" xr:uid="{00000000-0005-0000-0000-000070040000}"/>
    <cellStyle name="40% - Accent2 2 2 2 4 3 2" xfId="15129" xr:uid="{35A97C7E-D40F-4248-8CE5-38CE87212D68}"/>
    <cellStyle name="40% - Accent2 2 2 2 4 4" xfId="10912" xr:uid="{0825B535-1713-4A12-80D7-FA2B84B52DA2}"/>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B5C46CD4-01A5-42C9-8C92-B520E4DE3871}"/>
    <cellStyle name="40% - Accent2 2 2 2 5 2 3" xfId="13470" xr:uid="{54865B30-D2A0-45EF-8060-D3BAA0C8F825}"/>
    <cellStyle name="40% - Accent2 2 2 2 5 3" xfId="6216" xr:uid="{00000000-0005-0000-0000-000074040000}"/>
    <cellStyle name="40% - Accent2 2 2 2 5 3 2" xfId="15542" xr:uid="{65562E57-0188-4EFF-BEEA-F658C0AAD102}"/>
    <cellStyle name="40% - Accent2 2 2 2 5 4" xfId="11325" xr:uid="{231D16DB-0486-440F-8C4F-7E64782A0FF3}"/>
    <cellStyle name="40% - Accent2 2 2 2 6" xfId="2323" xr:uid="{00000000-0005-0000-0000-000075040000}"/>
    <cellStyle name="40% - Accent2 2 2 2 6 2" xfId="6629" xr:uid="{00000000-0005-0000-0000-000076040000}"/>
    <cellStyle name="40% - Accent2 2 2 2 6 2 2" xfId="15955" xr:uid="{CAE694D0-7CD1-4BA9-A151-310E178C9808}"/>
    <cellStyle name="40% - Accent2 2 2 2 6 3" xfId="11738" xr:uid="{43954CAF-0DA3-48A4-A4E5-A8061BF7372F}"/>
    <cellStyle name="40% - Accent2 2 2 2 7" xfId="4563" xr:uid="{00000000-0005-0000-0000-000077040000}"/>
    <cellStyle name="40% - Accent2 2 2 2 7 2" xfId="13889" xr:uid="{CBB7C661-814A-436A-B389-15543CEBC149}"/>
    <cellStyle name="40% - Accent2 2 2 2 8" xfId="9109" xr:uid="{73F0012D-4386-4224-BFB0-7DB1C0E98822}"/>
    <cellStyle name="40% - Accent2 2 2 2 8 2" xfId="18433" xr:uid="{CD12341F-6DB1-4108-A223-3DC26D7F485B}"/>
    <cellStyle name="40% - Accent2 2 2 2 9" xfId="9672" xr:uid="{1DABC0DF-2E65-41F8-978C-A796471BFC33}"/>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604AB8A1-F639-4046-BABB-0227040DC9D0}"/>
    <cellStyle name="40% - Accent2 2 2 3 2 3" xfId="12230" xr:uid="{6714997A-9067-4A8A-9909-2B81626D04F8}"/>
    <cellStyle name="40% - Accent2 2 2 3 3" xfId="4976" xr:uid="{00000000-0005-0000-0000-00007B040000}"/>
    <cellStyle name="40% - Accent2 2 2 3 3 2" xfId="14302" xr:uid="{6681DD4A-F163-4477-BB4D-DFF81C2BFAFE}"/>
    <cellStyle name="40% - Accent2 2 2 3 4" xfId="9327" xr:uid="{F2BC9A12-B689-4B73-B71E-77A9F0BC7FE4}"/>
    <cellStyle name="40% - Accent2 2 2 3 4 2" xfId="18642" xr:uid="{9A215878-91FF-4C3C-BC7B-390AFB4EB2E7}"/>
    <cellStyle name="40% - Accent2 2 2 3 5" xfId="10085" xr:uid="{04301ED8-C6C3-45AE-BB40-F9F9D2A49E8A}"/>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9315C38A-CC94-4468-942C-C8A86CB59A9E}"/>
    <cellStyle name="40% - Accent2 2 2 4 2 3" xfId="12643" xr:uid="{DF693F2B-73EE-4F9F-972F-52DE87813AAB}"/>
    <cellStyle name="40% - Accent2 2 2 4 3" xfId="5389" xr:uid="{00000000-0005-0000-0000-00007F040000}"/>
    <cellStyle name="40% - Accent2 2 2 4 3 2" xfId="14715" xr:uid="{D81FD6FF-32DC-4E8D-9FC2-58BAC17088D1}"/>
    <cellStyle name="40% - Accent2 2 2 4 4" xfId="10498" xr:uid="{C7EFEDC5-F178-48EA-B996-C71604C58E62}"/>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8D4BC1E4-EED7-452E-9D1A-7887BB8887D3}"/>
    <cellStyle name="40% - Accent2 2 2 5 2 3" xfId="13056" xr:uid="{2144A797-DE84-4C46-B2EB-1ECDC135A835}"/>
    <cellStyle name="40% - Accent2 2 2 5 3" xfId="5802" xr:uid="{00000000-0005-0000-0000-000083040000}"/>
    <cellStyle name="40% - Accent2 2 2 5 3 2" xfId="15128" xr:uid="{E12D7312-A32E-4893-AC78-1F792BB66819}"/>
    <cellStyle name="40% - Accent2 2 2 5 4" xfId="10911" xr:uid="{410222B3-094B-448E-8A7D-773134F9C5EA}"/>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BDF90F4B-6365-4DA4-9272-97152E896376}"/>
    <cellStyle name="40% - Accent2 2 2 6 2 3" xfId="13469" xr:uid="{36366286-6AC2-4CA8-9064-97AB590F1721}"/>
    <cellStyle name="40% - Accent2 2 2 6 3" xfId="6215" xr:uid="{00000000-0005-0000-0000-000087040000}"/>
    <cellStyle name="40% - Accent2 2 2 6 3 2" xfId="15541" xr:uid="{81095D80-EF21-4FFE-887F-B1DD40FB1612}"/>
    <cellStyle name="40% - Accent2 2 2 6 4" xfId="11324" xr:uid="{12B3735A-F26D-4D59-B917-FB72385E89B1}"/>
    <cellStyle name="40% - Accent2 2 2 7" xfId="2322" xr:uid="{00000000-0005-0000-0000-000088040000}"/>
    <cellStyle name="40% - Accent2 2 2 7 2" xfId="6628" xr:uid="{00000000-0005-0000-0000-000089040000}"/>
    <cellStyle name="40% - Accent2 2 2 7 2 2" xfId="15954" xr:uid="{AD96A82C-9A6F-4453-82B3-9C753797CE96}"/>
    <cellStyle name="40% - Accent2 2 2 7 3" xfId="11737" xr:uid="{8CD908E3-B842-4C6D-B7D6-A3396386419F}"/>
    <cellStyle name="40% - Accent2 2 2 8" xfId="4562" xr:uid="{00000000-0005-0000-0000-00008A040000}"/>
    <cellStyle name="40% - Accent2 2 2 8 2" xfId="13888" xr:uid="{1B116EFD-948C-4449-83BD-B909DFC184B5}"/>
    <cellStyle name="40% - Accent2 2 2 9" xfId="8902" xr:uid="{5D0C2022-B7A4-4DE2-895F-9E4BE510A7B9}"/>
    <cellStyle name="40% - Accent2 2 2 9 2" xfId="18226" xr:uid="{70B27C4F-FF7F-4721-AF8A-C6712397E521}"/>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D394A3FE-FFAE-4A8D-8E98-A41F69AA07B1}"/>
    <cellStyle name="40% - Accent2 2 3 2 2 3" xfId="12232" xr:uid="{08BF20E0-667B-4A96-9190-CF0D63D2D513}"/>
    <cellStyle name="40% - Accent2 2 3 2 3" xfId="4978" xr:uid="{00000000-0005-0000-0000-00008F040000}"/>
    <cellStyle name="40% - Accent2 2 3 2 3 2" xfId="14304" xr:uid="{414EF24A-59EB-42A9-9D1D-6A567860EF10}"/>
    <cellStyle name="40% - Accent2 2 3 2 4" xfId="9431" xr:uid="{BD4E3561-302E-4359-AAF3-4F2E007BC697}"/>
    <cellStyle name="40% - Accent2 2 3 2 4 2" xfId="18746" xr:uid="{625A153C-4E98-4B82-8487-F12AEE6F3896}"/>
    <cellStyle name="40% - Accent2 2 3 2 5" xfId="10087" xr:uid="{4E714CD1-C6D3-4CAE-9F9F-D5226BB18947}"/>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E703E602-2DBC-40AD-8D0D-8F5E1A6BC91E}"/>
    <cellStyle name="40% - Accent2 2 3 3 2 3" xfId="12645" xr:uid="{D844EA1A-8050-4C18-A893-E94C20DE0DE7}"/>
    <cellStyle name="40% - Accent2 2 3 3 3" xfId="5391" xr:uid="{00000000-0005-0000-0000-000093040000}"/>
    <cellStyle name="40% - Accent2 2 3 3 3 2" xfId="14717" xr:uid="{AC60C73F-3C85-4011-9F8A-CA238216D4A1}"/>
    <cellStyle name="40% - Accent2 2 3 3 4" xfId="10500" xr:uid="{9BD11C62-3DE0-44A9-BF4D-E6213C04AF6D}"/>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B60803D8-00A1-45CB-9092-01C5DB1F5ED1}"/>
    <cellStyle name="40% - Accent2 2 3 4 2 3" xfId="13058" xr:uid="{E2D401EF-500E-453E-8E16-187F8564E429}"/>
    <cellStyle name="40% - Accent2 2 3 4 3" xfId="5804" xr:uid="{00000000-0005-0000-0000-000097040000}"/>
    <cellStyle name="40% - Accent2 2 3 4 3 2" xfId="15130" xr:uid="{AFB20981-D92A-409A-84B4-D38ED59128C1}"/>
    <cellStyle name="40% - Accent2 2 3 4 4" xfId="10913" xr:uid="{96D40D4F-5CE3-4E95-8574-74BA9AE6FC9E}"/>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46F18081-BB99-4C68-BFF2-9213BC976217}"/>
    <cellStyle name="40% - Accent2 2 3 5 2 3" xfId="13471" xr:uid="{CC0BD486-24DD-4B8D-BF56-22C474CF02FB}"/>
    <cellStyle name="40% - Accent2 2 3 5 3" xfId="6217" xr:uid="{00000000-0005-0000-0000-00009B040000}"/>
    <cellStyle name="40% - Accent2 2 3 5 3 2" xfId="15543" xr:uid="{0CDA383B-C636-4016-B177-3DBC325A0E3D}"/>
    <cellStyle name="40% - Accent2 2 3 5 4" xfId="11326" xr:uid="{F7321A18-9224-4A04-A5E4-5A6DC0DDE955}"/>
    <cellStyle name="40% - Accent2 2 3 6" xfId="2324" xr:uid="{00000000-0005-0000-0000-00009C040000}"/>
    <cellStyle name="40% - Accent2 2 3 6 2" xfId="6630" xr:uid="{00000000-0005-0000-0000-00009D040000}"/>
    <cellStyle name="40% - Accent2 2 3 6 2 2" xfId="15956" xr:uid="{437F7936-9F3E-4F30-B047-48D39CFB8E5E}"/>
    <cellStyle name="40% - Accent2 2 3 6 3" xfId="11739" xr:uid="{573F8941-2EA4-4C11-B58D-EEBA59C3F22B}"/>
    <cellStyle name="40% - Accent2 2 3 7" xfId="4564" xr:uid="{00000000-0005-0000-0000-00009E040000}"/>
    <cellStyle name="40% - Accent2 2 3 7 2" xfId="13890" xr:uid="{FFAC52AD-3890-497D-A509-AB1BAB9B8AC0}"/>
    <cellStyle name="40% - Accent2 2 3 8" xfId="9006" xr:uid="{E6E89EA5-B76F-4FCC-89B9-DD4135B6364B}"/>
    <cellStyle name="40% - Accent2 2 3 8 2" xfId="18330" xr:uid="{0A6E3BA8-2A3A-4B94-8A84-6FFEAF5D762B}"/>
    <cellStyle name="40% - Accent2 2 3 9" xfId="9673" xr:uid="{E8401CF7-A6E8-48A4-A089-2C41B00B8774}"/>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58E2DF1F-141D-4C46-977B-0B1CB084BB1F}"/>
    <cellStyle name="40% - Accent2 2 4 2 3" xfId="12229" xr:uid="{B304257E-2052-4A15-9A9C-17532DB656CE}"/>
    <cellStyle name="40% - Accent2 2 4 3" xfId="4975" xr:uid="{00000000-0005-0000-0000-0000A2040000}"/>
    <cellStyle name="40% - Accent2 2 4 3 2" xfId="14301" xr:uid="{23328A38-5519-463F-938D-421712FD9837}"/>
    <cellStyle name="40% - Accent2 2 4 4" xfId="9223" xr:uid="{FA9890B4-781A-4E4C-81EE-BC7448559828}"/>
    <cellStyle name="40% - Accent2 2 4 4 2" xfId="18539" xr:uid="{3A4AC93C-E6DC-4EF8-9965-FE0E7B960CDB}"/>
    <cellStyle name="40% - Accent2 2 4 5" xfId="10084" xr:uid="{89FCB509-A7D7-4545-9EE2-8F406D02B571}"/>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AE5D4C54-0028-4583-9732-616C62DCCB99}"/>
    <cellStyle name="40% - Accent2 2 5 2 3" xfId="12642" xr:uid="{CC2C9FCD-E2B3-454C-B556-E21D8D7EC641}"/>
    <cellStyle name="40% - Accent2 2 5 3" xfId="5388" xr:uid="{00000000-0005-0000-0000-0000A6040000}"/>
    <cellStyle name="40% - Accent2 2 5 3 2" xfId="14714" xr:uid="{3A866332-016A-471B-B133-7647A37EB54B}"/>
    <cellStyle name="40% - Accent2 2 5 4" xfId="10497" xr:uid="{734F36A5-C387-4D04-9DB7-BA8D3AB46307}"/>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2115EEB9-B19A-472A-98AD-FA1734F8455B}"/>
    <cellStyle name="40% - Accent2 2 6 2 3" xfId="13055" xr:uid="{A776A0C9-E379-48C8-A050-855ADBE851D0}"/>
    <cellStyle name="40% - Accent2 2 6 3" xfId="5801" xr:uid="{00000000-0005-0000-0000-0000AA040000}"/>
    <cellStyle name="40% - Accent2 2 6 3 2" xfId="15127" xr:uid="{3EB4487C-DD5D-43EC-A1F5-A29AF575F98D}"/>
    <cellStyle name="40% - Accent2 2 6 4" xfId="10910" xr:uid="{F4D21FEE-F417-4D1A-A76F-375B6B25403F}"/>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2CE2F2AE-1B93-40A8-BE2B-4110D6FDAC59}"/>
    <cellStyle name="40% - Accent2 2 7 2 3" xfId="13468" xr:uid="{B8A59F00-24B8-4F1A-AD43-7E7866DCAE64}"/>
    <cellStyle name="40% - Accent2 2 7 3" xfId="6214" xr:uid="{00000000-0005-0000-0000-0000AE040000}"/>
    <cellStyle name="40% - Accent2 2 7 3 2" xfId="15540" xr:uid="{3B640765-3F91-4E80-B11C-0AD4FA5A70FF}"/>
    <cellStyle name="40% - Accent2 2 7 4" xfId="11323" xr:uid="{B550D807-E725-41AB-9356-B88760BB4378}"/>
    <cellStyle name="40% - Accent2 2 8" xfId="2321" xr:uid="{00000000-0005-0000-0000-0000AF040000}"/>
    <cellStyle name="40% - Accent2 2 8 2" xfId="6627" xr:uid="{00000000-0005-0000-0000-0000B0040000}"/>
    <cellStyle name="40% - Accent2 2 8 2 2" xfId="15953" xr:uid="{EC546C22-4066-4485-B582-0CFB16981C23}"/>
    <cellStyle name="40% - Accent2 2 8 3" xfId="11736" xr:uid="{AA432116-098A-4D9D-AF6A-154592D7E01D}"/>
    <cellStyle name="40% - Accent2 2 9" xfId="4561" xr:uid="{00000000-0005-0000-0000-0000B1040000}"/>
    <cellStyle name="40% - Accent2 2 9 2" xfId="13887" xr:uid="{D870AFC8-57E8-44EC-A33F-077935E53085}"/>
    <cellStyle name="40% - Accent2 3" xfId="62" xr:uid="{00000000-0005-0000-0000-0000B2040000}"/>
    <cellStyle name="40% - Accent2 3 10" xfId="9674" xr:uid="{4E796970-3F32-42CB-97F0-CF4F1978A167}"/>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5DB2D9B2-CE7F-4F0D-8055-7269C50F66CE}"/>
    <cellStyle name="40% - Accent2 3 2 2 2 3" xfId="12234" xr:uid="{9836D9D7-5DA5-419C-8001-94F242B2706B}"/>
    <cellStyle name="40% - Accent2 3 2 2 3" xfId="4980" xr:uid="{00000000-0005-0000-0000-0000B7040000}"/>
    <cellStyle name="40% - Accent2 3 2 2 3 2" xfId="14306" xr:uid="{0AE23589-5E75-4FEB-B2B9-4CEC0F7677BB}"/>
    <cellStyle name="40% - Accent2 3 2 2 4" xfId="9496" xr:uid="{700FA1AF-D943-4FDB-BFB1-F903AD1F731A}"/>
    <cellStyle name="40% - Accent2 3 2 2 4 2" xfId="18811" xr:uid="{3AABA11A-9CAB-4882-862C-2C8FF2ED9BE4}"/>
    <cellStyle name="40% - Accent2 3 2 2 5" xfId="10089" xr:uid="{23E3A0E8-E4B2-4EF6-936B-B6D86657D484}"/>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A92E4CBA-F642-460C-B915-CCF92FADDB7F}"/>
    <cellStyle name="40% - Accent2 3 2 3 2 3" xfId="12647" xr:uid="{74113635-1451-40B6-B026-BB64CF58715B}"/>
    <cellStyle name="40% - Accent2 3 2 3 3" xfId="5393" xr:uid="{00000000-0005-0000-0000-0000BB040000}"/>
    <cellStyle name="40% - Accent2 3 2 3 3 2" xfId="14719" xr:uid="{70C52DA9-9B50-4601-ABFE-AD71B29115A5}"/>
    <cellStyle name="40% - Accent2 3 2 3 4" xfId="10502" xr:uid="{C78E9E81-234D-456F-8C8B-60516CFFECE3}"/>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4BBF8776-78AA-45F1-B452-684FD6433F7B}"/>
    <cellStyle name="40% - Accent2 3 2 4 2 3" xfId="13060" xr:uid="{4DDDCB88-D796-4107-A1AB-E51F0D2FBFE7}"/>
    <cellStyle name="40% - Accent2 3 2 4 3" xfId="5806" xr:uid="{00000000-0005-0000-0000-0000BF040000}"/>
    <cellStyle name="40% - Accent2 3 2 4 3 2" xfId="15132" xr:uid="{C39C1E85-74F4-488A-8E1B-2462951D9EC9}"/>
    <cellStyle name="40% - Accent2 3 2 4 4" xfId="10915" xr:uid="{C40D77DE-BB3A-4957-AE9E-E82EE10DA688}"/>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05BE6607-A7C6-4DBB-B753-463DD2281628}"/>
    <cellStyle name="40% - Accent2 3 2 5 2 3" xfId="13473" xr:uid="{62F174FF-CF56-449A-A515-BFEDC9F5346A}"/>
    <cellStyle name="40% - Accent2 3 2 5 3" xfId="6219" xr:uid="{00000000-0005-0000-0000-0000C3040000}"/>
    <cellStyle name="40% - Accent2 3 2 5 3 2" xfId="15545" xr:uid="{59E69CEA-1ADB-40B8-84CB-C4CF948BBE49}"/>
    <cellStyle name="40% - Accent2 3 2 5 4" xfId="11328" xr:uid="{0586BAF0-E677-4BDE-88A2-212C9C8E49BD}"/>
    <cellStyle name="40% - Accent2 3 2 6" xfId="2326" xr:uid="{00000000-0005-0000-0000-0000C4040000}"/>
    <cellStyle name="40% - Accent2 3 2 6 2" xfId="6632" xr:uid="{00000000-0005-0000-0000-0000C5040000}"/>
    <cellStyle name="40% - Accent2 3 2 6 2 2" xfId="15958" xr:uid="{30B5AA2C-D684-475A-955B-A56665CBC92D}"/>
    <cellStyle name="40% - Accent2 3 2 6 3" xfId="11741" xr:uid="{3438446A-C2D8-47EA-B85C-75495F305173}"/>
    <cellStyle name="40% - Accent2 3 2 7" xfId="4566" xr:uid="{00000000-0005-0000-0000-0000C6040000}"/>
    <cellStyle name="40% - Accent2 3 2 7 2" xfId="13892" xr:uid="{F9074781-68B1-44FE-8DCD-E7F66262D5B3}"/>
    <cellStyle name="40% - Accent2 3 2 8" xfId="9071" xr:uid="{B5463F05-11FC-4377-B380-DDB549C63AA9}"/>
    <cellStyle name="40% - Accent2 3 2 8 2" xfId="18395" xr:uid="{2471529E-2139-4621-8C7F-0CFE8F448826}"/>
    <cellStyle name="40% - Accent2 3 2 9" xfId="9675" xr:uid="{1724AE6C-9B01-46C7-9716-C31F05C1AB84}"/>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E5E1248D-5AB6-48F0-94C2-FDD7B7013801}"/>
    <cellStyle name="40% - Accent2 3 3 2 3" xfId="12233" xr:uid="{B486DDBD-EF9B-4F25-8708-06B9714C6AC3}"/>
    <cellStyle name="40% - Accent2 3 3 3" xfId="4979" xr:uid="{00000000-0005-0000-0000-0000CA040000}"/>
    <cellStyle name="40% - Accent2 3 3 3 2" xfId="14305" xr:uid="{7663CD4C-7581-4B45-8F3F-6841451916A7}"/>
    <cellStyle name="40% - Accent2 3 3 4" xfId="9289" xr:uid="{B234EB9F-4AFE-41A2-A17D-ABC1D0F80875}"/>
    <cellStyle name="40% - Accent2 3 3 4 2" xfId="18604" xr:uid="{A6E63438-B389-42BF-B3D8-1EF1F0062100}"/>
    <cellStyle name="40% - Accent2 3 3 5" xfId="10088" xr:uid="{B1F054D5-9D25-4B60-BA32-63A768C8EC4E}"/>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DC6CFF08-6EAA-44D1-B6C6-AFD782EE79CA}"/>
    <cellStyle name="40% - Accent2 3 4 2 3" xfId="12646" xr:uid="{961B920D-E4E9-4053-84C4-DB274A75A318}"/>
    <cellStyle name="40% - Accent2 3 4 3" xfId="5392" xr:uid="{00000000-0005-0000-0000-0000CE040000}"/>
    <cellStyle name="40% - Accent2 3 4 3 2" xfId="14718" xr:uid="{E870606F-7B5E-4AE0-99F6-3D6443C8A44F}"/>
    <cellStyle name="40% - Accent2 3 4 4" xfId="10501" xr:uid="{406E995F-D43A-406A-BDAC-44BB335864E7}"/>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24FD1865-94C8-4D8F-BD81-729EA6AB8D46}"/>
    <cellStyle name="40% - Accent2 3 5 2 3" xfId="13059" xr:uid="{C8004BC9-3CE0-456D-9335-2435CB19A6C2}"/>
    <cellStyle name="40% - Accent2 3 5 3" xfId="5805" xr:uid="{00000000-0005-0000-0000-0000D2040000}"/>
    <cellStyle name="40% - Accent2 3 5 3 2" xfId="15131" xr:uid="{69884906-C303-40BE-A26F-0E9A22AC0BB0}"/>
    <cellStyle name="40% - Accent2 3 5 4" xfId="10914" xr:uid="{309FD4E2-B7F9-48EB-98E8-6CE76CEE1FF4}"/>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5667812D-0E8D-4DFD-B705-EA83B7FE9DB9}"/>
    <cellStyle name="40% - Accent2 3 6 2 3" xfId="13472" xr:uid="{1362182B-0883-4FBA-BCFC-6A9E9A001F93}"/>
    <cellStyle name="40% - Accent2 3 6 3" xfId="6218" xr:uid="{00000000-0005-0000-0000-0000D6040000}"/>
    <cellStyle name="40% - Accent2 3 6 3 2" xfId="15544" xr:uid="{3EF82BB4-01E4-4A70-9213-1FBF552F01AB}"/>
    <cellStyle name="40% - Accent2 3 6 4" xfId="11327" xr:uid="{E82AB4EE-10FD-4913-830F-F0E75E64108F}"/>
    <cellStyle name="40% - Accent2 3 7" xfId="2325" xr:uid="{00000000-0005-0000-0000-0000D7040000}"/>
    <cellStyle name="40% - Accent2 3 7 2" xfId="6631" xr:uid="{00000000-0005-0000-0000-0000D8040000}"/>
    <cellStyle name="40% - Accent2 3 7 2 2" xfId="15957" xr:uid="{3960DC92-927A-4F1B-B20E-9C6417066CB5}"/>
    <cellStyle name="40% - Accent2 3 7 3" xfId="11740" xr:uid="{3EF64FEC-6B64-44E7-B810-086734B0A9EA}"/>
    <cellStyle name="40% - Accent2 3 8" xfId="4565" xr:uid="{00000000-0005-0000-0000-0000D9040000}"/>
    <cellStyle name="40% - Accent2 3 8 2" xfId="13891" xr:uid="{5137941A-2811-444E-97C2-C2349FC20FF8}"/>
    <cellStyle name="40% - Accent2 3 9" xfId="8864" xr:uid="{311EF031-8CA9-4ACC-8705-6D408E1B50DB}"/>
    <cellStyle name="40% - Accent2 3 9 2" xfId="18188" xr:uid="{28E7B31F-9450-4126-9246-D2365BD4583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0440F399-B713-409C-8FD5-B55F6C2A00E5}"/>
    <cellStyle name="40% - Accent2 4 2 2 3" xfId="12235" xr:uid="{C7CA82DB-1572-4394-95D8-EA6C5DA59EC7}"/>
    <cellStyle name="40% - Accent2 4 2 3" xfId="4981" xr:uid="{00000000-0005-0000-0000-0000DE040000}"/>
    <cellStyle name="40% - Accent2 4 2 3 2" xfId="14307" xr:uid="{8F341E6A-0271-440C-A46E-865F8F5F6422}"/>
    <cellStyle name="40% - Accent2 4 2 4" xfId="9375" xr:uid="{E0F8B4F7-419E-40A5-89E1-F3F0DF6ADFF8}"/>
    <cellStyle name="40% - Accent2 4 2 4 2" xfId="18690" xr:uid="{B11EA8A2-3EB4-40D3-8DFE-4B3279C353DA}"/>
    <cellStyle name="40% - Accent2 4 2 5" xfId="10090" xr:uid="{F69459C8-F67E-43B7-AE21-826F3BFBDD66}"/>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E4C6A230-FF88-4D88-A2E7-2E684FF5A0C1}"/>
    <cellStyle name="40% - Accent2 4 3 2 3" xfId="12648" xr:uid="{4ADACA9B-C0A7-4756-9DC4-62E19F169DBF}"/>
    <cellStyle name="40% - Accent2 4 3 3" xfId="5394" xr:uid="{00000000-0005-0000-0000-0000E2040000}"/>
    <cellStyle name="40% - Accent2 4 3 3 2" xfId="14720" xr:uid="{3C350C29-CA6E-4850-9C9A-9E8C41EE7515}"/>
    <cellStyle name="40% - Accent2 4 3 4" xfId="10503" xr:uid="{CB4E283C-EBAD-45E0-BF6E-D3133CF72834}"/>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93756C16-C065-4C24-88D2-CD84F2227934}"/>
    <cellStyle name="40% - Accent2 4 4 2 3" xfId="13061" xr:uid="{414FBFE2-ADEA-43BE-A0E6-6609C40E0E04}"/>
    <cellStyle name="40% - Accent2 4 4 3" xfId="5807" xr:uid="{00000000-0005-0000-0000-0000E6040000}"/>
    <cellStyle name="40% - Accent2 4 4 3 2" xfId="15133" xr:uid="{42D26603-9710-475F-97DE-478D3D160AD0}"/>
    <cellStyle name="40% - Accent2 4 4 4" xfId="10916" xr:uid="{FB4A7084-3F86-44C7-8CDC-4E94487B7CC1}"/>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40BFB2F7-A952-464E-80FB-D7D34721B2C4}"/>
    <cellStyle name="40% - Accent2 4 5 2 3" xfId="13474" xr:uid="{ACA1B782-D24C-4285-8C5C-2785EB5DA6A7}"/>
    <cellStyle name="40% - Accent2 4 5 3" xfId="6220" xr:uid="{00000000-0005-0000-0000-0000EA040000}"/>
    <cellStyle name="40% - Accent2 4 5 3 2" xfId="15546" xr:uid="{BA7AEAAA-6D1E-4631-BEC0-840B3F3B67F8}"/>
    <cellStyle name="40% - Accent2 4 5 4" xfId="11329" xr:uid="{A30B0C86-C727-450A-BFA8-630C33244043}"/>
    <cellStyle name="40% - Accent2 4 6" xfId="2327" xr:uid="{00000000-0005-0000-0000-0000EB040000}"/>
    <cellStyle name="40% - Accent2 4 6 2" xfId="6633" xr:uid="{00000000-0005-0000-0000-0000EC040000}"/>
    <cellStyle name="40% - Accent2 4 6 2 2" xfId="15959" xr:uid="{86996481-76E9-4D4B-882F-DE75723DD033}"/>
    <cellStyle name="40% - Accent2 4 6 3" xfId="11742" xr:uid="{5CC99CD9-15A7-4DD6-BB3C-B328F48B3773}"/>
    <cellStyle name="40% - Accent2 4 7" xfId="4567" xr:uid="{00000000-0005-0000-0000-0000ED040000}"/>
    <cellStyle name="40% - Accent2 4 7 2" xfId="13893" xr:uid="{26AFA223-8C86-42AA-AB81-64243B530FCA}"/>
    <cellStyle name="40% - Accent2 4 8" xfId="8950" xr:uid="{02FCA414-0598-4779-8636-7B176A3552C0}"/>
    <cellStyle name="40% - Accent2 4 8 2" xfId="18274" xr:uid="{F1814EA2-ACED-41BC-91CE-F6F294FB2866}"/>
    <cellStyle name="40% - Accent2 4 9" xfId="9676" xr:uid="{CC360B69-1B46-4C5A-BF01-CC7616648CE3}"/>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24B9B20D-D0B4-4870-A11A-69C67AD3CCF4}"/>
    <cellStyle name="40% - Accent2 5 2 3" xfId="12228" xr:uid="{F358B318-DE3B-456B-89F8-A457F543CFFA}"/>
    <cellStyle name="40% - Accent2 5 3" xfId="4974" xr:uid="{00000000-0005-0000-0000-0000F1040000}"/>
    <cellStyle name="40% - Accent2 5 3 2" xfId="14300" xr:uid="{CD2F5EB0-5FB7-4012-885B-AA931A517520}"/>
    <cellStyle name="40% - Accent2 5 4" xfId="9183" xr:uid="{071EDB8E-9FD1-4063-BCEF-70B734E5ECF1}"/>
    <cellStyle name="40% - Accent2 5 4 2" xfId="18501" xr:uid="{29002CD4-CB6D-4D5F-9C85-9B5E6E7CCDD7}"/>
    <cellStyle name="40% - Accent2 5 5" xfId="10083" xr:uid="{637BD390-0288-4223-AB7F-1150C73A1674}"/>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8549701D-7827-43CF-BA84-D3EFFEA1D5CA}"/>
    <cellStyle name="40% - Accent2 6 2 3" xfId="12641" xr:uid="{EC1F1CAA-B25C-4A64-B10E-4CB5222F83C7}"/>
    <cellStyle name="40% - Accent2 6 3" xfId="5387" xr:uid="{00000000-0005-0000-0000-0000F5040000}"/>
    <cellStyle name="40% - Accent2 6 3 2" xfId="14713" xr:uid="{BEA9C956-F222-42CC-B1FC-CB3330FD08B9}"/>
    <cellStyle name="40% - Accent2 6 4" xfId="10496" xr:uid="{511B9956-3461-4EFE-9D48-001C3469676F}"/>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7C98EF9C-3B01-4EC9-B7B1-40735CD56BED}"/>
    <cellStyle name="40% - Accent2 7 2 3" xfId="13054" xr:uid="{8617B9C8-2FC1-4AD2-81D5-18B9CF145C91}"/>
    <cellStyle name="40% - Accent2 7 3" xfId="5800" xr:uid="{00000000-0005-0000-0000-0000F9040000}"/>
    <cellStyle name="40% - Accent2 7 3 2" xfId="15126" xr:uid="{8D6F996C-23D4-4EA4-B1CE-FF1C51DB3172}"/>
    <cellStyle name="40% - Accent2 7 4" xfId="10909" xr:uid="{32DB19C2-D1B0-4660-A47C-EC9A964A331B}"/>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89228E70-6BF2-4613-80D7-F75876275393}"/>
    <cellStyle name="40% - Accent2 8 2 3" xfId="13467" xr:uid="{97434E1A-2EF6-49B3-9444-AC87782E89CC}"/>
    <cellStyle name="40% - Accent2 8 3" xfId="6213" xr:uid="{00000000-0005-0000-0000-0000FD040000}"/>
    <cellStyle name="40% - Accent2 8 3 2" xfId="15539" xr:uid="{C05CD18E-C89C-4C95-B8AF-A21B3E2E5EC5}"/>
    <cellStyle name="40% - Accent2 8 4" xfId="11322" xr:uid="{700AE742-2F59-479C-8EF3-92267FD9BA2F}"/>
    <cellStyle name="40% - Accent2 9" xfId="2320" xr:uid="{00000000-0005-0000-0000-0000FE040000}"/>
    <cellStyle name="40% - Accent2 9 2" xfId="6626" xr:uid="{00000000-0005-0000-0000-0000FF040000}"/>
    <cellStyle name="40% - Accent2 9 2 2" xfId="15952" xr:uid="{1EAFE642-D310-41BE-B462-8DF6E8C700C8}"/>
    <cellStyle name="40% - Accent2 9 3" xfId="11735" xr:uid="{B1509951-D459-4C1C-93D9-406A999D8028}"/>
    <cellStyle name="40% - Accent3" xfId="65" builtinId="39" customBuiltin="1"/>
    <cellStyle name="40% - Accent3 10" xfId="4568" xr:uid="{00000000-0005-0000-0000-000001050000}"/>
    <cellStyle name="40% - Accent3 10 2" xfId="13894" xr:uid="{606C65DB-DC92-4D49-8C61-13EEF75D22B4}"/>
    <cellStyle name="40% - Accent3 11" xfId="8763" xr:uid="{CEFBFA85-5B68-4AEB-BF0D-8E604938B05F}"/>
    <cellStyle name="40% - Accent3 11 2" xfId="18087" xr:uid="{773D0607-8039-4E9F-BE9E-A2EB1CFD1ABB}"/>
    <cellStyle name="40% - Accent3 12" xfId="9677" xr:uid="{631E4CB5-E5D9-41EA-8D0A-FA8AFBE79DEA}"/>
    <cellStyle name="40% - Accent3 2" xfId="66" xr:uid="{00000000-0005-0000-0000-000002050000}"/>
    <cellStyle name="40% - Accent3 2 10" xfId="8800" xr:uid="{00FF2AAD-7D96-45B5-8981-0BB923A3505B}"/>
    <cellStyle name="40% - Accent3 2 10 2" xfId="18124" xr:uid="{08C212EF-0394-4A12-8CF9-F0E34D0CFCD8}"/>
    <cellStyle name="40% - Accent3 2 11" xfId="9678" xr:uid="{21B2A2C2-7D9B-499C-98D8-1CA48439B45D}"/>
    <cellStyle name="40% - Accent3 2 2" xfId="67" xr:uid="{00000000-0005-0000-0000-000003050000}"/>
    <cellStyle name="40% - Accent3 2 2 10" xfId="9679" xr:uid="{9558CFD9-ADAB-4829-ACB2-A23146326091}"/>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535AA7F7-754A-4BF4-978D-DCB81BEDDC65}"/>
    <cellStyle name="40% - Accent3 2 2 2 2 2 3" xfId="12239" xr:uid="{98F61200-1307-47AA-9E4B-99D9305C8CA2}"/>
    <cellStyle name="40% - Accent3 2 2 2 2 3" xfId="4985" xr:uid="{00000000-0005-0000-0000-000008050000}"/>
    <cellStyle name="40% - Accent3 2 2 2 2 3 2" xfId="14311" xr:uid="{C22381AD-0F47-4496-842A-855C9A3089CE}"/>
    <cellStyle name="40% - Accent3 2 2 2 2 4" xfId="9535" xr:uid="{3AC66435-D4C7-42EF-A799-3DC81A57BDF4}"/>
    <cellStyle name="40% - Accent3 2 2 2 2 4 2" xfId="18850" xr:uid="{2C8B3FE9-A6BD-454E-B24F-A7FB66C64F14}"/>
    <cellStyle name="40% - Accent3 2 2 2 2 5" xfId="10094" xr:uid="{03493C04-C068-4FC9-8E24-365A273C508B}"/>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058B2ECF-97A9-4E59-930A-4EB2C9FCD49A}"/>
    <cellStyle name="40% - Accent3 2 2 2 3 2 3" xfId="12652" xr:uid="{EB6B54C2-79F9-4BC9-9C89-0F8CC23179CE}"/>
    <cellStyle name="40% - Accent3 2 2 2 3 3" xfId="5398" xr:uid="{00000000-0005-0000-0000-00000C050000}"/>
    <cellStyle name="40% - Accent3 2 2 2 3 3 2" xfId="14724" xr:uid="{A5E3C3F2-F671-44F9-9173-9E6D733FA4BE}"/>
    <cellStyle name="40% - Accent3 2 2 2 3 4" xfId="10507" xr:uid="{204844F5-1F9F-46EB-8FDD-3287584C7189}"/>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AD130BCB-020C-413F-9DE2-A38A207F21F6}"/>
    <cellStyle name="40% - Accent3 2 2 2 4 2 3" xfId="13065" xr:uid="{E095328A-F1D9-4778-9A72-3CD3EBE617ED}"/>
    <cellStyle name="40% - Accent3 2 2 2 4 3" xfId="5811" xr:uid="{00000000-0005-0000-0000-000010050000}"/>
    <cellStyle name="40% - Accent3 2 2 2 4 3 2" xfId="15137" xr:uid="{4A00CF56-9545-4596-A63B-CC28BC897C0E}"/>
    <cellStyle name="40% - Accent3 2 2 2 4 4" xfId="10920" xr:uid="{3CE4816F-39CE-4756-B182-0C678E5481AB}"/>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239FE156-F425-46B2-8689-628A3996321D}"/>
    <cellStyle name="40% - Accent3 2 2 2 5 2 3" xfId="13478" xr:uid="{1F7A67FC-60E5-4EE9-969D-E033F10FD75D}"/>
    <cellStyle name="40% - Accent3 2 2 2 5 3" xfId="6224" xr:uid="{00000000-0005-0000-0000-000014050000}"/>
    <cellStyle name="40% - Accent3 2 2 2 5 3 2" xfId="15550" xr:uid="{B2D768D2-4E3D-41DB-BD07-349FC8246C4B}"/>
    <cellStyle name="40% - Accent3 2 2 2 5 4" xfId="11333" xr:uid="{CF982743-2FC0-43D3-95C8-B7BB019A74F9}"/>
    <cellStyle name="40% - Accent3 2 2 2 6" xfId="2331" xr:uid="{00000000-0005-0000-0000-000015050000}"/>
    <cellStyle name="40% - Accent3 2 2 2 6 2" xfId="6637" xr:uid="{00000000-0005-0000-0000-000016050000}"/>
    <cellStyle name="40% - Accent3 2 2 2 6 2 2" xfId="15963" xr:uid="{4467103E-249B-4CE4-8555-ABB84BFC66AC}"/>
    <cellStyle name="40% - Accent3 2 2 2 6 3" xfId="11746" xr:uid="{17F3E0E8-A638-4039-806F-754ECA7CFBD5}"/>
    <cellStyle name="40% - Accent3 2 2 2 7" xfId="4571" xr:uid="{00000000-0005-0000-0000-000017050000}"/>
    <cellStyle name="40% - Accent3 2 2 2 7 2" xfId="13897" xr:uid="{5942213A-629F-44C8-A425-17DBABC5C954}"/>
    <cellStyle name="40% - Accent3 2 2 2 8" xfId="9110" xr:uid="{E41CBEF9-86F8-44B9-895F-532A7BDC9A2A}"/>
    <cellStyle name="40% - Accent3 2 2 2 8 2" xfId="18434" xr:uid="{E3262424-3BD8-4291-BAF7-7B039857582B}"/>
    <cellStyle name="40% - Accent3 2 2 2 9" xfId="9680" xr:uid="{923DAE12-2985-4EA9-8155-D1471D84A459}"/>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C9EF3CDF-C1AC-4CD0-8BA0-403860396974}"/>
    <cellStyle name="40% - Accent3 2 2 3 2 3" xfId="12238" xr:uid="{11814E9E-72B7-4E70-ACA3-35C191E04B8C}"/>
    <cellStyle name="40% - Accent3 2 2 3 3" xfId="4984" xr:uid="{00000000-0005-0000-0000-00001B050000}"/>
    <cellStyle name="40% - Accent3 2 2 3 3 2" xfId="14310" xr:uid="{B1848127-5EF3-46F3-889D-782160A81BC0}"/>
    <cellStyle name="40% - Accent3 2 2 3 4" xfId="9328" xr:uid="{1DAEB9B9-01CE-426D-A8F1-CE08999D7264}"/>
    <cellStyle name="40% - Accent3 2 2 3 4 2" xfId="18643" xr:uid="{A6FAF2AF-1675-4643-898F-6F9A1A566559}"/>
    <cellStyle name="40% - Accent3 2 2 3 5" xfId="10093" xr:uid="{01A36059-1995-4457-898D-6C4CDAA27C1B}"/>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695993C1-2B04-4488-9F57-21DD3887A8CD}"/>
    <cellStyle name="40% - Accent3 2 2 4 2 3" xfId="12651" xr:uid="{C26D35F6-90A0-4314-A8F1-062ED4FC428A}"/>
    <cellStyle name="40% - Accent3 2 2 4 3" xfId="5397" xr:uid="{00000000-0005-0000-0000-00001F050000}"/>
    <cellStyle name="40% - Accent3 2 2 4 3 2" xfId="14723" xr:uid="{607D9858-3081-4450-B7B8-1692F43B942A}"/>
    <cellStyle name="40% - Accent3 2 2 4 4" xfId="10506" xr:uid="{4E938461-A0A0-448A-9E6B-77C57C8E5B77}"/>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735A3056-DF49-4D6B-9EFD-485F0AC9ED3B}"/>
    <cellStyle name="40% - Accent3 2 2 5 2 3" xfId="13064" xr:uid="{CC9C2AB4-5EB7-4B16-84E2-4D5AB7943053}"/>
    <cellStyle name="40% - Accent3 2 2 5 3" xfId="5810" xr:uid="{00000000-0005-0000-0000-000023050000}"/>
    <cellStyle name="40% - Accent3 2 2 5 3 2" xfId="15136" xr:uid="{D3D94AC0-9015-49CC-95C8-3A595BE3DB43}"/>
    <cellStyle name="40% - Accent3 2 2 5 4" xfId="10919" xr:uid="{944BCDEF-D2CB-46F8-ACB5-8AB1DE794F73}"/>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2B96F718-F199-48E2-9AC4-D5A169F047D1}"/>
    <cellStyle name="40% - Accent3 2 2 6 2 3" xfId="13477" xr:uid="{582EFF50-BD0D-44EA-82E8-313F764A9B32}"/>
    <cellStyle name="40% - Accent3 2 2 6 3" xfId="6223" xr:uid="{00000000-0005-0000-0000-000027050000}"/>
    <cellStyle name="40% - Accent3 2 2 6 3 2" xfId="15549" xr:uid="{940677C6-BDA6-4AF7-830B-A19FA6B0166E}"/>
    <cellStyle name="40% - Accent3 2 2 6 4" xfId="11332" xr:uid="{FB9B3DFA-E3CA-4552-A451-C55DDF9AB360}"/>
    <cellStyle name="40% - Accent3 2 2 7" xfId="2330" xr:uid="{00000000-0005-0000-0000-000028050000}"/>
    <cellStyle name="40% - Accent3 2 2 7 2" xfId="6636" xr:uid="{00000000-0005-0000-0000-000029050000}"/>
    <cellStyle name="40% - Accent3 2 2 7 2 2" xfId="15962" xr:uid="{B928712F-D4AA-44FD-AA48-D7F6457F6353}"/>
    <cellStyle name="40% - Accent3 2 2 7 3" xfId="11745" xr:uid="{4816B3D3-01D6-4024-86B6-9F4FEB332FE6}"/>
    <cellStyle name="40% - Accent3 2 2 8" xfId="4570" xr:uid="{00000000-0005-0000-0000-00002A050000}"/>
    <cellStyle name="40% - Accent3 2 2 8 2" xfId="13896" xr:uid="{E172AEFF-B235-48BD-85CB-C72365F08881}"/>
    <cellStyle name="40% - Accent3 2 2 9" xfId="8903" xr:uid="{D9C85917-26AE-466C-8B98-905BCDA9E329}"/>
    <cellStyle name="40% - Accent3 2 2 9 2" xfId="18227" xr:uid="{8F298168-0FD7-41D2-AD05-297040348A5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EC911B25-5C03-49C5-AE93-B85B32EA2764}"/>
    <cellStyle name="40% - Accent3 2 3 2 2 3" xfId="12240" xr:uid="{61E21218-E4D1-412C-8AFE-B0712EED3709}"/>
    <cellStyle name="40% - Accent3 2 3 2 3" xfId="4986" xr:uid="{00000000-0005-0000-0000-00002F050000}"/>
    <cellStyle name="40% - Accent3 2 3 2 3 2" xfId="14312" xr:uid="{08E800A7-78DF-4615-824D-C77954ECB92C}"/>
    <cellStyle name="40% - Accent3 2 3 2 4" xfId="9432" xr:uid="{54D6848B-0200-4F42-820D-262A8F9A2C0F}"/>
    <cellStyle name="40% - Accent3 2 3 2 4 2" xfId="18747" xr:uid="{02DB616F-D5C4-40AE-BBB2-AE2D572C2147}"/>
    <cellStyle name="40% - Accent3 2 3 2 5" xfId="10095" xr:uid="{CAEB262C-F0B4-4676-8F57-9541FF06959E}"/>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D801D310-3721-497A-88D0-B90E82FF8078}"/>
    <cellStyle name="40% - Accent3 2 3 3 2 3" xfId="12653" xr:uid="{5846DCC6-0A41-4E29-A75F-8BE32BBFBE9A}"/>
    <cellStyle name="40% - Accent3 2 3 3 3" xfId="5399" xr:uid="{00000000-0005-0000-0000-000033050000}"/>
    <cellStyle name="40% - Accent3 2 3 3 3 2" xfId="14725" xr:uid="{6CC111B3-ED31-468D-AAFE-9FEBBE75F90C}"/>
    <cellStyle name="40% - Accent3 2 3 3 4" xfId="10508" xr:uid="{7BA61802-E329-4122-94E5-73697C6A93FA}"/>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1F3A3024-38B3-445E-B463-6A751692CFCA}"/>
    <cellStyle name="40% - Accent3 2 3 4 2 3" xfId="13066" xr:uid="{8E091EDD-86F1-40E5-88F1-AF599674DF5B}"/>
    <cellStyle name="40% - Accent3 2 3 4 3" xfId="5812" xr:uid="{00000000-0005-0000-0000-000037050000}"/>
    <cellStyle name="40% - Accent3 2 3 4 3 2" xfId="15138" xr:uid="{93144F7F-1F95-4A68-9DAF-47DE734D21FF}"/>
    <cellStyle name="40% - Accent3 2 3 4 4" xfId="10921" xr:uid="{E1EEB1CC-B47A-4196-9F36-8FAA01A94CC8}"/>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6499D2D5-08A3-4141-9BB5-9203BE002623}"/>
    <cellStyle name="40% - Accent3 2 3 5 2 3" xfId="13479" xr:uid="{E6A7458F-43D0-4F39-A0F4-3525AA908C2C}"/>
    <cellStyle name="40% - Accent3 2 3 5 3" xfId="6225" xr:uid="{00000000-0005-0000-0000-00003B050000}"/>
    <cellStyle name="40% - Accent3 2 3 5 3 2" xfId="15551" xr:uid="{D03A6F6B-1DC7-4173-BE41-BE904E1AF115}"/>
    <cellStyle name="40% - Accent3 2 3 5 4" xfId="11334" xr:uid="{9E021291-ABF3-4D8F-ABDE-66E918CC67C9}"/>
    <cellStyle name="40% - Accent3 2 3 6" xfId="2332" xr:uid="{00000000-0005-0000-0000-00003C050000}"/>
    <cellStyle name="40% - Accent3 2 3 6 2" xfId="6638" xr:uid="{00000000-0005-0000-0000-00003D050000}"/>
    <cellStyle name="40% - Accent3 2 3 6 2 2" xfId="15964" xr:uid="{6808E326-C1D8-4A1D-90F5-660C728C8827}"/>
    <cellStyle name="40% - Accent3 2 3 6 3" xfId="11747" xr:uid="{1B83F216-3F22-4EA2-91C9-9C9F72C66C15}"/>
    <cellStyle name="40% - Accent3 2 3 7" xfId="4572" xr:uid="{00000000-0005-0000-0000-00003E050000}"/>
    <cellStyle name="40% - Accent3 2 3 7 2" xfId="13898" xr:uid="{ECFA92B6-254D-402F-9184-9C83B646525D}"/>
    <cellStyle name="40% - Accent3 2 3 8" xfId="9007" xr:uid="{2DEFD82C-2A62-4C1E-AA8D-7F2606BD9091}"/>
    <cellStyle name="40% - Accent3 2 3 8 2" xfId="18331" xr:uid="{6645EA7C-E261-4415-940D-96DEAFC48875}"/>
    <cellStyle name="40% - Accent3 2 3 9" xfId="9681" xr:uid="{37CD7CED-3950-46DC-896C-1AF4CE67D8DF}"/>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A83EC1FE-3EEC-4942-A598-56061B6D7D86}"/>
    <cellStyle name="40% - Accent3 2 4 2 3" xfId="12237" xr:uid="{0CA0D987-77EC-4933-8AD0-5F9C07C05742}"/>
    <cellStyle name="40% - Accent3 2 4 3" xfId="4983" xr:uid="{00000000-0005-0000-0000-000042050000}"/>
    <cellStyle name="40% - Accent3 2 4 3 2" xfId="14309" xr:uid="{4A2D3BAD-9F25-47AB-871C-103BF57FF936}"/>
    <cellStyle name="40% - Accent3 2 4 4" xfId="9224" xr:uid="{6B91012A-BFF2-4F1F-901C-A91F06F80031}"/>
    <cellStyle name="40% - Accent3 2 4 4 2" xfId="18540" xr:uid="{A2D06E59-9C23-4BD3-B196-75D3DA463709}"/>
    <cellStyle name="40% - Accent3 2 4 5" xfId="10092" xr:uid="{9AE27E01-04B1-4972-B827-755754C61470}"/>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77EAAFDD-BF1B-40A7-A61A-5FC3F3148C09}"/>
    <cellStyle name="40% - Accent3 2 5 2 3" xfId="12650" xr:uid="{9D65EFBF-ADB4-4E0C-8DAF-D829663B18FC}"/>
    <cellStyle name="40% - Accent3 2 5 3" xfId="5396" xr:uid="{00000000-0005-0000-0000-000046050000}"/>
    <cellStyle name="40% - Accent3 2 5 3 2" xfId="14722" xr:uid="{C05E45AC-3D14-4A76-8188-15B37BA4B2FF}"/>
    <cellStyle name="40% - Accent3 2 5 4" xfId="10505" xr:uid="{FC8F5393-76E0-4158-AF6F-AEBBE50BDBF8}"/>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1ACF512C-38E1-4FC1-B9C6-49D32D1FE822}"/>
    <cellStyle name="40% - Accent3 2 6 2 3" xfId="13063" xr:uid="{7202BC9B-83A6-4490-9836-434807558FC5}"/>
    <cellStyle name="40% - Accent3 2 6 3" xfId="5809" xr:uid="{00000000-0005-0000-0000-00004A050000}"/>
    <cellStyle name="40% - Accent3 2 6 3 2" xfId="15135" xr:uid="{5D65C3C8-0F9A-4BFC-BA60-D13E24B5487F}"/>
    <cellStyle name="40% - Accent3 2 6 4" xfId="10918" xr:uid="{DD9FC50C-910A-4971-A118-4BAB00AC6ECA}"/>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9F1B3FC0-B0D9-4367-8289-EFFE2B10472A}"/>
    <cellStyle name="40% - Accent3 2 7 2 3" xfId="13476" xr:uid="{BA2896F0-5119-4F8D-8F43-E5EFC7297E4A}"/>
    <cellStyle name="40% - Accent3 2 7 3" xfId="6222" xr:uid="{00000000-0005-0000-0000-00004E050000}"/>
    <cellStyle name="40% - Accent3 2 7 3 2" xfId="15548" xr:uid="{5291C13C-E7D5-4504-90A3-75856A56DD9E}"/>
    <cellStyle name="40% - Accent3 2 7 4" xfId="11331" xr:uid="{2F1BB614-C930-452A-9517-87BB1EEE161E}"/>
    <cellStyle name="40% - Accent3 2 8" xfId="2329" xr:uid="{00000000-0005-0000-0000-00004F050000}"/>
    <cellStyle name="40% - Accent3 2 8 2" xfId="6635" xr:uid="{00000000-0005-0000-0000-000050050000}"/>
    <cellStyle name="40% - Accent3 2 8 2 2" xfId="15961" xr:uid="{AA85B8E8-289C-40A3-BC31-AB4719C44459}"/>
    <cellStyle name="40% - Accent3 2 8 3" xfId="11744" xr:uid="{ADFAEDA7-44EB-4113-A2E0-10FDF152CA92}"/>
    <cellStyle name="40% - Accent3 2 9" xfId="4569" xr:uid="{00000000-0005-0000-0000-000051050000}"/>
    <cellStyle name="40% - Accent3 2 9 2" xfId="13895" xr:uid="{0D120DD2-E2DF-4642-9F76-F83D9F5345E0}"/>
    <cellStyle name="40% - Accent3 3" xfId="70" xr:uid="{00000000-0005-0000-0000-000052050000}"/>
    <cellStyle name="40% - Accent3 3 10" xfId="9682" xr:uid="{9829A1D0-7AB2-4522-AD1C-33B8F5DDAD1D}"/>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EF960DA1-F294-48A1-843F-B79A3C62478D}"/>
    <cellStyle name="40% - Accent3 3 2 2 2 3" xfId="12242" xr:uid="{4AE8284E-70DA-436F-92E3-4D78011BC074}"/>
    <cellStyle name="40% - Accent3 3 2 2 3" xfId="4988" xr:uid="{00000000-0005-0000-0000-000057050000}"/>
    <cellStyle name="40% - Accent3 3 2 2 3 2" xfId="14314" xr:uid="{CB86A78E-BCA1-498D-87A2-EDA4AF5CC808}"/>
    <cellStyle name="40% - Accent3 3 2 2 4" xfId="9498" xr:uid="{7C43CF58-5AE0-4BAA-9D2B-CAB92F3612F1}"/>
    <cellStyle name="40% - Accent3 3 2 2 4 2" xfId="18813" xr:uid="{57C42401-CEC4-4A41-9B06-7002C643FAEE}"/>
    <cellStyle name="40% - Accent3 3 2 2 5" xfId="10097" xr:uid="{456C9A8B-8BEC-4C83-8196-5AC853CA698E}"/>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3F7BC49D-8059-4B77-B9E7-B3F779C3B748}"/>
    <cellStyle name="40% - Accent3 3 2 3 2 3" xfId="12655" xr:uid="{4D1FBA16-BE0F-4F5E-8110-18646E806D32}"/>
    <cellStyle name="40% - Accent3 3 2 3 3" xfId="5401" xr:uid="{00000000-0005-0000-0000-00005B050000}"/>
    <cellStyle name="40% - Accent3 3 2 3 3 2" xfId="14727" xr:uid="{9E2DBBB9-543B-4983-93C2-19581CFA22BE}"/>
    <cellStyle name="40% - Accent3 3 2 3 4" xfId="10510" xr:uid="{7B697561-7AD5-4400-A83A-28A0C36F110E}"/>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5403BCF5-1B1D-41B5-892C-201866F90AC2}"/>
    <cellStyle name="40% - Accent3 3 2 4 2 3" xfId="13068" xr:uid="{488A39EC-704A-40FF-8A8D-E6FA8539E491}"/>
    <cellStyle name="40% - Accent3 3 2 4 3" xfId="5814" xr:uid="{00000000-0005-0000-0000-00005F050000}"/>
    <cellStyle name="40% - Accent3 3 2 4 3 2" xfId="15140" xr:uid="{592E9A1A-BFB1-4A57-A487-1DD4859444FC}"/>
    <cellStyle name="40% - Accent3 3 2 4 4" xfId="10923" xr:uid="{76F79FA5-3853-405F-A0AF-0DA1CF994C02}"/>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CBBE26CD-26B2-4BCA-ADBD-77417C01E82D}"/>
    <cellStyle name="40% - Accent3 3 2 5 2 3" xfId="13481" xr:uid="{4BB05EBD-37AA-46B5-B712-BF66C73FF7F2}"/>
    <cellStyle name="40% - Accent3 3 2 5 3" xfId="6227" xr:uid="{00000000-0005-0000-0000-000063050000}"/>
    <cellStyle name="40% - Accent3 3 2 5 3 2" xfId="15553" xr:uid="{6D806B3F-0F93-4CD3-9EE2-1B97531C8DAC}"/>
    <cellStyle name="40% - Accent3 3 2 5 4" xfId="11336" xr:uid="{F3084C9E-A1E9-4603-B625-65F8A8FD8B13}"/>
    <cellStyle name="40% - Accent3 3 2 6" xfId="2334" xr:uid="{00000000-0005-0000-0000-000064050000}"/>
    <cellStyle name="40% - Accent3 3 2 6 2" xfId="6640" xr:uid="{00000000-0005-0000-0000-000065050000}"/>
    <cellStyle name="40% - Accent3 3 2 6 2 2" xfId="15966" xr:uid="{9066FF08-12B5-4553-B4F7-A006DBC0904F}"/>
    <cellStyle name="40% - Accent3 3 2 6 3" xfId="11749" xr:uid="{F516E7C6-C146-44BA-8DAC-8ECC5B7A9568}"/>
    <cellStyle name="40% - Accent3 3 2 7" xfId="4574" xr:uid="{00000000-0005-0000-0000-000066050000}"/>
    <cellStyle name="40% - Accent3 3 2 7 2" xfId="13900" xr:uid="{B4B0417E-6EDE-4F48-8F35-E56C32F48B1B}"/>
    <cellStyle name="40% - Accent3 3 2 8" xfId="9073" xr:uid="{0E71C752-2CF0-411D-A05E-4DA4A73CFC34}"/>
    <cellStyle name="40% - Accent3 3 2 8 2" xfId="18397" xr:uid="{41E59D10-D853-4CA3-AC86-A0F5F98DD05C}"/>
    <cellStyle name="40% - Accent3 3 2 9" xfId="9683" xr:uid="{555270FF-0867-40C8-BA32-BB63FD1299AE}"/>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59DF8009-9625-4DED-8C11-CF52C749D28C}"/>
    <cellStyle name="40% - Accent3 3 3 2 3" xfId="12241" xr:uid="{5D5FBF82-6FE1-401E-9050-44A2A384C7B9}"/>
    <cellStyle name="40% - Accent3 3 3 3" xfId="4987" xr:uid="{00000000-0005-0000-0000-00006A050000}"/>
    <cellStyle name="40% - Accent3 3 3 3 2" xfId="14313" xr:uid="{08EDFABA-6946-4213-8F1E-8C1C548A3E51}"/>
    <cellStyle name="40% - Accent3 3 3 4" xfId="9291" xr:uid="{59AB3F6D-A8C6-4A37-A8E3-967850079A77}"/>
    <cellStyle name="40% - Accent3 3 3 4 2" xfId="18606" xr:uid="{3CA3EFC7-253B-4263-BAEA-20F9101F370D}"/>
    <cellStyle name="40% - Accent3 3 3 5" xfId="10096" xr:uid="{7D08605B-32A4-48E6-A521-473845E9272B}"/>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FBD3D7D2-90F5-46DB-BE8D-712E5A9C846F}"/>
    <cellStyle name="40% - Accent3 3 4 2 3" xfId="12654" xr:uid="{A8178CEE-B7F2-4E23-9D27-CFDF132020E5}"/>
    <cellStyle name="40% - Accent3 3 4 3" xfId="5400" xr:uid="{00000000-0005-0000-0000-00006E050000}"/>
    <cellStyle name="40% - Accent3 3 4 3 2" xfId="14726" xr:uid="{28F1B6CF-9409-45A0-A1FE-60E01ED894C9}"/>
    <cellStyle name="40% - Accent3 3 4 4" xfId="10509" xr:uid="{7DC9D057-5B52-45F8-B888-E7E498105B53}"/>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8D78D7CD-59B7-46C7-B824-150159CE49D8}"/>
    <cellStyle name="40% - Accent3 3 5 2 3" xfId="13067" xr:uid="{494F0EAA-42B0-4E12-8D0B-95C569DA5416}"/>
    <cellStyle name="40% - Accent3 3 5 3" xfId="5813" xr:uid="{00000000-0005-0000-0000-000072050000}"/>
    <cellStyle name="40% - Accent3 3 5 3 2" xfId="15139" xr:uid="{939215B2-8A39-4B14-84CF-66DC865FC6AA}"/>
    <cellStyle name="40% - Accent3 3 5 4" xfId="10922" xr:uid="{1CD292F5-6A74-429F-A80C-225CC35DFD87}"/>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6B8808B7-7A57-49C5-B044-199D9C371E49}"/>
    <cellStyle name="40% - Accent3 3 6 2 3" xfId="13480" xr:uid="{3E4E53F8-7034-48A7-B961-30CE1A1E4C44}"/>
    <cellStyle name="40% - Accent3 3 6 3" xfId="6226" xr:uid="{00000000-0005-0000-0000-000076050000}"/>
    <cellStyle name="40% - Accent3 3 6 3 2" xfId="15552" xr:uid="{2D3FE922-3019-486C-BAD5-19D87BF1D3F2}"/>
    <cellStyle name="40% - Accent3 3 6 4" xfId="11335" xr:uid="{BB69F2AB-9089-4106-A4C5-C9BCFD41DD7A}"/>
    <cellStyle name="40% - Accent3 3 7" xfId="2333" xr:uid="{00000000-0005-0000-0000-000077050000}"/>
    <cellStyle name="40% - Accent3 3 7 2" xfId="6639" xr:uid="{00000000-0005-0000-0000-000078050000}"/>
    <cellStyle name="40% - Accent3 3 7 2 2" xfId="15965" xr:uid="{809B1BEC-8FBF-46E3-A998-085ADD6C3C5A}"/>
    <cellStyle name="40% - Accent3 3 7 3" xfId="11748" xr:uid="{A96D4636-35AE-4FC2-8FC7-AC832C0D404B}"/>
    <cellStyle name="40% - Accent3 3 8" xfId="4573" xr:uid="{00000000-0005-0000-0000-000079050000}"/>
    <cellStyle name="40% - Accent3 3 8 2" xfId="13899" xr:uid="{C872B77F-EF26-427C-BAC6-AA8CCAA8BDAF}"/>
    <cellStyle name="40% - Accent3 3 9" xfId="8866" xr:uid="{1A1EF43E-4A2B-42A8-98A3-CEC34DD3B00D}"/>
    <cellStyle name="40% - Accent3 3 9 2" xfId="18190" xr:uid="{4537E995-69F1-4E8F-86D4-DB9DD724BC87}"/>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CE2F7746-C2D8-4765-97AD-9C4346DAE226}"/>
    <cellStyle name="40% - Accent3 4 2 2 3" xfId="12243" xr:uid="{B9FC5A83-BE77-4E76-991E-56788595C7A7}"/>
    <cellStyle name="40% - Accent3 4 2 3" xfId="4989" xr:uid="{00000000-0005-0000-0000-00007E050000}"/>
    <cellStyle name="40% - Accent3 4 2 3 2" xfId="14315" xr:uid="{A4E317AA-ABAF-4F18-ACC1-31C6C3901E86}"/>
    <cellStyle name="40% - Accent3 4 2 4" xfId="9377" xr:uid="{F4393833-4E73-4685-9332-CF918D5239A9}"/>
    <cellStyle name="40% - Accent3 4 2 4 2" xfId="18692" xr:uid="{A77F606E-8E28-4159-8AE7-856D7398434F}"/>
    <cellStyle name="40% - Accent3 4 2 5" xfId="10098" xr:uid="{D1B2FB21-ADCC-4CEF-8242-D6BE2B7E44A3}"/>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33D04240-0478-4EC7-BAA1-38EAD72108D7}"/>
    <cellStyle name="40% - Accent3 4 3 2 3" xfId="12656" xr:uid="{9E6AA583-F771-4799-B822-4C3EF1EE4899}"/>
    <cellStyle name="40% - Accent3 4 3 3" xfId="5402" xr:uid="{00000000-0005-0000-0000-000082050000}"/>
    <cellStyle name="40% - Accent3 4 3 3 2" xfId="14728" xr:uid="{B38598AE-065F-413A-9F47-B1529D6F4880}"/>
    <cellStyle name="40% - Accent3 4 3 4" xfId="10511" xr:uid="{4A692E8A-74A4-4EDE-9511-C9BFB91C629B}"/>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9E019D33-74DB-4684-8435-F1490CE1692D}"/>
    <cellStyle name="40% - Accent3 4 4 2 3" xfId="13069" xr:uid="{533846B3-6E67-44B6-B464-6AB751C8BF42}"/>
    <cellStyle name="40% - Accent3 4 4 3" xfId="5815" xr:uid="{00000000-0005-0000-0000-000086050000}"/>
    <cellStyle name="40% - Accent3 4 4 3 2" xfId="15141" xr:uid="{7ED87CB9-FC39-43CD-9AD8-5213B683D7A6}"/>
    <cellStyle name="40% - Accent3 4 4 4" xfId="10924" xr:uid="{F5BD6DBF-377B-4387-BA4D-D993AFAF4C98}"/>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02DDF7D5-0045-4FAA-BCC0-6B1FCF7505CD}"/>
    <cellStyle name="40% - Accent3 4 5 2 3" xfId="13482" xr:uid="{F36EA9D5-F5D2-4201-8939-4B8F080EAB1C}"/>
    <cellStyle name="40% - Accent3 4 5 3" xfId="6228" xr:uid="{00000000-0005-0000-0000-00008A050000}"/>
    <cellStyle name="40% - Accent3 4 5 3 2" xfId="15554" xr:uid="{68E4F265-CB54-4C82-85DE-E33C0C45413C}"/>
    <cellStyle name="40% - Accent3 4 5 4" xfId="11337" xr:uid="{1E049CDC-399B-4DAC-9ACC-D4C627FC46FC}"/>
    <cellStyle name="40% - Accent3 4 6" xfId="2335" xr:uid="{00000000-0005-0000-0000-00008B050000}"/>
    <cellStyle name="40% - Accent3 4 6 2" xfId="6641" xr:uid="{00000000-0005-0000-0000-00008C050000}"/>
    <cellStyle name="40% - Accent3 4 6 2 2" xfId="15967" xr:uid="{38ABCD4F-CAE9-4066-A77E-9FF8FB6A4AC9}"/>
    <cellStyle name="40% - Accent3 4 6 3" xfId="11750" xr:uid="{857F17F1-26E4-4A28-B64A-31AA032C6A61}"/>
    <cellStyle name="40% - Accent3 4 7" xfId="4575" xr:uid="{00000000-0005-0000-0000-00008D050000}"/>
    <cellStyle name="40% - Accent3 4 7 2" xfId="13901" xr:uid="{471273F8-7A40-41C6-9BCA-F15D57198838}"/>
    <cellStyle name="40% - Accent3 4 8" xfId="8952" xr:uid="{74BF8F1E-4A34-4787-9BA1-0B97E446635F}"/>
    <cellStyle name="40% - Accent3 4 8 2" xfId="18276" xr:uid="{8C0C5936-4B26-4C56-A719-5832C22F000C}"/>
    <cellStyle name="40% - Accent3 4 9" xfId="9684" xr:uid="{4A497C45-E24C-4D8B-A58C-108C2368077E}"/>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4ED07C8D-9EA7-49E4-8721-D683DC0DA8F3}"/>
    <cellStyle name="40% - Accent3 5 2 3" xfId="12236" xr:uid="{24E79C1F-2B34-408C-95E1-3724D6E5584A}"/>
    <cellStyle name="40% - Accent3 5 3" xfId="4982" xr:uid="{00000000-0005-0000-0000-000091050000}"/>
    <cellStyle name="40% - Accent3 5 3 2" xfId="14308" xr:uid="{BDB7BBE1-A404-4465-B08A-9BE2AEBCC2AF}"/>
    <cellStyle name="40% - Accent3 5 4" xfId="9185" xr:uid="{526F025D-EBF7-4976-9E38-4C0631A2843B}"/>
    <cellStyle name="40% - Accent3 5 4 2" xfId="18503" xr:uid="{0D70AEF1-CFC8-4392-8424-BE127B5BF98C}"/>
    <cellStyle name="40% - Accent3 5 5" xfId="10091" xr:uid="{323BB53F-458C-4363-934C-E87E235ECE3E}"/>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136CC1AB-3529-4EEB-88CD-EAB684EED539}"/>
    <cellStyle name="40% - Accent3 6 2 3" xfId="12649" xr:uid="{298E5976-39B9-41E0-8CF3-D616201D59EE}"/>
    <cellStyle name="40% - Accent3 6 3" xfId="5395" xr:uid="{00000000-0005-0000-0000-000095050000}"/>
    <cellStyle name="40% - Accent3 6 3 2" xfId="14721" xr:uid="{09089120-A8CB-4B3A-BF0D-EE218BB65331}"/>
    <cellStyle name="40% - Accent3 6 4" xfId="10504" xr:uid="{D00D1BC1-E058-41E4-83F1-3A73FD13E4F0}"/>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C8DB9539-6C39-4052-825A-61B889ED3640}"/>
    <cellStyle name="40% - Accent3 7 2 3" xfId="13062" xr:uid="{6E9A402B-F32F-4200-85E8-0662A620A119}"/>
    <cellStyle name="40% - Accent3 7 3" xfId="5808" xr:uid="{00000000-0005-0000-0000-000099050000}"/>
    <cellStyle name="40% - Accent3 7 3 2" xfId="15134" xr:uid="{40AFF23B-F2C7-49C0-9977-852463E2AFE5}"/>
    <cellStyle name="40% - Accent3 7 4" xfId="10917" xr:uid="{1BC27A65-8863-4CA8-AE71-6AE8EB7AB6C8}"/>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D9151E90-A033-4322-B065-155C2C32F45D}"/>
    <cellStyle name="40% - Accent3 8 2 3" xfId="13475" xr:uid="{4B4381F1-9B1F-4159-B4AF-CCBB5057A6E7}"/>
    <cellStyle name="40% - Accent3 8 3" xfId="6221" xr:uid="{00000000-0005-0000-0000-00009D050000}"/>
    <cellStyle name="40% - Accent3 8 3 2" xfId="15547" xr:uid="{390AC2E2-2DBB-4C38-8041-0ECF9C115308}"/>
    <cellStyle name="40% - Accent3 8 4" xfId="11330" xr:uid="{0732F42B-E803-4030-8107-2365CDCDC46F}"/>
    <cellStyle name="40% - Accent3 9" xfId="2328" xr:uid="{00000000-0005-0000-0000-00009E050000}"/>
    <cellStyle name="40% - Accent3 9 2" xfId="6634" xr:uid="{00000000-0005-0000-0000-00009F050000}"/>
    <cellStyle name="40% - Accent3 9 2 2" xfId="15960" xr:uid="{A0719A98-B767-411D-AD18-653F3D475930}"/>
    <cellStyle name="40% - Accent3 9 3" xfId="11743" xr:uid="{7F453C53-8054-4520-AE1C-358B55303E1C}"/>
    <cellStyle name="40% - Accent4" xfId="73" builtinId="43" customBuiltin="1"/>
    <cellStyle name="40% - Accent4 10" xfId="4576" xr:uid="{00000000-0005-0000-0000-0000A1050000}"/>
    <cellStyle name="40% - Accent4 10 2" xfId="13902" xr:uid="{DF73993F-171D-47DB-B7DA-6B6B2F793089}"/>
    <cellStyle name="40% - Accent4 11" xfId="8765" xr:uid="{18B6B6D6-5043-43D1-BB02-3855BF7027C3}"/>
    <cellStyle name="40% - Accent4 11 2" xfId="18089" xr:uid="{403A33FF-43FE-4628-BFCF-5D755D4905E9}"/>
    <cellStyle name="40% - Accent4 12" xfId="9685" xr:uid="{B1BBD988-D2E6-446E-BC1D-B37F3CDBC982}"/>
    <cellStyle name="40% - Accent4 2" xfId="74" xr:uid="{00000000-0005-0000-0000-0000A2050000}"/>
    <cellStyle name="40% - Accent4 2 10" xfId="8801" xr:uid="{223FCC58-A05E-4022-8080-E75A80678FA6}"/>
    <cellStyle name="40% - Accent4 2 10 2" xfId="18125" xr:uid="{A85DEB6B-F3E2-4058-A985-87570EEEEC28}"/>
    <cellStyle name="40% - Accent4 2 11" xfId="9686" xr:uid="{C9EE0997-B9E7-435C-89AB-02B2FDFD20DA}"/>
    <cellStyle name="40% - Accent4 2 2" xfId="75" xr:uid="{00000000-0005-0000-0000-0000A3050000}"/>
    <cellStyle name="40% - Accent4 2 2 10" xfId="9687" xr:uid="{ACA9F80A-43E5-4160-9ACA-133ABF0C1FE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C98DD064-B784-474F-BD61-C39E493F9E9F}"/>
    <cellStyle name="40% - Accent4 2 2 2 2 2 3" xfId="12247" xr:uid="{A3659044-CC94-4348-9A5E-6AA07C452405}"/>
    <cellStyle name="40% - Accent4 2 2 2 2 3" xfId="4993" xr:uid="{00000000-0005-0000-0000-0000A8050000}"/>
    <cellStyle name="40% - Accent4 2 2 2 2 3 2" xfId="14319" xr:uid="{176305CF-4E3F-4F91-9CCD-32081F9C6EE7}"/>
    <cellStyle name="40% - Accent4 2 2 2 2 4" xfId="9536" xr:uid="{4351D24F-CE30-4CFD-968F-4B882F0FC9B5}"/>
    <cellStyle name="40% - Accent4 2 2 2 2 4 2" xfId="18851" xr:uid="{7ACB7581-002C-4E09-A0F9-EDADA57E36EC}"/>
    <cellStyle name="40% - Accent4 2 2 2 2 5" xfId="10102" xr:uid="{17E8B73A-1CB2-4F90-86AA-A9B7FC2C20C1}"/>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A1BAC940-4A9F-4E1B-8FBD-D33CDCF7DA8A}"/>
    <cellStyle name="40% - Accent4 2 2 2 3 2 3" xfId="12660" xr:uid="{C6D70A41-2493-49DE-AC16-3D405CC90635}"/>
    <cellStyle name="40% - Accent4 2 2 2 3 3" xfId="5406" xr:uid="{00000000-0005-0000-0000-0000AC050000}"/>
    <cellStyle name="40% - Accent4 2 2 2 3 3 2" xfId="14732" xr:uid="{5CC0EFCA-5DF8-4EEC-93ED-CBEA10D7C7F9}"/>
    <cellStyle name="40% - Accent4 2 2 2 3 4" xfId="10515" xr:uid="{DDD55FCA-01F3-461C-97F3-64138AC34948}"/>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F455175A-4051-4F29-BDE6-67CE379055E1}"/>
    <cellStyle name="40% - Accent4 2 2 2 4 2 3" xfId="13073" xr:uid="{9931751B-983E-498B-858B-0264724D9367}"/>
    <cellStyle name="40% - Accent4 2 2 2 4 3" xfId="5819" xr:uid="{00000000-0005-0000-0000-0000B0050000}"/>
    <cellStyle name="40% - Accent4 2 2 2 4 3 2" xfId="15145" xr:uid="{9BB11ECF-F4C4-4735-BE41-92BF9B1C7461}"/>
    <cellStyle name="40% - Accent4 2 2 2 4 4" xfId="10928" xr:uid="{5B41DBDB-9194-4EC2-8605-4D92DA071F15}"/>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88428FC5-1CD4-4249-930A-0DD2F3576F70}"/>
    <cellStyle name="40% - Accent4 2 2 2 5 2 3" xfId="13486" xr:uid="{45C0241F-7475-4CB5-AEFE-15245B494978}"/>
    <cellStyle name="40% - Accent4 2 2 2 5 3" xfId="6232" xr:uid="{00000000-0005-0000-0000-0000B4050000}"/>
    <cellStyle name="40% - Accent4 2 2 2 5 3 2" xfId="15558" xr:uid="{D7E6B474-2C91-4A9D-8EAF-10DDE426C17B}"/>
    <cellStyle name="40% - Accent4 2 2 2 5 4" xfId="11341" xr:uid="{5C5D0DA6-F097-4AF4-A4D2-FF648A6F4AF4}"/>
    <cellStyle name="40% - Accent4 2 2 2 6" xfId="2339" xr:uid="{00000000-0005-0000-0000-0000B5050000}"/>
    <cellStyle name="40% - Accent4 2 2 2 6 2" xfId="6645" xr:uid="{00000000-0005-0000-0000-0000B6050000}"/>
    <cellStyle name="40% - Accent4 2 2 2 6 2 2" xfId="15971" xr:uid="{A004088E-EBE7-44A6-BD76-369CD098B2D6}"/>
    <cellStyle name="40% - Accent4 2 2 2 6 3" xfId="11754" xr:uid="{24D9ACA9-B9E0-47DC-9286-F9B663F1EA69}"/>
    <cellStyle name="40% - Accent4 2 2 2 7" xfId="4579" xr:uid="{00000000-0005-0000-0000-0000B7050000}"/>
    <cellStyle name="40% - Accent4 2 2 2 7 2" xfId="13905" xr:uid="{6513750D-C824-4506-9CF5-DDB8C3C27CC4}"/>
    <cellStyle name="40% - Accent4 2 2 2 8" xfId="9111" xr:uid="{1DD86F12-0D11-497C-88D9-78D90E1EF65F}"/>
    <cellStyle name="40% - Accent4 2 2 2 8 2" xfId="18435" xr:uid="{64C908B7-FCFB-421C-81D9-77A2ABFD05F4}"/>
    <cellStyle name="40% - Accent4 2 2 2 9" xfId="9688" xr:uid="{7BBD9CC5-0BD3-4291-9146-492D3B1ADCA1}"/>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E8FD2E3A-BFF1-4A5C-BDC6-B573B3A5619B}"/>
    <cellStyle name="40% - Accent4 2 2 3 2 3" xfId="12246" xr:uid="{FBD486B9-78EF-4C59-B700-7DE395ACF84A}"/>
    <cellStyle name="40% - Accent4 2 2 3 3" xfId="4992" xr:uid="{00000000-0005-0000-0000-0000BB050000}"/>
    <cellStyle name="40% - Accent4 2 2 3 3 2" xfId="14318" xr:uid="{3EA9E723-F886-477F-B42C-99D6897342B5}"/>
    <cellStyle name="40% - Accent4 2 2 3 4" xfId="9329" xr:uid="{62CB3536-9FC4-4DBF-9121-AD0025D891C9}"/>
    <cellStyle name="40% - Accent4 2 2 3 4 2" xfId="18644" xr:uid="{6CAE063C-084D-43A0-AA4B-1590926D2875}"/>
    <cellStyle name="40% - Accent4 2 2 3 5" xfId="10101" xr:uid="{41F33921-D316-444C-B465-2366AB00A7C8}"/>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CCD01F17-21B2-47A6-A6E1-F78D56100412}"/>
    <cellStyle name="40% - Accent4 2 2 4 2 3" xfId="12659" xr:uid="{BF6C275A-C8F8-466B-818C-706EC9E4A7B2}"/>
    <cellStyle name="40% - Accent4 2 2 4 3" xfId="5405" xr:uid="{00000000-0005-0000-0000-0000BF050000}"/>
    <cellStyle name="40% - Accent4 2 2 4 3 2" xfId="14731" xr:uid="{989239EE-ECFF-41EF-BA16-3CA4F7F78B28}"/>
    <cellStyle name="40% - Accent4 2 2 4 4" xfId="10514" xr:uid="{2896ADC3-9305-44AF-BD7D-86A89F5111D8}"/>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F2E746BA-60E4-4C2B-BA85-D15A7940D420}"/>
    <cellStyle name="40% - Accent4 2 2 5 2 3" xfId="13072" xr:uid="{76B17E3C-E96E-4F22-9E73-319EBB473992}"/>
    <cellStyle name="40% - Accent4 2 2 5 3" xfId="5818" xr:uid="{00000000-0005-0000-0000-0000C3050000}"/>
    <cellStyle name="40% - Accent4 2 2 5 3 2" xfId="15144" xr:uid="{B2941326-DC92-4AE1-BE04-15E1BF5D3320}"/>
    <cellStyle name="40% - Accent4 2 2 5 4" xfId="10927" xr:uid="{76093D55-F1D0-4603-B105-1011C1D759C5}"/>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8721CAE5-BEC6-4DF1-90B2-5F54AB3201FC}"/>
    <cellStyle name="40% - Accent4 2 2 6 2 3" xfId="13485" xr:uid="{5D73FEB7-AAF6-4978-81D2-0ED3B38937AC}"/>
    <cellStyle name="40% - Accent4 2 2 6 3" xfId="6231" xr:uid="{00000000-0005-0000-0000-0000C7050000}"/>
    <cellStyle name="40% - Accent4 2 2 6 3 2" xfId="15557" xr:uid="{B5EDB2DD-FCC7-47E1-9289-85B0EFBF84DC}"/>
    <cellStyle name="40% - Accent4 2 2 6 4" xfId="11340" xr:uid="{FCD4D169-72A4-435A-ACDB-69E3759ED703}"/>
    <cellStyle name="40% - Accent4 2 2 7" xfId="2338" xr:uid="{00000000-0005-0000-0000-0000C8050000}"/>
    <cellStyle name="40% - Accent4 2 2 7 2" xfId="6644" xr:uid="{00000000-0005-0000-0000-0000C9050000}"/>
    <cellStyle name="40% - Accent4 2 2 7 2 2" xfId="15970" xr:uid="{17E7B970-3938-4CB8-A5C0-7A2D09AE3E94}"/>
    <cellStyle name="40% - Accent4 2 2 7 3" xfId="11753" xr:uid="{8191C653-C08D-4A1A-A6B9-48E9B42861EA}"/>
    <cellStyle name="40% - Accent4 2 2 8" xfId="4578" xr:uid="{00000000-0005-0000-0000-0000CA050000}"/>
    <cellStyle name="40% - Accent4 2 2 8 2" xfId="13904" xr:uid="{838AA416-8D1B-41E4-AA79-0A216F337962}"/>
    <cellStyle name="40% - Accent4 2 2 9" xfId="8904" xr:uid="{64C959C5-2FAF-462D-88B6-14B59CDC763B}"/>
    <cellStyle name="40% - Accent4 2 2 9 2" xfId="18228" xr:uid="{8B65C350-AC36-4C53-ABA5-C173F42FA40A}"/>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5D968895-5129-477B-B8C5-202403815E86}"/>
    <cellStyle name="40% - Accent4 2 3 2 2 3" xfId="12248" xr:uid="{00ED5E20-4308-4610-B8C6-B23952732C90}"/>
    <cellStyle name="40% - Accent4 2 3 2 3" xfId="4994" xr:uid="{00000000-0005-0000-0000-0000CF050000}"/>
    <cellStyle name="40% - Accent4 2 3 2 3 2" xfId="14320" xr:uid="{AC04A8A0-A618-4786-97AC-F273A36856C8}"/>
    <cellStyle name="40% - Accent4 2 3 2 4" xfId="9433" xr:uid="{058786D1-7E7D-40D9-9218-B4C7219F4E53}"/>
    <cellStyle name="40% - Accent4 2 3 2 4 2" xfId="18748" xr:uid="{303E398B-CE11-4EF5-90FD-1E81068D5E31}"/>
    <cellStyle name="40% - Accent4 2 3 2 5" xfId="10103" xr:uid="{14FAC20E-80EB-483E-A35B-FE518E68AACC}"/>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53866F43-A058-4D5F-8459-4D5315223AEF}"/>
    <cellStyle name="40% - Accent4 2 3 3 2 3" xfId="12661" xr:uid="{37C44F4C-1758-4525-B646-D717D423DCCA}"/>
    <cellStyle name="40% - Accent4 2 3 3 3" xfId="5407" xr:uid="{00000000-0005-0000-0000-0000D3050000}"/>
    <cellStyle name="40% - Accent4 2 3 3 3 2" xfId="14733" xr:uid="{188C3287-ABC7-435D-B246-2D14AB9E450E}"/>
    <cellStyle name="40% - Accent4 2 3 3 4" xfId="10516" xr:uid="{C4D0877C-DEDA-445B-A5EE-A4F9204E7822}"/>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59998618-20F8-4964-8C32-02CFDF54FD34}"/>
    <cellStyle name="40% - Accent4 2 3 4 2 3" xfId="13074" xr:uid="{97182AC9-F887-4AA9-B679-8DC63AADFFB7}"/>
    <cellStyle name="40% - Accent4 2 3 4 3" xfId="5820" xr:uid="{00000000-0005-0000-0000-0000D7050000}"/>
    <cellStyle name="40% - Accent4 2 3 4 3 2" xfId="15146" xr:uid="{673549D7-6AFB-48EA-8092-4B9437937D31}"/>
    <cellStyle name="40% - Accent4 2 3 4 4" xfId="10929" xr:uid="{329FA119-D7DE-4F37-9950-31BBC09E7CF7}"/>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330107BE-1612-48D0-89AF-AF5747D7C574}"/>
    <cellStyle name="40% - Accent4 2 3 5 2 3" xfId="13487" xr:uid="{56594A3B-DEAD-49B8-88AB-46ED5731FB06}"/>
    <cellStyle name="40% - Accent4 2 3 5 3" xfId="6233" xr:uid="{00000000-0005-0000-0000-0000DB050000}"/>
    <cellStyle name="40% - Accent4 2 3 5 3 2" xfId="15559" xr:uid="{8D3A255E-FADB-49D0-992B-A7AB530049EA}"/>
    <cellStyle name="40% - Accent4 2 3 5 4" xfId="11342" xr:uid="{2ED41C3F-86F2-4C92-993C-5A2B0E85078A}"/>
    <cellStyle name="40% - Accent4 2 3 6" xfId="2340" xr:uid="{00000000-0005-0000-0000-0000DC050000}"/>
    <cellStyle name="40% - Accent4 2 3 6 2" xfId="6646" xr:uid="{00000000-0005-0000-0000-0000DD050000}"/>
    <cellStyle name="40% - Accent4 2 3 6 2 2" xfId="15972" xr:uid="{06597125-2AF0-4926-8598-EDA798454585}"/>
    <cellStyle name="40% - Accent4 2 3 6 3" xfId="11755" xr:uid="{E77496BF-3364-4058-BA26-B03F226364C2}"/>
    <cellStyle name="40% - Accent4 2 3 7" xfId="4580" xr:uid="{00000000-0005-0000-0000-0000DE050000}"/>
    <cellStyle name="40% - Accent4 2 3 7 2" xfId="13906" xr:uid="{A8AA555A-CC73-49A5-B2D9-B1D7C3380808}"/>
    <cellStyle name="40% - Accent4 2 3 8" xfId="9008" xr:uid="{270F4CAB-C86F-4D9D-804F-69497913908B}"/>
    <cellStyle name="40% - Accent4 2 3 8 2" xfId="18332" xr:uid="{78407D03-2C39-4492-9CC5-84CA95FF05C8}"/>
    <cellStyle name="40% - Accent4 2 3 9" xfId="9689" xr:uid="{B015A726-C422-4575-834A-4601F7B623BE}"/>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A6EF8075-ADEC-4722-BB90-3769D6956711}"/>
    <cellStyle name="40% - Accent4 2 4 2 3" xfId="12245" xr:uid="{0B5510DF-668B-4600-8400-08572DA1F505}"/>
    <cellStyle name="40% - Accent4 2 4 3" xfId="4991" xr:uid="{00000000-0005-0000-0000-0000E2050000}"/>
    <cellStyle name="40% - Accent4 2 4 3 2" xfId="14317" xr:uid="{0B94519B-A88E-428D-908F-0A586612C05D}"/>
    <cellStyle name="40% - Accent4 2 4 4" xfId="9225" xr:uid="{40EEB981-54C4-40E4-A2F9-BCD479248D23}"/>
    <cellStyle name="40% - Accent4 2 4 4 2" xfId="18541" xr:uid="{0BAB43BD-59DA-40FA-821D-00F12391A5CD}"/>
    <cellStyle name="40% - Accent4 2 4 5" xfId="10100" xr:uid="{162137EB-5BC4-4F96-8505-D995637C8632}"/>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EDDFB3A8-5E60-4925-A7F8-B5F44EDC6EDA}"/>
    <cellStyle name="40% - Accent4 2 5 2 3" xfId="12658" xr:uid="{261B2FCC-1B24-4EEC-919B-CD3C083A41CC}"/>
    <cellStyle name="40% - Accent4 2 5 3" xfId="5404" xr:uid="{00000000-0005-0000-0000-0000E6050000}"/>
    <cellStyle name="40% - Accent4 2 5 3 2" xfId="14730" xr:uid="{4F4D2F9C-1A74-4C3F-B21D-DE6BF450A6A7}"/>
    <cellStyle name="40% - Accent4 2 5 4" xfId="10513" xr:uid="{B3710100-9E19-4204-90CE-06575BAEDDCD}"/>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4C779299-8625-4222-AA9D-F6C99FB04C74}"/>
    <cellStyle name="40% - Accent4 2 6 2 3" xfId="13071" xr:uid="{A5787738-5A06-4BF3-955B-89CED1A8C057}"/>
    <cellStyle name="40% - Accent4 2 6 3" xfId="5817" xr:uid="{00000000-0005-0000-0000-0000EA050000}"/>
    <cellStyle name="40% - Accent4 2 6 3 2" xfId="15143" xr:uid="{5596F9D9-961F-427A-BF81-1701D409758E}"/>
    <cellStyle name="40% - Accent4 2 6 4" xfId="10926" xr:uid="{BCD28F3F-44FF-4E58-8933-E0ACFAA098FE}"/>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0BFAFB94-F88F-4358-80AF-F7E26E213D30}"/>
    <cellStyle name="40% - Accent4 2 7 2 3" xfId="13484" xr:uid="{3079A692-9504-4D39-975E-F178D8834EC2}"/>
    <cellStyle name="40% - Accent4 2 7 3" xfId="6230" xr:uid="{00000000-0005-0000-0000-0000EE050000}"/>
    <cellStyle name="40% - Accent4 2 7 3 2" xfId="15556" xr:uid="{AAFB35ED-6A53-43A5-9E84-22A5B8C67DB8}"/>
    <cellStyle name="40% - Accent4 2 7 4" xfId="11339" xr:uid="{7A329AA3-8611-4321-9B45-23DC3F45FDAD}"/>
    <cellStyle name="40% - Accent4 2 8" xfId="2337" xr:uid="{00000000-0005-0000-0000-0000EF050000}"/>
    <cellStyle name="40% - Accent4 2 8 2" xfId="6643" xr:uid="{00000000-0005-0000-0000-0000F0050000}"/>
    <cellStyle name="40% - Accent4 2 8 2 2" xfId="15969" xr:uid="{A866C5F4-D44A-4D46-B93D-46CF6D2F674C}"/>
    <cellStyle name="40% - Accent4 2 8 3" xfId="11752" xr:uid="{A25EF915-BCAC-4153-B157-CE8F3927D0C8}"/>
    <cellStyle name="40% - Accent4 2 9" xfId="4577" xr:uid="{00000000-0005-0000-0000-0000F1050000}"/>
    <cellStyle name="40% - Accent4 2 9 2" xfId="13903" xr:uid="{CA3C5CF1-5BAD-4EB2-BED6-0044B943B870}"/>
    <cellStyle name="40% - Accent4 3" xfId="78" xr:uid="{00000000-0005-0000-0000-0000F2050000}"/>
    <cellStyle name="40% - Accent4 3 10" xfId="9690" xr:uid="{6965EAFB-2DD4-4995-BFA9-807CF25B29B9}"/>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6F888A86-EEAE-42E8-8E43-6FA325966E14}"/>
    <cellStyle name="40% - Accent4 3 2 2 2 3" xfId="12250" xr:uid="{5C2E2EC5-2256-4B50-8A5F-2EB5D7DB37E4}"/>
    <cellStyle name="40% - Accent4 3 2 2 3" xfId="4996" xr:uid="{00000000-0005-0000-0000-0000F7050000}"/>
    <cellStyle name="40% - Accent4 3 2 2 3 2" xfId="14322" xr:uid="{D8D642AE-6FCE-4F96-B6F4-C2B66FE3DFB6}"/>
    <cellStyle name="40% - Accent4 3 2 2 4" xfId="9500" xr:uid="{EAAAC99F-A3A1-40FB-B78D-6862EF121B7A}"/>
    <cellStyle name="40% - Accent4 3 2 2 4 2" xfId="18815" xr:uid="{2BFBEC54-856D-4D64-8799-907782F65067}"/>
    <cellStyle name="40% - Accent4 3 2 2 5" xfId="10105" xr:uid="{04B82759-1430-49A7-A16A-4EB5A2059879}"/>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06BBFB08-22A7-4164-B249-FCD503C869F7}"/>
    <cellStyle name="40% - Accent4 3 2 3 2 3" xfId="12663" xr:uid="{2558EE43-5650-466C-AB02-EC92DE02D535}"/>
    <cellStyle name="40% - Accent4 3 2 3 3" xfId="5409" xr:uid="{00000000-0005-0000-0000-0000FB050000}"/>
    <cellStyle name="40% - Accent4 3 2 3 3 2" xfId="14735" xr:uid="{BE55D8A4-0F52-4DAB-BA2A-7D47B0DA2D6A}"/>
    <cellStyle name="40% - Accent4 3 2 3 4" xfId="10518" xr:uid="{7EA8CC84-94FC-4C3A-847A-EB7BE8E690C2}"/>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6FF308A6-419B-4631-890C-98968CE2FCE5}"/>
    <cellStyle name="40% - Accent4 3 2 4 2 3" xfId="13076" xr:uid="{80A42803-A38B-4A89-9D7F-5143D11B1039}"/>
    <cellStyle name="40% - Accent4 3 2 4 3" xfId="5822" xr:uid="{00000000-0005-0000-0000-0000FF050000}"/>
    <cellStyle name="40% - Accent4 3 2 4 3 2" xfId="15148" xr:uid="{1D59A247-5CE4-4DD7-ADEA-FBF351E08088}"/>
    <cellStyle name="40% - Accent4 3 2 4 4" xfId="10931" xr:uid="{EBBEF3BD-4B9C-454A-84C2-B7160FCB1D1A}"/>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4ED2386F-14D2-4F90-A8C7-4BAED0F70849}"/>
    <cellStyle name="40% - Accent4 3 2 5 2 3" xfId="13489" xr:uid="{BE8B6157-5CF3-4F63-9B49-46CBFDCD81B0}"/>
    <cellStyle name="40% - Accent4 3 2 5 3" xfId="6235" xr:uid="{00000000-0005-0000-0000-000003060000}"/>
    <cellStyle name="40% - Accent4 3 2 5 3 2" xfId="15561" xr:uid="{B08000C0-0FDF-4AF0-9BA5-234609F4FDB0}"/>
    <cellStyle name="40% - Accent4 3 2 5 4" xfId="11344" xr:uid="{D14E9ACE-D037-45B8-95A8-FBCE157D3C2E}"/>
    <cellStyle name="40% - Accent4 3 2 6" xfId="2342" xr:uid="{00000000-0005-0000-0000-000004060000}"/>
    <cellStyle name="40% - Accent4 3 2 6 2" xfId="6648" xr:uid="{00000000-0005-0000-0000-000005060000}"/>
    <cellStyle name="40% - Accent4 3 2 6 2 2" xfId="15974" xr:uid="{AED42923-04F3-4AD1-9108-023FD3CAB9ED}"/>
    <cellStyle name="40% - Accent4 3 2 6 3" xfId="11757" xr:uid="{98D14075-6E29-4884-A37A-C252A6CA8E21}"/>
    <cellStyle name="40% - Accent4 3 2 7" xfId="4582" xr:uid="{00000000-0005-0000-0000-000006060000}"/>
    <cellStyle name="40% - Accent4 3 2 7 2" xfId="13908" xr:uid="{6F1635D1-AEF9-4905-9B84-5A2A6C8811C8}"/>
    <cellStyle name="40% - Accent4 3 2 8" xfId="9075" xr:uid="{6C51FF47-5618-4E1E-BC97-01FFF287A6C3}"/>
    <cellStyle name="40% - Accent4 3 2 8 2" xfId="18399" xr:uid="{F6AE097A-BC6C-40A6-9728-1B4D8D2E66D0}"/>
    <cellStyle name="40% - Accent4 3 2 9" xfId="9691" xr:uid="{54FF0BC7-0553-4C83-A142-765A3FB1374E}"/>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91406B84-6B48-4024-8E0E-A8F9B324B0DA}"/>
    <cellStyle name="40% - Accent4 3 3 2 3" xfId="12249" xr:uid="{7BABF49F-B8DA-4FBF-9611-3F8B598008E8}"/>
    <cellStyle name="40% - Accent4 3 3 3" xfId="4995" xr:uid="{00000000-0005-0000-0000-00000A060000}"/>
    <cellStyle name="40% - Accent4 3 3 3 2" xfId="14321" xr:uid="{B438ED33-5CBC-4B96-ADEF-720F63891CCE}"/>
    <cellStyle name="40% - Accent4 3 3 4" xfId="9293" xr:uid="{4A28D7F5-3617-45DC-A350-6C6596CDA765}"/>
    <cellStyle name="40% - Accent4 3 3 4 2" xfId="18608" xr:uid="{60A0262B-1600-40B3-9D38-9D220E59A2B1}"/>
    <cellStyle name="40% - Accent4 3 3 5" xfId="10104" xr:uid="{4135F57C-62A1-4CEC-A94D-2E77D59E719B}"/>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C2423A6F-7662-4CB6-A8C1-2F195431736F}"/>
    <cellStyle name="40% - Accent4 3 4 2 3" xfId="12662" xr:uid="{F3376110-3808-46E7-B90D-AFB937A1E1B1}"/>
    <cellStyle name="40% - Accent4 3 4 3" xfId="5408" xr:uid="{00000000-0005-0000-0000-00000E060000}"/>
    <cellStyle name="40% - Accent4 3 4 3 2" xfId="14734" xr:uid="{0206ED4D-8829-4AAC-8515-643E61231816}"/>
    <cellStyle name="40% - Accent4 3 4 4" xfId="10517" xr:uid="{C2886EDA-1E81-4023-AC74-84EDE7FAE688}"/>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0EE6005A-43EC-4106-BE23-7434C69603FF}"/>
    <cellStyle name="40% - Accent4 3 5 2 3" xfId="13075" xr:uid="{4E6FE1D8-7520-4526-8495-3C47A3022E30}"/>
    <cellStyle name="40% - Accent4 3 5 3" xfId="5821" xr:uid="{00000000-0005-0000-0000-000012060000}"/>
    <cellStyle name="40% - Accent4 3 5 3 2" xfId="15147" xr:uid="{5CA559E1-10E1-4380-ACD2-93F2ADBA902C}"/>
    <cellStyle name="40% - Accent4 3 5 4" xfId="10930" xr:uid="{299DA955-822E-45AC-8F7D-C5B39A3AF6A5}"/>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A7106B99-3B35-4BD0-8758-ECC338469C0F}"/>
    <cellStyle name="40% - Accent4 3 6 2 3" xfId="13488" xr:uid="{64C2506D-D471-48F2-B957-C83B9C97D9A4}"/>
    <cellStyle name="40% - Accent4 3 6 3" xfId="6234" xr:uid="{00000000-0005-0000-0000-000016060000}"/>
    <cellStyle name="40% - Accent4 3 6 3 2" xfId="15560" xr:uid="{96F9F47C-5480-4EE6-A22D-F8F04768E5EB}"/>
    <cellStyle name="40% - Accent4 3 6 4" xfId="11343" xr:uid="{2624849A-20CC-437A-A74A-93D33F76992C}"/>
    <cellStyle name="40% - Accent4 3 7" xfId="2341" xr:uid="{00000000-0005-0000-0000-000017060000}"/>
    <cellStyle name="40% - Accent4 3 7 2" xfId="6647" xr:uid="{00000000-0005-0000-0000-000018060000}"/>
    <cellStyle name="40% - Accent4 3 7 2 2" xfId="15973" xr:uid="{AF928EF1-2138-4160-8407-85ECC3C88D93}"/>
    <cellStyle name="40% - Accent4 3 7 3" xfId="11756" xr:uid="{ED751FEC-8681-4A4D-A1B7-DF914FE6DAAA}"/>
    <cellStyle name="40% - Accent4 3 8" xfId="4581" xr:uid="{00000000-0005-0000-0000-000019060000}"/>
    <cellStyle name="40% - Accent4 3 8 2" xfId="13907" xr:uid="{2F05C24D-A203-45AE-9BC3-66029649DE0B}"/>
    <cellStyle name="40% - Accent4 3 9" xfId="8868" xr:uid="{538D9F50-ACCA-4DB0-A3F1-A129ACFFA0BF}"/>
    <cellStyle name="40% - Accent4 3 9 2" xfId="18192" xr:uid="{5AA3138E-E125-4206-8F1D-611067298824}"/>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EFAAC0FF-89C5-488C-B8EC-16A12733E932}"/>
    <cellStyle name="40% - Accent4 4 2 2 3" xfId="12251" xr:uid="{388636D1-C197-45BA-AB24-48EBE6C8965C}"/>
    <cellStyle name="40% - Accent4 4 2 3" xfId="4997" xr:uid="{00000000-0005-0000-0000-00001E060000}"/>
    <cellStyle name="40% - Accent4 4 2 3 2" xfId="14323" xr:uid="{852DA43A-39C3-43DA-9124-8A3747D3858B}"/>
    <cellStyle name="40% - Accent4 4 2 4" xfId="9379" xr:uid="{EE31EAE0-1741-4D6E-B7B4-C5DB59044F55}"/>
    <cellStyle name="40% - Accent4 4 2 4 2" xfId="18694" xr:uid="{150782E3-2CE3-4D68-9BCC-6546E3B4A187}"/>
    <cellStyle name="40% - Accent4 4 2 5" xfId="10106" xr:uid="{2E31E4D5-FEC0-48C1-98D9-5E5017E3C666}"/>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B956C3D7-A4F3-42CE-92A3-4CBEF896F72B}"/>
    <cellStyle name="40% - Accent4 4 3 2 3" xfId="12664" xr:uid="{6AC76604-8088-4120-B869-6B8D0D3A44D7}"/>
    <cellStyle name="40% - Accent4 4 3 3" xfId="5410" xr:uid="{00000000-0005-0000-0000-000022060000}"/>
    <cellStyle name="40% - Accent4 4 3 3 2" xfId="14736" xr:uid="{DB77C644-90C0-45D9-9B68-DBC6CA728A0A}"/>
    <cellStyle name="40% - Accent4 4 3 4" xfId="10519" xr:uid="{9C85DDCD-5A82-4C3D-B535-BD1423D049D0}"/>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1B1E9DD1-B809-4EF9-B04D-41C406DBAB99}"/>
    <cellStyle name="40% - Accent4 4 4 2 3" xfId="13077" xr:uid="{1FB02F78-90C6-4D39-9716-F92E92100219}"/>
    <cellStyle name="40% - Accent4 4 4 3" xfId="5823" xr:uid="{00000000-0005-0000-0000-000026060000}"/>
    <cellStyle name="40% - Accent4 4 4 3 2" xfId="15149" xr:uid="{B8D9EE2C-6879-4CD7-B60C-9C7008F8BE0A}"/>
    <cellStyle name="40% - Accent4 4 4 4" xfId="10932" xr:uid="{1D43B612-DB58-40B6-9FB5-C2F8129123A3}"/>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EB8E4C91-772C-4377-A412-5AD3FAD11E90}"/>
    <cellStyle name="40% - Accent4 4 5 2 3" xfId="13490" xr:uid="{B5CE9192-BD50-45B4-BB0D-79F0A8B30EE2}"/>
    <cellStyle name="40% - Accent4 4 5 3" xfId="6236" xr:uid="{00000000-0005-0000-0000-00002A060000}"/>
    <cellStyle name="40% - Accent4 4 5 3 2" xfId="15562" xr:uid="{B31F7E05-6AE0-4BF3-8D87-BA4788AADEC3}"/>
    <cellStyle name="40% - Accent4 4 5 4" xfId="11345" xr:uid="{657727F5-6072-4B9C-BADB-3B179AC713D4}"/>
    <cellStyle name="40% - Accent4 4 6" xfId="2343" xr:uid="{00000000-0005-0000-0000-00002B060000}"/>
    <cellStyle name="40% - Accent4 4 6 2" xfId="6649" xr:uid="{00000000-0005-0000-0000-00002C060000}"/>
    <cellStyle name="40% - Accent4 4 6 2 2" xfId="15975" xr:uid="{0CEB0FC0-DD52-4D48-B914-7A26E1934602}"/>
    <cellStyle name="40% - Accent4 4 6 3" xfId="11758" xr:uid="{AD3EA925-6180-4011-B56B-FC1298530440}"/>
    <cellStyle name="40% - Accent4 4 7" xfId="4583" xr:uid="{00000000-0005-0000-0000-00002D060000}"/>
    <cellStyle name="40% - Accent4 4 7 2" xfId="13909" xr:uid="{3C0A33AA-7C65-4003-B357-37A0F8681BAF}"/>
    <cellStyle name="40% - Accent4 4 8" xfId="8954" xr:uid="{2C178683-58B3-4513-85E7-15FAC3AC035D}"/>
    <cellStyle name="40% - Accent4 4 8 2" xfId="18278" xr:uid="{B2BA5F68-15EB-433C-97EB-CE6435D84D83}"/>
    <cellStyle name="40% - Accent4 4 9" xfId="9692" xr:uid="{F67CAF42-899A-4220-85E0-D37E2C69095A}"/>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4CAE712A-CEBB-4B8A-BB43-78D1764F187E}"/>
    <cellStyle name="40% - Accent4 5 2 3" xfId="12244" xr:uid="{7B2658AC-85E4-40AB-B16B-42E2B1B08DEC}"/>
    <cellStyle name="40% - Accent4 5 3" xfId="4990" xr:uid="{00000000-0005-0000-0000-000031060000}"/>
    <cellStyle name="40% - Accent4 5 3 2" xfId="14316" xr:uid="{EABDDC2A-71B5-437A-AE77-D61BA47653F6}"/>
    <cellStyle name="40% - Accent4 5 4" xfId="9187" xr:uid="{33022C89-0CDD-4091-8005-358F63FF8F46}"/>
    <cellStyle name="40% - Accent4 5 4 2" xfId="18505" xr:uid="{D207C688-22B1-48F1-8DB9-52928C712FCC}"/>
    <cellStyle name="40% - Accent4 5 5" xfId="10099" xr:uid="{A9251840-BC11-4F6F-A01A-3AD8AED025E5}"/>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F48B03EF-A47B-4CCA-88FF-0FED93D3CCDB}"/>
    <cellStyle name="40% - Accent4 6 2 3" xfId="12657" xr:uid="{69F41AF1-3D13-4BAE-991A-C25C4CFDC0D1}"/>
    <cellStyle name="40% - Accent4 6 3" xfId="5403" xr:uid="{00000000-0005-0000-0000-000035060000}"/>
    <cellStyle name="40% - Accent4 6 3 2" xfId="14729" xr:uid="{D302D3D0-166F-443A-ACEC-3B27805A1DB9}"/>
    <cellStyle name="40% - Accent4 6 4" xfId="10512" xr:uid="{5D543C22-B6C7-4741-B67A-DD5A32D4FEE8}"/>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2A466DEC-4EAD-4201-9480-2DDFFA0066DC}"/>
    <cellStyle name="40% - Accent4 7 2 3" xfId="13070" xr:uid="{6D779DE2-7AED-4A60-9564-B198BDA686CA}"/>
    <cellStyle name="40% - Accent4 7 3" xfId="5816" xr:uid="{00000000-0005-0000-0000-000039060000}"/>
    <cellStyle name="40% - Accent4 7 3 2" xfId="15142" xr:uid="{49380860-986F-4206-B7C5-DD112DA52E74}"/>
    <cellStyle name="40% - Accent4 7 4" xfId="10925" xr:uid="{8FD36F99-B2F9-4747-B7D2-97BC680E6CC6}"/>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F22778DC-79A3-4BF5-8A99-65AEF1558FB5}"/>
    <cellStyle name="40% - Accent4 8 2 3" xfId="13483" xr:uid="{0A24145D-DBFA-4E0D-9808-34FA66F11A23}"/>
    <cellStyle name="40% - Accent4 8 3" xfId="6229" xr:uid="{00000000-0005-0000-0000-00003D060000}"/>
    <cellStyle name="40% - Accent4 8 3 2" xfId="15555" xr:uid="{CB5A6F9C-B5CC-4634-85AA-681F07125565}"/>
    <cellStyle name="40% - Accent4 8 4" xfId="11338" xr:uid="{3730F7A8-F09C-4E60-BD1E-7F5E28A7BDE4}"/>
    <cellStyle name="40% - Accent4 9" xfId="2336" xr:uid="{00000000-0005-0000-0000-00003E060000}"/>
    <cellStyle name="40% - Accent4 9 2" xfId="6642" xr:uid="{00000000-0005-0000-0000-00003F060000}"/>
    <cellStyle name="40% - Accent4 9 2 2" xfId="15968" xr:uid="{3A4F8105-874A-4BD5-9D6F-94677838F095}"/>
    <cellStyle name="40% - Accent4 9 3" xfId="11751" xr:uid="{A2560B6B-9C31-4703-A0E2-F42387318791}"/>
    <cellStyle name="40% - Accent5" xfId="81" builtinId="47" customBuiltin="1"/>
    <cellStyle name="40% - Accent5 10" xfId="4584" xr:uid="{00000000-0005-0000-0000-000041060000}"/>
    <cellStyle name="40% - Accent5 10 2" xfId="13910" xr:uid="{1E13065D-8804-4A75-B56A-766B9C24A998}"/>
    <cellStyle name="40% - Accent5 11" xfId="8767" xr:uid="{7A46ADF8-3420-4D4A-A3FE-8E96F0FA38E7}"/>
    <cellStyle name="40% - Accent5 11 2" xfId="18091" xr:uid="{99E8D08A-62C2-4D23-9515-C0AE33C4216A}"/>
    <cellStyle name="40% - Accent5 12" xfId="9693" xr:uid="{828F6931-34EC-482C-8FAF-5BE71BB5778C}"/>
    <cellStyle name="40% - Accent5 2" xfId="82" xr:uid="{00000000-0005-0000-0000-000042060000}"/>
    <cellStyle name="40% - Accent5 2 10" xfId="8802" xr:uid="{CF9BFF45-99AC-47A3-8B01-051C55FBB24D}"/>
    <cellStyle name="40% - Accent5 2 10 2" xfId="18126" xr:uid="{F53689C8-C1E4-47CA-8583-B90CF27CE855}"/>
    <cellStyle name="40% - Accent5 2 11" xfId="9694" xr:uid="{C18DDC9A-5A86-4DF1-887C-AC4B8CACE7CA}"/>
    <cellStyle name="40% - Accent5 2 2" xfId="83" xr:uid="{00000000-0005-0000-0000-000043060000}"/>
    <cellStyle name="40% - Accent5 2 2 10" xfId="9695" xr:uid="{EE7B9977-8126-4922-9307-61FA0D2E0EE7}"/>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282C153C-99F6-4C56-8717-AB591EA0CFB0}"/>
    <cellStyle name="40% - Accent5 2 2 2 2 2 3" xfId="12255" xr:uid="{2BAF0D8D-156F-4208-AD98-D109C1CCF641}"/>
    <cellStyle name="40% - Accent5 2 2 2 2 3" xfId="5001" xr:uid="{00000000-0005-0000-0000-000048060000}"/>
    <cellStyle name="40% - Accent5 2 2 2 2 3 2" xfId="14327" xr:uid="{BC2BA929-B393-4FC2-9703-0E9C91EC8108}"/>
    <cellStyle name="40% - Accent5 2 2 2 2 4" xfId="9537" xr:uid="{83834145-5D3F-4083-A609-6DB90651C4CE}"/>
    <cellStyle name="40% - Accent5 2 2 2 2 4 2" xfId="18852" xr:uid="{692D9F5C-B26D-4198-8E51-DE8560585541}"/>
    <cellStyle name="40% - Accent5 2 2 2 2 5" xfId="10110" xr:uid="{0157EA45-D0AD-495A-8754-1A097DF1703B}"/>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57DAE1E9-D623-4B3B-A7DE-F3E988E450A6}"/>
    <cellStyle name="40% - Accent5 2 2 2 3 2 3" xfId="12668" xr:uid="{A4C15049-F52F-4988-8834-9E4A3B08B543}"/>
    <cellStyle name="40% - Accent5 2 2 2 3 3" xfId="5414" xr:uid="{00000000-0005-0000-0000-00004C060000}"/>
    <cellStyle name="40% - Accent5 2 2 2 3 3 2" xfId="14740" xr:uid="{94696A2D-D404-48C3-9834-74AA510F3A79}"/>
    <cellStyle name="40% - Accent5 2 2 2 3 4" xfId="10523" xr:uid="{A977AE37-DA02-4812-9123-C859ECD349A4}"/>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F562D603-7ABE-4C17-AF01-B05FD5F606BB}"/>
    <cellStyle name="40% - Accent5 2 2 2 4 2 3" xfId="13081" xr:uid="{A4F0625D-6317-4ACB-BD62-FA892ADE8225}"/>
    <cellStyle name="40% - Accent5 2 2 2 4 3" xfId="5827" xr:uid="{00000000-0005-0000-0000-000050060000}"/>
    <cellStyle name="40% - Accent5 2 2 2 4 3 2" xfId="15153" xr:uid="{BEEA3C97-3BAF-417C-B0FF-B62ECADC3287}"/>
    <cellStyle name="40% - Accent5 2 2 2 4 4" xfId="10936" xr:uid="{BD7A7ECA-1EAA-4838-B746-FB094FB5982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439741AA-E6BD-4A84-A74F-EDECEDA8A480}"/>
    <cellStyle name="40% - Accent5 2 2 2 5 2 3" xfId="13494" xr:uid="{9F19FF82-9BC0-4A78-BCD2-22685F9AC3B3}"/>
    <cellStyle name="40% - Accent5 2 2 2 5 3" xfId="6240" xr:uid="{00000000-0005-0000-0000-000054060000}"/>
    <cellStyle name="40% - Accent5 2 2 2 5 3 2" xfId="15566" xr:uid="{BD4A0E80-DBAD-4965-AFE3-1083476C75AB}"/>
    <cellStyle name="40% - Accent5 2 2 2 5 4" xfId="11349" xr:uid="{0B527D12-0E90-4EA1-9C14-77B8C0F5DDED}"/>
    <cellStyle name="40% - Accent5 2 2 2 6" xfId="2347" xr:uid="{00000000-0005-0000-0000-000055060000}"/>
    <cellStyle name="40% - Accent5 2 2 2 6 2" xfId="6653" xr:uid="{00000000-0005-0000-0000-000056060000}"/>
    <cellStyle name="40% - Accent5 2 2 2 6 2 2" xfId="15979" xr:uid="{26807331-6084-499E-9F65-482FC2940A63}"/>
    <cellStyle name="40% - Accent5 2 2 2 6 3" xfId="11762" xr:uid="{92A517A0-1EE3-4E6C-B257-26F728EFEA5C}"/>
    <cellStyle name="40% - Accent5 2 2 2 7" xfId="4587" xr:uid="{00000000-0005-0000-0000-000057060000}"/>
    <cellStyle name="40% - Accent5 2 2 2 7 2" xfId="13913" xr:uid="{FB2BB383-4BDA-4351-B502-64A3F29905D0}"/>
    <cellStyle name="40% - Accent5 2 2 2 8" xfId="9112" xr:uid="{65D0CC40-E9D0-4CE3-B684-8DE4A2C7BCD7}"/>
    <cellStyle name="40% - Accent5 2 2 2 8 2" xfId="18436" xr:uid="{186817B0-0059-43AD-AFF2-9F1C364ADFD6}"/>
    <cellStyle name="40% - Accent5 2 2 2 9" xfId="9696" xr:uid="{7D2474C1-B4D4-4B76-8BF6-139B27EBB617}"/>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480EE359-BFCA-4CB5-9BA2-DA14EBAFCDA4}"/>
    <cellStyle name="40% - Accent5 2 2 3 2 3" xfId="12254" xr:uid="{E1F4D920-B670-4C1D-90C4-3756DBA79243}"/>
    <cellStyle name="40% - Accent5 2 2 3 3" xfId="5000" xr:uid="{00000000-0005-0000-0000-00005B060000}"/>
    <cellStyle name="40% - Accent5 2 2 3 3 2" xfId="14326" xr:uid="{1EC36B2E-B8CA-4758-8965-5A1730B204AA}"/>
    <cellStyle name="40% - Accent5 2 2 3 4" xfId="9330" xr:uid="{75959B30-FD84-42A5-95AE-69048CCC8361}"/>
    <cellStyle name="40% - Accent5 2 2 3 4 2" xfId="18645" xr:uid="{97FB7AD9-6D70-4F30-ACD0-49B2CB488238}"/>
    <cellStyle name="40% - Accent5 2 2 3 5" xfId="10109" xr:uid="{8E1AC42B-F6C5-467E-9B13-67D7A7DBDDB5}"/>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3D7BB0C4-6D5E-4C38-9E3A-C6D902FFEED4}"/>
    <cellStyle name="40% - Accent5 2 2 4 2 3" xfId="12667" xr:uid="{AEF6B2BE-1A03-43A7-8DED-9FD2007A3125}"/>
    <cellStyle name="40% - Accent5 2 2 4 3" xfId="5413" xr:uid="{00000000-0005-0000-0000-00005F060000}"/>
    <cellStyle name="40% - Accent5 2 2 4 3 2" xfId="14739" xr:uid="{4190A5BD-8B40-4036-AFB9-8591A99323C7}"/>
    <cellStyle name="40% - Accent5 2 2 4 4" xfId="10522" xr:uid="{9BAE88CC-9F89-4847-A3CB-654BB0ED5C89}"/>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7CC02777-5DE2-4AD5-BA11-7FBFA833A05C}"/>
    <cellStyle name="40% - Accent5 2 2 5 2 3" xfId="13080" xr:uid="{59D503B5-E891-4A6E-A917-2C36B5C82C94}"/>
    <cellStyle name="40% - Accent5 2 2 5 3" xfId="5826" xr:uid="{00000000-0005-0000-0000-000063060000}"/>
    <cellStyle name="40% - Accent5 2 2 5 3 2" xfId="15152" xr:uid="{3D3DDF5F-055B-4097-AB63-936C1A761831}"/>
    <cellStyle name="40% - Accent5 2 2 5 4" xfId="10935" xr:uid="{D231ABE9-9F12-43C6-907F-6257687C9BA0}"/>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52653B7A-5AAA-4A4B-82A5-B857C84E5C84}"/>
    <cellStyle name="40% - Accent5 2 2 6 2 3" xfId="13493" xr:uid="{1C856BAA-B27E-47E3-8B71-6AAB8F7B9506}"/>
    <cellStyle name="40% - Accent5 2 2 6 3" xfId="6239" xr:uid="{00000000-0005-0000-0000-000067060000}"/>
    <cellStyle name="40% - Accent5 2 2 6 3 2" xfId="15565" xr:uid="{6CCDCBEB-FDD4-49FF-995D-EE7997B8B716}"/>
    <cellStyle name="40% - Accent5 2 2 6 4" xfId="11348" xr:uid="{CAB69666-05D0-40C4-836B-16A0218BA45F}"/>
    <cellStyle name="40% - Accent5 2 2 7" xfId="2346" xr:uid="{00000000-0005-0000-0000-000068060000}"/>
    <cellStyle name="40% - Accent5 2 2 7 2" xfId="6652" xr:uid="{00000000-0005-0000-0000-000069060000}"/>
    <cellStyle name="40% - Accent5 2 2 7 2 2" xfId="15978" xr:uid="{56B62CB8-9128-459E-8A90-1D0768A8413E}"/>
    <cellStyle name="40% - Accent5 2 2 7 3" xfId="11761" xr:uid="{644E0B7E-5E63-4212-A075-FA8BDA89C18B}"/>
    <cellStyle name="40% - Accent5 2 2 8" xfId="4586" xr:uid="{00000000-0005-0000-0000-00006A060000}"/>
    <cellStyle name="40% - Accent5 2 2 8 2" xfId="13912" xr:uid="{21C3BD68-288D-47F8-AFEF-A27A5D1A81DD}"/>
    <cellStyle name="40% - Accent5 2 2 9" xfId="8905" xr:uid="{3B48B2AE-2C2B-47FB-A8F4-43FECCDBCFEF}"/>
    <cellStyle name="40% - Accent5 2 2 9 2" xfId="18229" xr:uid="{737BCCF9-D60E-448A-8BBF-9CDB8C3E023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B7614C5A-56E1-489E-AB6B-0CA83AD3FF99}"/>
    <cellStyle name="40% - Accent5 2 3 2 2 3" xfId="12256" xr:uid="{03F15FEA-9176-487D-833E-21B8C399BA47}"/>
    <cellStyle name="40% - Accent5 2 3 2 3" xfId="5002" xr:uid="{00000000-0005-0000-0000-00006F060000}"/>
    <cellStyle name="40% - Accent5 2 3 2 3 2" xfId="14328" xr:uid="{003965E0-6995-48DA-88B8-D6DA8DCCD5F9}"/>
    <cellStyle name="40% - Accent5 2 3 2 4" xfId="9434" xr:uid="{512EAA64-F150-4B15-8534-EB34D6D41408}"/>
    <cellStyle name="40% - Accent5 2 3 2 4 2" xfId="18749" xr:uid="{F21748CE-65D7-496F-B964-C03957F4D520}"/>
    <cellStyle name="40% - Accent5 2 3 2 5" xfId="10111" xr:uid="{153613CA-68D5-4000-B895-F87F1C0A59B6}"/>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A631FC12-C556-4ED0-BD2B-0AC24E6BFE5C}"/>
    <cellStyle name="40% - Accent5 2 3 3 2 3" xfId="12669" xr:uid="{49B47679-E73B-4E9A-B2C1-208D282D8428}"/>
    <cellStyle name="40% - Accent5 2 3 3 3" xfId="5415" xr:uid="{00000000-0005-0000-0000-000073060000}"/>
    <cellStyle name="40% - Accent5 2 3 3 3 2" xfId="14741" xr:uid="{B0F1C69E-8C74-4D4B-B6DE-E783C6700E1F}"/>
    <cellStyle name="40% - Accent5 2 3 3 4" xfId="10524" xr:uid="{00351C2E-7D95-45B5-B743-0F13B0E9CEA1}"/>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7CADFD9B-155F-404A-BE74-4B03CBAC2315}"/>
    <cellStyle name="40% - Accent5 2 3 4 2 3" xfId="13082" xr:uid="{7A11734D-91A4-4DBD-8B4E-1A22191896DF}"/>
    <cellStyle name="40% - Accent5 2 3 4 3" xfId="5828" xr:uid="{00000000-0005-0000-0000-000077060000}"/>
    <cellStyle name="40% - Accent5 2 3 4 3 2" xfId="15154" xr:uid="{1652C1BD-6164-498D-A0AC-EC18D4B26D24}"/>
    <cellStyle name="40% - Accent5 2 3 4 4" xfId="10937" xr:uid="{BE853055-484C-49E8-8C1F-477355C98F66}"/>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1FB0A44B-D855-4F0F-967A-2B724AF0EA9A}"/>
    <cellStyle name="40% - Accent5 2 3 5 2 3" xfId="13495" xr:uid="{D22D5CD4-C61D-4874-A768-476D701E4477}"/>
    <cellStyle name="40% - Accent5 2 3 5 3" xfId="6241" xr:uid="{00000000-0005-0000-0000-00007B060000}"/>
    <cellStyle name="40% - Accent5 2 3 5 3 2" xfId="15567" xr:uid="{839CDD70-5CBA-4FCA-805D-3B2A5886F7B0}"/>
    <cellStyle name="40% - Accent5 2 3 5 4" xfId="11350" xr:uid="{3CA4E0BB-03CF-4757-AA68-D67AAA07CFF1}"/>
    <cellStyle name="40% - Accent5 2 3 6" xfId="2348" xr:uid="{00000000-0005-0000-0000-00007C060000}"/>
    <cellStyle name="40% - Accent5 2 3 6 2" xfId="6654" xr:uid="{00000000-0005-0000-0000-00007D060000}"/>
    <cellStyle name="40% - Accent5 2 3 6 2 2" xfId="15980" xr:uid="{1041973C-6F95-4043-B9FF-CF97352FD043}"/>
    <cellStyle name="40% - Accent5 2 3 6 3" xfId="11763" xr:uid="{C682DF6A-5225-4957-BBFE-DACA49642CB7}"/>
    <cellStyle name="40% - Accent5 2 3 7" xfId="4588" xr:uid="{00000000-0005-0000-0000-00007E060000}"/>
    <cellStyle name="40% - Accent5 2 3 7 2" xfId="13914" xr:uid="{7DEC3920-7168-46DF-979D-666EDA5EC49F}"/>
    <cellStyle name="40% - Accent5 2 3 8" xfId="9009" xr:uid="{DE8B6E41-761F-4ED0-BA8A-00A6A898A2FC}"/>
    <cellStyle name="40% - Accent5 2 3 8 2" xfId="18333" xr:uid="{90667299-D7B9-4A55-8ED7-B19BAC012A64}"/>
    <cellStyle name="40% - Accent5 2 3 9" xfId="9697" xr:uid="{DBEAC42F-D257-4795-B756-86C709986713}"/>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CB842678-07A3-41BB-85AE-C57F784F02EE}"/>
    <cellStyle name="40% - Accent5 2 4 2 3" xfId="12253" xr:uid="{86B8473E-5FA1-47E6-AA87-6C91652B77A4}"/>
    <cellStyle name="40% - Accent5 2 4 3" xfId="4999" xr:uid="{00000000-0005-0000-0000-000082060000}"/>
    <cellStyle name="40% - Accent5 2 4 3 2" xfId="14325" xr:uid="{87468629-ED7A-4A8C-892B-995269E6CCF4}"/>
    <cellStyle name="40% - Accent5 2 4 4" xfId="9226" xr:uid="{6A688709-D29B-458C-973B-231279FAFEF5}"/>
    <cellStyle name="40% - Accent5 2 4 4 2" xfId="18542" xr:uid="{AF4B855B-7BEB-4D8C-A1F6-DA4F2C726538}"/>
    <cellStyle name="40% - Accent5 2 4 5" xfId="10108" xr:uid="{21FA08A0-8297-4CA4-BA27-12CF3DC9B60F}"/>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003BB210-A9D4-43EC-A34B-8598BA0B8C96}"/>
    <cellStyle name="40% - Accent5 2 5 2 3" xfId="12666" xr:uid="{F3B8AD21-8F76-496C-8560-FB97C619D6F4}"/>
    <cellStyle name="40% - Accent5 2 5 3" xfId="5412" xr:uid="{00000000-0005-0000-0000-000086060000}"/>
    <cellStyle name="40% - Accent5 2 5 3 2" xfId="14738" xr:uid="{294B733F-CFAB-469A-B95A-749C04FC696A}"/>
    <cellStyle name="40% - Accent5 2 5 4" xfId="10521" xr:uid="{E5E97E27-1958-4281-B118-5A4ABA1DA713}"/>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ADA3F81A-9EFB-4314-A85B-036241C8AFB5}"/>
    <cellStyle name="40% - Accent5 2 6 2 3" xfId="13079" xr:uid="{40F1DF93-B6C3-4172-AF3C-40AF90D90439}"/>
    <cellStyle name="40% - Accent5 2 6 3" xfId="5825" xr:uid="{00000000-0005-0000-0000-00008A060000}"/>
    <cellStyle name="40% - Accent5 2 6 3 2" xfId="15151" xr:uid="{A8EDBFBC-2D11-4A99-81F7-914ACF74BED0}"/>
    <cellStyle name="40% - Accent5 2 6 4" xfId="10934" xr:uid="{C4822210-E1D6-438C-BC1F-B48A380D77BF}"/>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60B8B501-943E-4DB2-8A9E-333C222FC592}"/>
    <cellStyle name="40% - Accent5 2 7 2 3" xfId="13492" xr:uid="{6A64052C-F8AF-4B5A-9714-5D57BDDBF626}"/>
    <cellStyle name="40% - Accent5 2 7 3" xfId="6238" xr:uid="{00000000-0005-0000-0000-00008E060000}"/>
    <cellStyle name="40% - Accent5 2 7 3 2" xfId="15564" xr:uid="{4A73C60F-1031-4ADD-8F28-4E5703B1F096}"/>
    <cellStyle name="40% - Accent5 2 7 4" xfId="11347" xr:uid="{8A002823-3A32-4089-99D4-5B83DD01FDC6}"/>
    <cellStyle name="40% - Accent5 2 8" xfId="2345" xr:uid="{00000000-0005-0000-0000-00008F060000}"/>
    <cellStyle name="40% - Accent5 2 8 2" xfId="6651" xr:uid="{00000000-0005-0000-0000-000090060000}"/>
    <cellStyle name="40% - Accent5 2 8 2 2" xfId="15977" xr:uid="{8308D5A2-5D94-4272-A92A-30AD6FB4D66A}"/>
    <cellStyle name="40% - Accent5 2 8 3" xfId="11760" xr:uid="{F99D528B-7C9B-4324-8189-FC5594B35C3D}"/>
    <cellStyle name="40% - Accent5 2 9" xfId="4585" xr:uid="{00000000-0005-0000-0000-000091060000}"/>
    <cellStyle name="40% - Accent5 2 9 2" xfId="13911" xr:uid="{B7B8FFA5-9F39-4545-868E-5429F42EA030}"/>
    <cellStyle name="40% - Accent5 3" xfId="86" xr:uid="{00000000-0005-0000-0000-000092060000}"/>
    <cellStyle name="40% - Accent5 3 10" xfId="9698" xr:uid="{C799EDE0-FF13-4DE4-A149-9457DB986E34}"/>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59609CE6-C810-4D82-B8CF-2B8E22A46D2A}"/>
    <cellStyle name="40% - Accent5 3 2 2 2 3" xfId="12258" xr:uid="{D11CC276-E198-47AE-B94F-9D40E1DF3717}"/>
    <cellStyle name="40% - Accent5 3 2 2 3" xfId="5004" xr:uid="{00000000-0005-0000-0000-000097060000}"/>
    <cellStyle name="40% - Accent5 3 2 2 3 2" xfId="14330" xr:uid="{078FF66A-27E2-4DE2-B01F-00DEB723352B}"/>
    <cellStyle name="40% - Accent5 3 2 2 4" xfId="9502" xr:uid="{96903B0D-DCFE-4149-8088-461BCB03A73B}"/>
    <cellStyle name="40% - Accent5 3 2 2 4 2" xfId="18817" xr:uid="{D22B4D0E-ACCF-4E1B-8865-E56666975D9B}"/>
    <cellStyle name="40% - Accent5 3 2 2 5" xfId="10113" xr:uid="{05C2E4FF-A071-4DE1-B993-1339907FCF9E}"/>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9C5B32DB-3606-44A5-9114-6DA93944A16F}"/>
    <cellStyle name="40% - Accent5 3 2 3 2 3" xfId="12671" xr:uid="{17040F19-DEB7-4139-A77D-8ABF1E761752}"/>
    <cellStyle name="40% - Accent5 3 2 3 3" xfId="5417" xr:uid="{00000000-0005-0000-0000-00009B060000}"/>
    <cellStyle name="40% - Accent5 3 2 3 3 2" xfId="14743" xr:uid="{CF0A4B35-DCC3-4F0D-9F9D-E3467369B1A0}"/>
    <cellStyle name="40% - Accent5 3 2 3 4" xfId="10526" xr:uid="{746237F7-212C-4D0C-82A1-F3F6F1BEE739}"/>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8E611239-C6D9-4FF0-9DA0-5EFB2A6B1797}"/>
    <cellStyle name="40% - Accent5 3 2 4 2 3" xfId="13084" xr:uid="{8002C958-4ECB-466F-8E7F-9D07BEEBA045}"/>
    <cellStyle name="40% - Accent5 3 2 4 3" xfId="5830" xr:uid="{00000000-0005-0000-0000-00009F060000}"/>
    <cellStyle name="40% - Accent5 3 2 4 3 2" xfId="15156" xr:uid="{90506478-09AC-4E0B-BB4C-7160F07A5282}"/>
    <cellStyle name="40% - Accent5 3 2 4 4" xfId="10939" xr:uid="{16F39986-AAFA-47A8-9698-9D228992A1A4}"/>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DB190BA4-5C63-4420-8408-979161C1C43B}"/>
    <cellStyle name="40% - Accent5 3 2 5 2 3" xfId="13497" xr:uid="{E53A2BE8-5C7D-4804-AA09-A60EE0C777BD}"/>
    <cellStyle name="40% - Accent5 3 2 5 3" xfId="6243" xr:uid="{00000000-0005-0000-0000-0000A3060000}"/>
    <cellStyle name="40% - Accent5 3 2 5 3 2" xfId="15569" xr:uid="{2A85D8AA-4762-4CB2-AEF0-D720830C6CB0}"/>
    <cellStyle name="40% - Accent5 3 2 5 4" xfId="11352" xr:uid="{F6DE5FF0-D34D-4485-B86E-D7A83364158F}"/>
    <cellStyle name="40% - Accent5 3 2 6" xfId="2350" xr:uid="{00000000-0005-0000-0000-0000A4060000}"/>
    <cellStyle name="40% - Accent5 3 2 6 2" xfId="6656" xr:uid="{00000000-0005-0000-0000-0000A5060000}"/>
    <cellStyle name="40% - Accent5 3 2 6 2 2" xfId="15982" xr:uid="{0123DECD-36FF-4551-84AD-AD4F63D10D77}"/>
    <cellStyle name="40% - Accent5 3 2 6 3" xfId="11765" xr:uid="{883EFCFF-2F58-44DC-ACB8-2F671B1F4EFC}"/>
    <cellStyle name="40% - Accent5 3 2 7" xfId="4590" xr:uid="{00000000-0005-0000-0000-0000A6060000}"/>
    <cellStyle name="40% - Accent5 3 2 7 2" xfId="13916" xr:uid="{CACBADA3-78AF-4928-85C1-3822E080CF63}"/>
    <cellStyle name="40% - Accent5 3 2 8" xfId="9077" xr:uid="{8842DD15-54E4-487D-B492-3A505722387C}"/>
    <cellStyle name="40% - Accent5 3 2 8 2" xfId="18401" xr:uid="{A306E838-A942-4BA1-B017-570C2487F792}"/>
    <cellStyle name="40% - Accent5 3 2 9" xfId="9699" xr:uid="{C67D2290-F5BA-4F55-A9FE-F6C0FF7C68EB}"/>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7BE0822D-460A-4D49-A4E9-DB39B2FC4711}"/>
    <cellStyle name="40% - Accent5 3 3 2 3" xfId="12257" xr:uid="{87C183CE-7E66-4044-9D74-CEB1A0BA32EC}"/>
    <cellStyle name="40% - Accent5 3 3 3" xfId="5003" xr:uid="{00000000-0005-0000-0000-0000AA060000}"/>
    <cellStyle name="40% - Accent5 3 3 3 2" xfId="14329" xr:uid="{4DA97924-6AC3-495E-9764-5A6366DD8B11}"/>
    <cellStyle name="40% - Accent5 3 3 4" xfId="9295" xr:uid="{0D42C89E-252E-426A-8E1F-7D3AD6B9FE55}"/>
    <cellStyle name="40% - Accent5 3 3 4 2" xfId="18610" xr:uid="{333DE3E0-9600-4BB7-AD14-174B8A9DF0F3}"/>
    <cellStyle name="40% - Accent5 3 3 5" xfId="10112" xr:uid="{8B8E7077-F540-40E0-94F0-A95904224C7F}"/>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718B920D-58E1-4358-8A60-BD54F8DBFEAE}"/>
    <cellStyle name="40% - Accent5 3 4 2 3" xfId="12670" xr:uid="{2E40985C-B0BF-40ED-B6F8-B6C9DF43FE52}"/>
    <cellStyle name="40% - Accent5 3 4 3" xfId="5416" xr:uid="{00000000-0005-0000-0000-0000AE060000}"/>
    <cellStyle name="40% - Accent5 3 4 3 2" xfId="14742" xr:uid="{E3522F46-D2A6-49B7-9837-D55705954F1A}"/>
    <cellStyle name="40% - Accent5 3 4 4" xfId="10525" xr:uid="{2AE4C970-C744-4519-990F-B54D619A7D75}"/>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7663F2CB-D334-4BA8-8D46-97B9E22733D0}"/>
    <cellStyle name="40% - Accent5 3 5 2 3" xfId="13083" xr:uid="{124EE312-E583-46BE-AB3A-5FBFF28C55EC}"/>
    <cellStyle name="40% - Accent5 3 5 3" xfId="5829" xr:uid="{00000000-0005-0000-0000-0000B2060000}"/>
    <cellStyle name="40% - Accent5 3 5 3 2" xfId="15155" xr:uid="{CBC5D97E-4A7A-4DF4-9866-2B8FFE6E3CB5}"/>
    <cellStyle name="40% - Accent5 3 5 4" xfId="10938" xr:uid="{75EE21F5-7A6A-403E-9928-C00634355185}"/>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F1783D48-A911-4654-B499-BE3128784C33}"/>
    <cellStyle name="40% - Accent5 3 6 2 3" xfId="13496" xr:uid="{5B84CFDA-ED23-4FDF-962E-AF22D97F2FFE}"/>
    <cellStyle name="40% - Accent5 3 6 3" xfId="6242" xr:uid="{00000000-0005-0000-0000-0000B6060000}"/>
    <cellStyle name="40% - Accent5 3 6 3 2" xfId="15568" xr:uid="{3C5A28FF-6991-4C39-9E63-8524ECE43B87}"/>
    <cellStyle name="40% - Accent5 3 6 4" xfId="11351" xr:uid="{111A6401-9F9F-4675-BD1D-1FDB1D6CC681}"/>
    <cellStyle name="40% - Accent5 3 7" xfId="2349" xr:uid="{00000000-0005-0000-0000-0000B7060000}"/>
    <cellStyle name="40% - Accent5 3 7 2" xfId="6655" xr:uid="{00000000-0005-0000-0000-0000B8060000}"/>
    <cellStyle name="40% - Accent5 3 7 2 2" xfId="15981" xr:uid="{80A30A9F-6C33-471A-89A4-90B89327F66D}"/>
    <cellStyle name="40% - Accent5 3 7 3" xfId="11764" xr:uid="{946D2B4D-DD8B-49E2-8F77-3DC30632321D}"/>
    <cellStyle name="40% - Accent5 3 8" xfId="4589" xr:uid="{00000000-0005-0000-0000-0000B9060000}"/>
    <cellStyle name="40% - Accent5 3 8 2" xfId="13915" xr:uid="{A10E3E9D-041E-4D12-9C4A-834439B4ED3D}"/>
    <cellStyle name="40% - Accent5 3 9" xfId="8870" xr:uid="{F7DB5D96-1272-4D48-B3B6-48053CFCBA44}"/>
    <cellStyle name="40% - Accent5 3 9 2" xfId="18194" xr:uid="{E93E4F50-C875-482E-A4EF-9E9158DBCF3C}"/>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95CB8F82-4692-4512-85CC-5E0FCB9D4765}"/>
    <cellStyle name="40% - Accent5 4 2 2 3" xfId="12259" xr:uid="{2C0B40BB-6BD8-461C-A30E-F325EA65A472}"/>
    <cellStyle name="40% - Accent5 4 2 3" xfId="5005" xr:uid="{00000000-0005-0000-0000-0000BE060000}"/>
    <cellStyle name="40% - Accent5 4 2 3 2" xfId="14331" xr:uid="{DBA81907-8365-4F1A-B6D9-BBD64192EDED}"/>
    <cellStyle name="40% - Accent5 4 2 4" xfId="9381" xr:uid="{6D86932C-AFC4-4FF0-967D-0F56E90E02E1}"/>
    <cellStyle name="40% - Accent5 4 2 4 2" xfId="18696" xr:uid="{CD65A850-EE5A-4756-8F4F-13A28F60554E}"/>
    <cellStyle name="40% - Accent5 4 2 5" xfId="10114" xr:uid="{DD6576FF-5B28-4409-AF05-7C4D83AD10E3}"/>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719ADC7D-EDEA-43FA-B687-661F6834F247}"/>
    <cellStyle name="40% - Accent5 4 3 2 3" xfId="12672" xr:uid="{DB005107-E772-4979-BD96-35F45A59EB40}"/>
    <cellStyle name="40% - Accent5 4 3 3" xfId="5418" xr:uid="{00000000-0005-0000-0000-0000C2060000}"/>
    <cellStyle name="40% - Accent5 4 3 3 2" xfId="14744" xr:uid="{690397CD-BA26-4A19-8978-E4670007DE4F}"/>
    <cellStyle name="40% - Accent5 4 3 4" xfId="10527" xr:uid="{124AE681-3636-4418-8B1D-ECBA5CF055CD}"/>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CF0279E7-DC2C-4441-844C-600E6FA55BA4}"/>
    <cellStyle name="40% - Accent5 4 4 2 3" xfId="13085" xr:uid="{57419FED-B50C-457C-9322-CB2AFF979372}"/>
    <cellStyle name="40% - Accent5 4 4 3" xfId="5831" xr:uid="{00000000-0005-0000-0000-0000C6060000}"/>
    <cellStyle name="40% - Accent5 4 4 3 2" xfId="15157" xr:uid="{115CDE2B-4ABF-4BAA-A299-6EBE73D48FFC}"/>
    <cellStyle name="40% - Accent5 4 4 4" xfId="10940" xr:uid="{808BD13C-58E0-4FF2-8071-0C7DCEB55245}"/>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DB88B7C8-A72B-49FE-8EEA-E9C7A868FA9E}"/>
    <cellStyle name="40% - Accent5 4 5 2 3" xfId="13498" xr:uid="{F861013E-59A4-48EE-A2F7-295FECBCFA3D}"/>
    <cellStyle name="40% - Accent5 4 5 3" xfId="6244" xr:uid="{00000000-0005-0000-0000-0000CA060000}"/>
    <cellStyle name="40% - Accent5 4 5 3 2" xfId="15570" xr:uid="{BD1BE6E9-F170-42B3-AC48-5208B8EF01AC}"/>
    <cellStyle name="40% - Accent5 4 5 4" xfId="11353" xr:uid="{0E77BE8A-2272-4A8C-BC3F-4A82ECB74041}"/>
    <cellStyle name="40% - Accent5 4 6" xfId="2351" xr:uid="{00000000-0005-0000-0000-0000CB060000}"/>
    <cellStyle name="40% - Accent5 4 6 2" xfId="6657" xr:uid="{00000000-0005-0000-0000-0000CC060000}"/>
    <cellStyle name="40% - Accent5 4 6 2 2" xfId="15983" xr:uid="{23EFC9F7-B027-432B-BEE9-4082D5DF278A}"/>
    <cellStyle name="40% - Accent5 4 6 3" xfId="11766" xr:uid="{736F73C3-B035-461F-ACCC-A635B6A54AFC}"/>
    <cellStyle name="40% - Accent5 4 7" xfId="4591" xr:uid="{00000000-0005-0000-0000-0000CD060000}"/>
    <cellStyle name="40% - Accent5 4 7 2" xfId="13917" xr:uid="{4FF49A4E-FFA7-4933-9ADE-64DFA6447F6B}"/>
    <cellStyle name="40% - Accent5 4 8" xfId="8956" xr:uid="{20EBAEFE-DF5E-4B38-878B-CDA5BD3DABC1}"/>
    <cellStyle name="40% - Accent5 4 8 2" xfId="18280" xr:uid="{19FC5E84-FCA9-4B7A-BBFD-C6CA39D561D8}"/>
    <cellStyle name="40% - Accent5 4 9" xfId="9700" xr:uid="{7A6B16ED-DA82-4BE5-824E-F1547381F69A}"/>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79C7A9EA-CBEF-4A80-A8D8-3D4E08F6ACE7}"/>
    <cellStyle name="40% - Accent5 5 2 3" xfId="12252" xr:uid="{EF0A687E-0CBA-4385-BFC1-77D538D6626A}"/>
    <cellStyle name="40% - Accent5 5 3" xfId="4998" xr:uid="{00000000-0005-0000-0000-0000D1060000}"/>
    <cellStyle name="40% - Accent5 5 3 2" xfId="14324" xr:uid="{FFA156DB-C584-4458-B13F-65A96EBAEBF0}"/>
    <cellStyle name="40% - Accent5 5 4" xfId="9189" xr:uid="{AE9A155E-B06B-4FF1-8984-8F7810581B15}"/>
    <cellStyle name="40% - Accent5 5 4 2" xfId="18507" xr:uid="{1B7ACA52-E92E-49B9-8C88-5471D2485278}"/>
    <cellStyle name="40% - Accent5 5 5" xfId="10107" xr:uid="{6A8B3824-86A1-49C9-9C95-693008CF76EA}"/>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AC0C2324-CF9C-4044-8C15-D4DFDC9AA6D2}"/>
    <cellStyle name="40% - Accent5 6 2 3" xfId="12665" xr:uid="{7AE02192-D621-4590-A72B-E5BC68B4E2E8}"/>
    <cellStyle name="40% - Accent5 6 3" xfId="5411" xr:uid="{00000000-0005-0000-0000-0000D5060000}"/>
    <cellStyle name="40% - Accent5 6 3 2" xfId="14737" xr:uid="{E6297182-D625-46E2-9A86-17820D6593E6}"/>
    <cellStyle name="40% - Accent5 6 4" xfId="10520" xr:uid="{9771FCEA-6754-4644-B5C3-3FA22E90BC7E}"/>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70ECC46A-47F8-4D0A-8A40-180C21490653}"/>
    <cellStyle name="40% - Accent5 7 2 3" xfId="13078" xr:uid="{5BB74BC5-B15C-4745-9CF7-0EFB3AA12699}"/>
    <cellStyle name="40% - Accent5 7 3" xfId="5824" xr:uid="{00000000-0005-0000-0000-0000D9060000}"/>
    <cellStyle name="40% - Accent5 7 3 2" xfId="15150" xr:uid="{7CBB2824-B768-4EC9-A651-37119E9AA0B6}"/>
    <cellStyle name="40% - Accent5 7 4" xfId="10933" xr:uid="{35F7BE01-03DC-46F5-BF7E-EC11AFEA138A}"/>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06C7C436-BCA4-4902-8FBC-30590769A189}"/>
    <cellStyle name="40% - Accent5 8 2 3" xfId="13491" xr:uid="{799EE343-B5A3-4374-B051-36A442477A2C}"/>
    <cellStyle name="40% - Accent5 8 3" xfId="6237" xr:uid="{00000000-0005-0000-0000-0000DD060000}"/>
    <cellStyle name="40% - Accent5 8 3 2" xfId="15563" xr:uid="{EC2DA68B-83CE-46E6-8B93-16608B8D3C1E}"/>
    <cellStyle name="40% - Accent5 8 4" xfId="11346" xr:uid="{D8917D43-E0BF-447F-B715-DE82766BCF92}"/>
    <cellStyle name="40% - Accent5 9" xfId="2344" xr:uid="{00000000-0005-0000-0000-0000DE060000}"/>
    <cellStyle name="40% - Accent5 9 2" xfId="6650" xr:uid="{00000000-0005-0000-0000-0000DF060000}"/>
    <cellStyle name="40% - Accent5 9 2 2" xfId="15976" xr:uid="{887A9245-EA34-4B0B-8B6E-11F5955973F5}"/>
    <cellStyle name="40% - Accent5 9 3" xfId="11759" xr:uid="{2E024CA3-1D3B-44FB-AEC2-249C4E4A188B}"/>
    <cellStyle name="40% - Accent6" xfId="89" builtinId="51" customBuiltin="1"/>
    <cellStyle name="40% - Accent6 10" xfId="4592" xr:uid="{00000000-0005-0000-0000-0000E1060000}"/>
    <cellStyle name="40% - Accent6 10 2" xfId="13918" xr:uid="{6761F3DB-A907-4B81-9314-454A26647A08}"/>
    <cellStyle name="40% - Accent6 11" xfId="8769" xr:uid="{8369FE49-3815-490F-BF3A-3BEB88E35DFA}"/>
    <cellStyle name="40% - Accent6 11 2" xfId="18093" xr:uid="{7EDCD36B-706E-421C-A570-1DAB7B4C5FF4}"/>
    <cellStyle name="40% - Accent6 12" xfId="9701" xr:uid="{9BAB13CF-3A8B-4150-88CA-CC145A6B7174}"/>
    <cellStyle name="40% - Accent6 2" xfId="90" xr:uid="{00000000-0005-0000-0000-0000E2060000}"/>
    <cellStyle name="40% - Accent6 2 10" xfId="8803" xr:uid="{3530B69D-EB1D-41EA-A6FB-440FE4FE29AB}"/>
    <cellStyle name="40% - Accent6 2 10 2" xfId="18127" xr:uid="{55146510-CC4B-4CDD-AA8E-188FD510B5B2}"/>
    <cellStyle name="40% - Accent6 2 11" xfId="9702" xr:uid="{EC0925D9-1441-4888-B89A-3F6A639D4B50}"/>
    <cellStyle name="40% - Accent6 2 2" xfId="91" xr:uid="{00000000-0005-0000-0000-0000E3060000}"/>
    <cellStyle name="40% - Accent6 2 2 10" xfId="9703" xr:uid="{1034C0B4-DE31-423C-81E9-BDCBC1594DD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E5344C40-E500-4FD7-9839-B38E88B05283}"/>
    <cellStyle name="40% - Accent6 2 2 2 2 2 3" xfId="12263" xr:uid="{6AECE194-C60D-4912-872F-31110C9EFF2D}"/>
    <cellStyle name="40% - Accent6 2 2 2 2 3" xfId="5009" xr:uid="{00000000-0005-0000-0000-0000E8060000}"/>
    <cellStyle name="40% - Accent6 2 2 2 2 3 2" xfId="14335" xr:uid="{BBB0E9CE-280D-4D18-829F-8431574B54D7}"/>
    <cellStyle name="40% - Accent6 2 2 2 2 4" xfId="9538" xr:uid="{D1801D0B-FDF1-4C59-8DE2-DEC53081BC5D}"/>
    <cellStyle name="40% - Accent6 2 2 2 2 4 2" xfId="18853" xr:uid="{95B563B9-DE5E-49AB-B714-A7291F0240DF}"/>
    <cellStyle name="40% - Accent6 2 2 2 2 5" xfId="10118" xr:uid="{C58E7ECB-9302-4B29-9CDE-BCC1E8F98F11}"/>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A1C151F5-49D6-40DB-B159-9F7CB0881AE2}"/>
    <cellStyle name="40% - Accent6 2 2 2 3 2 3" xfId="12676" xr:uid="{B4CD7AD9-54E1-4358-ACAA-BC3E3627B50F}"/>
    <cellStyle name="40% - Accent6 2 2 2 3 3" xfId="5422" xr:uid="{00000000-0005-0000-0000-0000EC060000}"/>
    <cellStyle name="40% - Accent6 2 2 2 3 3 2" xfId="14748" xr:uid="{9E194EE4-D5B3-47FF-83C6-B87CADB468DD}"/>
    <cellStyle name="40% - Accent6 2 2 2 3 4" xfId="10531" xr:uid="{92C16430-EA24-4A24-83BE-A8D87E959557}"/>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D2DA1FB5-702E-4060-8B5B-ED9F4568FF7C}"/>
    <cellStyle name="40% - Accent6 2 2 2 4 2 3" xfId="13089" xr:uid="{A84A5BD1-3815-4725-890D-80C14FA02F00}"/>
    <cellStyle name="40% - Accent6 2 2 2 4 3" xfId="5835" xr:uid="{00000000-0005-0000-0000-0000F0060000}"/>
    <cellStyle name="40% - Accent6 2 2 2 4 3 2" xfId="15161" xr:uid="{04D743AA-BF96-4B84-840C-5FB9D186FC0C}"/>
    <cellStyle name="40% - Accent6 2 2 2 4 4" xfId="10944" xr:uid="{D88D74B1-BB62-4253-8D26-E647EFAB69B1}"/>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30804FEC-AEBA-431D-A4DF-B8948FCB7E5B}"/>
    <cellStyle name="40% - Accent6 2 2 2 5 2 3" xfId="13502" xr:uid="{92FAD873-C2DD-4619-9E1F-61979AB10293}"/>
    <cellStyle name="40% - Accent6 2 2 2 5 3" xfId="6248" xr:uid="{00000000-0005-0000-0000-0000F4060000}"/>
    <cellStyle name="40% - Accent6 2 2 2 5 3 2" xfId="15574" xr:uid="{53E25E9D-25D6-45C9-9FB6-856F9F524077}"/>
    <cellStyle name="40% - Accent6 2 2 2 5 4" xfId="11357" xr:uid="{710C749D-E433-4AC9-B057-75C9DD0ABFA3}"/>
    <cellStyle name="40% - Accent6 2 2 2 6" xfId="2355" xr:uid="{00000000-0005-0000-0000-0000F5060000}"/>
    <cellStyle name="40% - Accent6 2 2 2 6 2" xfId="6661" xr:uid="{00000000-0005-0000-0000-0000F6060000}"/>
    <cellStyle name="40% - Accent6 2 2 2 6 2 2" xfId="15987" xr:uid="{BDF37D9D-4B68-47A6-896B-CD685CB68718}"/>
    <cellStyle name="40% - Accent6 2 2 2 6 3" xfId="11770" xr:uid="{B03DE90D-FA5F-492E-9355-9C4C6D020F31}"/>
    <cellStyle name="40% - Accent6 2 2 2 7" xfId="4595" xr:uid="{00000000-0005-0000-0000-0000F7060000}"/>
    <cellStyle name="40% - Accent6 2 2 2 7 2" xfId="13921" xr:uid="{2FA318EF-D324-48F6-909A-21056DF637EA}"/>
    <cellStyle name="40% - Accent6 2 2 2 8" xfId="9113" xr:uid="{D9373B4A-E1DA-437A-874A-FCE4D00708EB}"/>
    <cellStyle name="40% - Accent6 2 2 2 8 2" xfId="18437" xr:uid="{D6F69234-809B-4585-A23C-D04E18E1DDD6}"/>
    <cellStyle name="40% - Accent6 2 2 2 9" xfId="9704" xr:uid="{DC58DC71-1BC4-48BE-B6CB-2B4B4543D044}"/>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9C9CA497-5CE7-426F-B86B-E86A591F31B7}"/>
    <cellStyle name="40% - Accent6 2 2 3 2 3" xfId="12262" xr:uid="{2598AAD1-BEF4-4C65-BADC-FA82CC51A349}"/>
    <cellStyle name="40% - Accent6 2 2 3 3" xfId="5008" xr:uid="{00000000-0005-0000-0000-0000FB060000}"/>
    <cellStyle name="40% - Accent6 2 2 3 3 2" xfId="14334" xr:uid="{4D8A5914-009F-459D-BD9B-1B9E96211502}"/>
    <cellStyle name="40% - Accent6 2 2 3 4" xfId="9331" xr:uid="{223B62DA-AA8A-4703-B6D5-D6AA8918B034}"/>
    <cellStyle name="40% - Accent6 2 2 3 4 2" xfId="18646" xr:uid="{79FC8ADA-EF53-43E4-967B-3F7111D34A52}"/>
    <cellStyle name="40% - Accent6 2 2 3 5" xfId="10117" xr:uid="{82AB2F46-BAFA-4E6F-AC7C-596F2F3C9CF9}"/>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4977870C-6E95-4659-8E96-713A5A0C2E1E}"/>
    <cellStyle name="40% - Accent6 2 2 4 2 3" xfId="12675" xr:uid="{091A5433-46B9-4DFF-B69A-3CCE296D4A7C}"/>
    <cellStyle name="40% - Accent6 2 2 4 3" xfId="5421" xr:uid="{00000000-0005-0000-0000-0000FF060000}"/>
    <cellStyle name="40% - Accent6 2 2 4 3 2" xfId="14747" xr:uid="{34602614-E838-4700-8626-20DAF63D6080}"/>
    <cellStyle name="40% - Accent6 2 2 4 4" xfId="10530" xr:uid="{C2300D13-F866-45AB-B731-9972545C1D68}"/>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A0265807-0C11-4F91-8D34-569CF1062B72}"/>
    <cellStyle name="40% - Accent6 2 2 5 2 3" xfId="13088" xr:uid="{58D32C1E-71DB-4986-A3DB-5CEF7507E50D}"/>
    <cellStyle name="40% - Accent6 2 2 5 3" xfId="5834" xr:uid="{00000000-0005-0000-0000-000003070000}"/>
    <cellStyle name="40% - Accent6 2 2 5 3 2" xfId="15160" xr:uid="{E9873A78-40BF-437F-862D-B6F1640956DC}"/>
    <cellStyle name="40% - Accent6 2 2 5 4" xfId="10943" xr:uid="{A53A7EEF-B930-4F79-91F7-672A6E37DF79}"/>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E7A71E33-003E-4FDA-B055-CE6337E8D3FB}"/>
    <cellStyle name="40% - Accent6 2 2 6 2 3" xfId="13501" xr:uid="{7723E0F0-1FDF-482B-AFBB-917B762704A0}"/>
    <cellStyle name="40% - Accent6 2 2 6 3" xfId="6247" xr:uid="{00000000-0005-0000-0000-000007070000}"/>
    <cellStyle name="40% - Accent6 2 2 6 3 2" xfId="15573" xr:uid="{D447DF83-C6BF-486B-9ECF-0F5B21BE9620}"/>
    <cellStyle name="40% - Accent6 2 2 6 4" xfId="11356" xr:uid="{331F7BCC-71AA-449D-8FA4-EFCCF88AE831}"/>
    <cellStyle name="40% - Accent6 2 2 7" xfId="2354" xr:uid="{00000000-0005-0000-0000-000008070000}"/>
    <cellStyle name="40% - Accent6 2 2 7 2" xfId="6660" xr:uid="{00000000-0005-0000-0000-000009070000}"/>
    <cellStyle name="40% - Accent6 2 2 7 2 2" xfId="15986" xr:uid="{F9779731-BAFE-4837-874C-E84E3BCF67AC}"/>
    <cellStyle name="40% - Accent6 2 2 7 3" xfId="11769" xr:uid="{11A82D4A-F946-479F-8BB6-5F093D3990A4}"/>
    <cellStyle name="40% - Accent6 2 2 8" xfId="4594" xr:uid="{00000000-0005-0000-0000-00000A070000}"/>
    <cellStyle name="40% - Accent6 2 2 8 2" xfId="13920" xr:uid="{D4B35850-816E-4E60-BA1E-259A020F907C}"/>
    <cellStyle name="40% - Accent6 2 2 9" xfId="8906" xr:uid="{C30FCA09-BA1A-4F54-9397-4FC676425C46}"/>
    <cellStyle name="40% - Accent6 2 2 9 2" xfId="18230" xr:uid="{8CBE87E9-20F5-4245-B780-C36AA2AB650E}"/>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A3B06B93-1A58-42CD-9164-2928BDCD637C}"/>
    <cellStyle name="40% - Accent6 2 3 2 2 3" xfId="12264" xr:uid="{CAAE76C1-257D-4B57-8EDC-B3352974F231}"/>
    <cellStyle name="40% - Accent6 2 3 2 3" xfId="5010" xr:uid="{00000000-0005-0000-0000-00000F070000}"/>
    <cellStyle name="40% - Accent6 2 3 2 3 2" xfId="14336" xr:uid="{93D22F76-04F5-4A78-974E-BBEF37037637}"/>
    <cellStyle name="40% - Accent6 2 3 2 4" xfId="9435" xr:uid="{36535681-1736-4584-8CB6-F8F38C9E0E5B}"/>
    <cellStyle name="40% - Accent6 2 3 2 4 2" xfId="18750" xr:uid="{1304FFA2-C398-462E-9969-F804C8E67826}"/>
    <cellStyle name="40% - Accent6 2 3 2 5" xfId="10119" xr:uid="{C8376727-1207-45D4-8F5B-99933C3096C7}"/>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5801EEF5-14CB-45F2-AFF9-E6B5638D34F6}"/>
    <cellStyle name="40% - Accent6 2 3 3 2 3" xfId="12677" xr:uid="{FFDC66B1-6930-44FA-94FC-FED87A1EE18B}"/>
    <cellStyle name="40% - Accent6 2 3 3 3" xfId="5423" xr:uid="{00000000-0005-0000-0000-000013070000}"/>
    <cellStyle name="40% - Accent6 2 3 3 3 2" xfId="14749" xr:uid="{19CC89A2-D397-4EA1-B5D2-FCE00D49C8D5}"/>
    <cellStyle name="40% - Accent6 2 3 3 4" xfId="10532" xr:uid="{E8C0FBAD-7701-4E13-BAC9-6FBAE8926E14}"/>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7B662E32-C0EB-42C8-9F8D-21BD04C7F11F}"/>
    <cellStyle name="40% - Accent6 2 3 4 2 3" xfId="13090" xr:uid="{A292948A-5B85-43A6-9DE5-A82511B26539}"/>
    <cellStyle name="40% - Accent6 2 3 4 3" xfId="5836" xr:uid="{00000000-0005-0000-0000-000017070000}"/>
    <cellStyle name="40% - Accent6 2 3 4 3 2" xfId="15162" xr:uid="{604A4AB6-0C7B-4C94-999A-03D00DC5B44F}"/>
    <cellStyle name="40% - Accent6 2 3 4 4" xfId="10945" xr:uid="{6AC61894-EC41-476A-BFB5-825030BA4E52}"/>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C742DD25-FEC4-41FA-B442-18F85F0E932A}"/>
    <cellStyle name="40% - Accent6 2 3 5 2 3" xfId="13503" xr:uid="{27500008-255C-4D7C-B7A7-1C45A00E22C0}"/>
    <cellStyle name="40% - Accent6 2 3 5 3" xfId="6249" xr:uid="{00000000-0005-0000-0000-00001B070000}"/>
    <cellStyle name="40% - Accent6 2 3 5 3 2" xfId="15575" xr:uid="{0C4D32E8-3058-40E4-A47A-EA2E598F4641}"/>
    <cellStyle name="40% - Accent6 2 3 5 4" xfId="11358" xr:uid="{EA05964D-0744-4E4F-BE18-8D5BACBF3A3F}"/>
    <cellStyle name="40% - Accent6 2 3 6" xfId="2356" xr:uid="{00000000-0005-0000-0000-00001C070000}"/>
    <cellStyle name="40% - Accent6 2 3 6 2" xfId="6662" xr:uid="{00000000-0005-0000-0000-00001D070000}"/>
    <cellStyle name="40% - Accent6 2 3 6 2 2" xfId="15988" xr:uid="{3DF82338-8E71-4B0E-B5B0-69182C9E3994}"/>
    <cellStyle name="40% - Accent6 2 3 6 3" xfId="11771" xr:uid="{61DC2084-A120-436D-BEF2-1E410FAF6D0D}"/>
    <cellStyle name="40% - Accent6 2 3 7" xfId="4596" xr:uid="{00000000-0005-0000-0000-00001E070000}"/>
    <cellStyle name="40% - Accent6 2 3 7 2" xfId="13922" xr:uid="{9E51CCCE-4099-47E5-9EF1-8A882A1F594C}"/>
    <cellStyle name="40% - Accent6 2 3 8" xfId="9010" xr:uid="{63E1B5F8-FE5F-441F-B768-94B1D98CB2B1}"/>
    <cellStyle name="40% - Accent6 2 3 8 2" xfId="18334" xr:uid="{9BE1867B-87AB-4E45-84AC-CE70C5186EA8}"/>
    <cellStyle name="40% - Accent6 2 3 9" xfId="9705" xr:uid="{723FAFAB-858C-4EBC-BCDB-C1C6F1F71961}"/>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BF404E16-B851-439B-8587-1E33A7FF870C}"/>
    <cellStyle name="40% - Accent6 2 4 2 3" xfId="12261" xr:uid="{302FC68A-8269-4F7D-A3E2-E5E5ECD79BE1}"/>
    <cellStyle name="40% - Accent6 2 4 3" xfId="5007" xr:uid="{00000000-0005-0000-0000-000022070000}"/>
    <cellStyle name="40% - Accent6 2 4 3 2" xfId="14333" xr:uid="{E3AB13C1-EF39-4CA5-AC53-6E0C7A8A7054}"/>
    <cellStyle name="40% - Accent6 2 4 4" xfId="9227" xr:uid="{61BC3AC1-FAE9-47DF-8143-7EECE05FF8D3}"/>
    <cellStyle name="40% - Accent6 2 4 4 2" xfId="18543" xr:uid="{826F37B8-607D-492F-995F-ED9174F2CF2D}"/>
    <cellStyle name="40% - Accent6 2 4 5" xfId="10116" xr:uid="{FEF199FB-5278-4E8A-A6C2-9473B747146B}"/>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1A7BED34-854C-42CE-9A48-5CEBF63E4820}"/>
    <cellStyle name="40% - Accent6 2 5 2 3" xfId="12674" xr:uid="{7711A602-7733-4BB6-B432-92FA30E5408B}"/>
    <cellStyle name="40% - Accent6 2 5 3" xfId="5420" xr:uid="{00000000-0005-0000-0000-000026070000}"/>
    <cellStyle name="40% - Accent6 2 5 3 2" xfId="14746" xr:uid="{76846779-39B3-4F63-BDDB-030859E264C7}"/>
    <cellStyle name="40% - Accent6 2 5 4" xfId="10529" xr:uid="{949EC16B-DF7E-43FE-A092-7A66883F54BF}"/>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5C01BD6F-FF20-47FD-A981-D847B04FCDF9}"/>
    <cellStyle name="40% - Accent6 2 6 2 3" xfId="13087" xr:uid="{4E2B2F5A-EF80-4F8F-87D4-15A87BB773A7}"/>
    <cellStyle name="40% - Accent6 2 6 3" xfId="5833" xr:uid="{00000000-0005-0000-0000-00002A070000}"/>
    <cellStyle name="40% - Accent6 2 6 3 2" xfId="15159" xr:uid="{2C03F4C4-B7A4-4472-A845-9BFFE939D08A}"/>
    <cellStyle name="40% - Accent6 2 6 4" xfId="10942" xr:uid="{E06BD839-C1D3-4B27-ADB9-9D5D0B255E50}"/>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68F72CBC-CC0C-4960-A790-93197793AAC9}"/>
    <cellStyle name="40% - Accent6 2 7 2 3" xfId="13500" xr:uid="{568A2E4E-A285-4E51-AB5B-F5C4CE2CE50C}"/>
    <cellStyle name="40% - Accent6 2 7 3" xfId="6246" xr:uid="{00000000-0005-0000-0000-00002E070000}"/>
    <cellStyle name="40% - Accent6 2 7 3 2" xfId="15572" xr:uid="{FD1D8021-2958-4B51-AEAA-4158219A6FC7}"/>
    <cellStyle name="40% - Accent6 2 7 4" xfId="11355" xr:uid="{00C7C383-5641-4625-B965-141099A1E774}"/>
    <cellStyle name="40% - Accent6 2 8" xfId="2353" xr:uid="{00000000-0005-0000-0000-00002F070000}"/>
    <cellStyle name="40% - Accent6 2 8 2" xfId="6659" xr:uid="{00000000-0005-0000-0000-000030070000}"/>
    <cellStyle name="40% - Accent6 2 8 2 2" xfId="15985" xr:uid="{CCD0961B-476E-4A62-8AC3-9DE99D2B181C}"/>
    <cellStyle name="40% - Accent6 2 8 3" xfId="11768" xr:uid="{EAD07C90-5FDF-4285-B848-A6DE0443ED45}"/>
    <cellStyle name="40% - Accent6 2 9" xfId="4593" xr:uid="{00000000-0005-0000-0000-000031070000}"/>
    <cellStyle name="40% - Accent6 2 9 2" xfId="13919" xr:uid="{4316E380-4DC5-4B8D-B0E3-334A621AF71A}"/>
    <cellStyle name="40% - Accent6 3" xfId="94" xr:uid="{00000000-0005-0000-0000-000032070000}"/>
    <cellStyle name="40% - Accent6 3 10" xfId="9706" xr:uid="{284D6952-8AE2-4820-B33A-7AB2B459F127}"/>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F6B94D66-A67D-4655-A463-DAD178EE6D7D}"/>
    <cellStyle name="40% - Accent6 3 2 2 2 3" xfId="12266" xr:uid="{6C0E2C6C-D64E-4F22-9BCF-44929758B9C9}"/>
    <cellStyle name="40% - Accent6 3 2 2 3" xfId="5012" xr:uid="{00000000-0005-0000-0000-000037070000}"/>
    <cellStyle name="40% - Accent6 3 2 2 3 2" xfId="14338" xr:uid="{FB92D5E5-FCBA-49AF-B468-AB9B42DDDAFE}"/>
    <cellStyle name="40% - Accent6 3 2 2 4" xfId="9504" xr:uid="{23E46585-FD8F-4BA3-8B65-284D6884E4FD}"/>
    <cellStyle name="40% - Accent6 3 2 2 4 2" xfId="18819" xr:uid="{61CB6A47-5D4D-481B-AA1C-2112FA5A6661}"/>
    <cellStyle name="40% - Accent6 3 2 2 5" xfId="10121" xr:uid="{5443B50E-B160-441C-8672-938BB0B210C3}"/>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5B6BFDDB-016F-43BF-B251-3B6769E184DB}"/>
    <cellStyle name="40% - Accent6 3 2 3 2 3" xfId="12679" xr:uid="{A95452BE-0119-4664-BFA1-4FC715609DF3}"/>
    <cellStyle name="40% - Accent6 3 2 3 3" xfId="5425" xr:uid="{00000000-0005-0000-0000-00003B070000}"/>
    <cellStyle name="40% - Accent6 3 2 3 3 2" xfId="14751" xr:uid="{593DBDC7-E5A3-4D42-8947-1E1B8E026B22}"/>
    <cellStyle name="40% - Accent6 3 2 3 4" xfId="10534" xr:uid="{7A1B8393-BD7B-4BDA-B9EB-6C0FDE845CE2}"/>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BD08B762-719B-47BE-BCB3-8D2229987E41}"/>
    <cellStyle name="40% - Accent6 3 2 4 2 3" xfId="13092" xr:uid="{032A1B3B-1934-412D-8190-4DF58214BE42}"/>
    <cellStyle name="40% - Accent6 3 2 4 3" xfId="5838" xr:uid="{00000000-0005-0000-0000-00003F070000}"/>
    <cellStyle name="40% - Accent6 3 2 4 3 2" xfId="15164" xr:uid="{9CB62F18-BC4B-45DD-8F07-248068643B6B}"/>
    <cellStyle name="40% - Accent6 3 2 4 4" xfId="10947" xr:uid="{3AE0CB17-2CB2-498C-9A5B-8D2580B3FC2A}"/>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A286278D-B6FD-4FE7-B3DC-FE6FB245003D}"/>
    <cellStyle name="40% - Accent6 3 2 5 2 3" xfId="13505" xr:uid="{1C4F8597-50E1-435D-AA7D-F0F83686652B}"/>
    <cellStyle name="40% - Accent6 3 2 5 3" xfId="6251" xr:uid="{00000000-0005-0000-0000-000043070000}"/>
    <cellStyle name="40% - Accent6 3 2 5 3 2" xfId="15577" xr:uid="{C5785552-ED1E-4A50-ABCC-83ACD0725F15}"/>
    <cellStyle name="40% - Accent6 3 2 5 4" xfId="11360" xr:uid="{9C0C70BD-7B88-4B15-9808-F3A7774AAC9B}"/>
    <cellStyle name="40% - Accent6 3 2 6" xfId="2358" xr:uid="{00000000-0005-0000-0000-000044070000}"/>
    <cellStyle name="40% - Accent6 3 2 6 2" xfId="6664" xr:uid="{00000000-0005-0000-0000-000045070000}"/>
    <cellStyle name="40% - Accent6 3 2 6 2 2" xfId="15990" xr:uid="{FE9FA315-4E21-468F-B034-D22A1C4EB92F}"/>
    <cellStyle name="40% - Accent6 3 2 6 3" xfId="11773" xr:uid="{86DA8724-F33E-44A4-A748-1689914BDCC2}"/>
    <cellStyle name="40% - Accent6 3 2 7" xfId="4598" xr:uid="{00000000-0005-0000-0000-000046070000}"/>
    <cellStyle name="40% - Accent6 3 2 7 2" xfId="13924" xr:uid="{8C31FA14-75D1-4107-860C-73B0F2FBF77C}"/>
    <cellStyle name="40% - Accent6 3 2 8" xfId="9079" xr:uid="{7FA93E2E-699F-4676-8533-A3CC5F80D807}"/>
    <cellStyle name="40% - Accent6 3 2 8 2" xfId="18403" xr:uid="{4E6FECB6-14AA-49B6-A34F-1E48E3E86EC9}"/>
    <cellStyle name="40% - Accent6 3 2 9" xfId="9707" xr:uid="{7AF905F4-1299-4F18-9740-E3DF649B9656}"/>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2232D10F-CD95-49D0-970D-C8E0CA913784}"/>
    <cellStyle name="40% - Accent6 3 3 2 3" xfId="12265" xr:uid="{889AC362-F40A-45F3-9406-FAD238B71E24}"/>
    <cellStyle name="40% - Accent6 3 3 3" xfId="5011" xr:uid="{00000000-0005-0000-0000-00004A070000}"/>
    <cellStyle name="40% - Accent6 3 3 3 2" xfId="14337" xr:uid="{13CA805C-5F42-44AF-BB22-6D8620EA1823}"/>
    <cellStyle name="40% - Accent6 3 3 4" xfId="9297" xr:uid="{1226E28F-09E7-4580-8D19-7F14AC1CB4B3}"/>
    <cellStyle name="40% - Accent6 3 3 4 2" xfId="18612" xr:uid="{289E86D9-60A1-45FD-8CA9-380D112C0661}"/>
    <cellStyle name="40% - Accent6 3 3 5" xfId="10120" xr:uid="{1B90D670-08A1-4FAA-85C8-C9B8860A7146}"/>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8A8B1E72-A23D-46FB-9C62-CDB03E465BF6}"/>
    <cellStyle name="40% - Accent6 3 4 2 3" xfId="12678" xr:uid="{9AF1F4D9-B2EB-4F7A-9E4E-D38C0C64C307}"/>
    <cellStyle name="40% - Accent6 3 4 3" xfId="5424" xr:uid="{00000000-0005-0000-0000-00004E070000}"/>
    <cellStyle name="40% - Accent6 3 4 3 2" xfId="14750" xr:uid="{3163E1B8-9980-4FFE-9F8A-5E1FA75CC21B}"/>
    <cellStyle name="40% - Accent6 3 4 4" xfId="10533" xr:uid="{489C348E-904D-46FB-984C-02A66A3082D0}"/>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C4E95DC7-1B4E-426B-8FCB-650B78B9BCE3}"/>
    <cellStyle name="40% - Accent6 3 5 2 3" xfId="13091" xr:uid="{AC5CBEE5-6018-46EA-96CA-DF2057429FB7}"/>
    <cellStyle name="40% - Accent6 3 5 3" xfId="5837" xr:uid="{00000000-0005-0000-0000-000052070000}"/>
    <cellStyle name="40% - Accent6 3 5 3 2" xfId="15163" xr:uid="{A7AE731E-F5AA-48E1-9E5A-34A9D9958456}"/>
    <cellStyle name="40% - Accent6 3 5 4" xfId="10946" xr:uid="{99A0034E-F8C1-43FD-AD20-5FE0CB06901C}"/>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F4D801C1-5574-4D73-95BE-7924CC5CCEDC}"/>
    <cellStyle name="40% - Accent6 3 6 2 3" xfId="13504" xr:uid="{57A1E31A-4379-4E62-A3C8-814C4C3232DD}"/>
    <cellStyle name="40% - Accent6 3 6 3" xfId="6250" xr:uid="{00000000-0005-0000-0000-000056070000}"/>
    <cellStyle name="40% - Accent6 3 6 3 2" xfId="15576" xr:uid="{A64E6B2B-36FD-4613-A7D3-222A65B72EE3}"/>
    <cellStyle name="40% - Accent6 3 6 4" xfId="11359" xr:uid="{4E497405-EFCD-4CA5-AD99-1C06C10A6101}"/>
    <cellStyle name="40% - Accent6 3 7" xfId="2357" xr:uid="{00000000-0005-0000-0000-000057070000}"/>
    <cellStyle name="40% - Accent6 3 7 2" xfId="6663" xr:uid="{00000000-0005-0000-0000-000058070000}"/>
    <cellStyle name="40% - Accent6 3 7 2 2" xfId="15989" xr:uid="{786CD3AC-A6C7-4B36-B20E-D4FF4BF74228}"/>
    <cellStyle name="40% - Accent6 3 7 3" xfId="11772" xr:uid="{011DA5BF-2788-4BED-9EA6-41BC57AAAE2D}"/>
    <cellStyle name="40% - Accent6 3 8" xfId="4597" xr:uid="{00000000-0005-0000-0000-000059070000}"/>
    <cellStyle name="40% - Accent6 3 8 2" xfId="13923" xr:uid="{B04886DA-9BDA-4495-9570-101982F5C63F}"/>
    <cellStyle name="40% - Accent6 3 9" xfId="8872" xr:uid="{E018AF0F-504E-4DED-BF70-CC97997D74E9}"/>
    <cellStyle name="40% - Accent6 3 9 2" xfId="18196" xr:uid="{0B3A3AFB-5F00-4DC6-8289-026477CCD432}"/>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D1816EBB-6B0D-473A-895B-1F8AC00351AF}"/>
    <cellStyle name="40% - Accent6 4 2 2 3" xfId="12267" xr:uid="{B02BD40C-47C1-4CA7-9D79-8E6F24B58C3C}"/>
    <cellStyle name="40% - Accent6 4 2 3" xfId="5013" xr:uid="{00000000-0005-0000-0000-00005E070000}"/>
    <cellStyle name="40% - Accent6 4 2 3 2" xfId="14339" xr:uid="{9965BE9B-2320-49D1-B7ED-4B9BCBE401C7}"/>
    <cellStyle name="40% - Accent6 4 2 4" xfId="9383" xr:uid="{07C7426F-B517-4815-A0BF-2BAE02B26B53}"/>
    <cellStyle name="40% - Accent6 4 2 4 2" xfId="18698" xr:uid="{E862940F-BB41-4045-AAA8-C6E536EA2A59}"/>
    <cellStyle name="40% - Accent6 4 2 5" xfId="10122" xr:uid="{9356C353-18FD-408C-A321-6875DA18211D}"/>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0C2D866C-393D-4D19-ACA7-945055928FCE}"/>
    <cellStyle name="40% - Accent6 4 3 2 3" xfId="12680" xr:uid="{2D1AE331-41DE-4B00-9B12-15E51159525B}"/>
    <cellStyle name="40% - Accent6 4 3 3" xfId="5426" xr:uid="{00000000-0005-0000-0000-000062070000}"/>
    <cellStyle name="40% - Accent6 4 3 3 2" xfId="14752" xr:uid="{8A337822-84CE-41ED-B64E-D1578F780677}"/>
    <cellStyle name="40% - Accent6 4 3 4" xfId="10535" xr:uid="{4D9539DC-5FA9-4B73-A8D2-E91C2C2F1345}"/>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B357FF9D-2107-4427-A2CC-5E4C5B5F375D}"/>
    <cellStyle name="40% - Accent6 4 4 2 3" xfId="13093" xr:uid="{F95A573C-D466-4918-A505-89539822DC86}"/>
    <cellStyle name="40% - Accent6 4 4 3" xfId="5839" xr:uid="{00000000-0005-0000-0000-000066070000}"/>
    <cellStyle name="40% - Accent6 4 4 3 2" xfId="15165" xr:uid="{FFC118EB-B0CF-47F2-8D8E-C7950EB3995D}"/>
    <cellStyle name="40% - Accent6 4 4 4" xfId="10948" xr:uid="{404AED6A-C3F3-46CB-9330-3D502E9A0068}"/>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DA2D07FF-E0ED-41BB-8421-F827FE04C750}"/>
    <cellStyle name="40% - Accent6 4 5 2 3" xfId="13506" xr:uid="{50859825-26A5-4E7C-9096-F97C00E932D2}"/>
    <cellStyle name="40% - Accent6 4 5 3" xfId="6252" xr:uid="{00000000-0005-0000-0000-00006A070000}"/>
    <cellStyle name="40% - Accent6 4 5 3 2" xfId="15578" xr:uid="{08623DDB-CA98-43E9-A70E-EE6771E417E1}"/>
    <cellStyle name="40% - Accent6 4 5 4" xfId="11361" xr:uid="{611D7FDD-CA09-4768-9A63-3404C04DF792}"/>
    <cellStyle name="40% - Accent6 4 6" xfId="2359" xr:uid="{00000000-0005-0000-0000-00006B070000}"/>
    <cellStyle name="40% - Accent6 4 6 2" xfId="6665" xr:uid="{00000000-0005-0000-0000-00006C070000}"/>
    <cellStyle name="40% - Accent6 4 6 2 2" xfId="15991" xr:uid="{07DC31C0-7867-4B81-8CC6-023122012A92}"/>
    <cellStyle name="40% - Accent6 4 6 3" xfId="11774" xr:uid="{731B8235-E955-4B60-898A-3522BC648823}"/>
    <cellStyle name="40% - Accent6 4 7" xfId="4599" xr:uid="{00000000-0005-0000-0000-00006D070000}"/>
    <cellStyle name="40% - Accent6 4 7 2" xfId="13925" xr:uid="{64B12E46-1A1D-4F8C-8A9B-C5AA8565FCAA}"/>
    <cellStyle name="40% - Accent6 4 8" xfId="8958" xr:uid="{058203D5-6D6D-4106-8D68-93F66B236239}"/>
    <cellStyle name="40% - Accent6 4 8 2" xfId="18282" xr:uid="{2AC1B893-7E19-4E22-B743-43CD49AFFB73}"/>
    <cellStyle name="40% - Accent6 4 9" xfId="9708" xr:uid="{5728C915-1A36-4CC6-81F7-2610E62B8A6E}"/>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78328BA1-D6C1-488B-A211-E1D8BE3BAAA3}"/>
    <cellStyle name="40% - Accent6 5 2 3" xfId="12260" xr:uid="{0859EA12-4789-439D-A590-65D62C805ADA}"/>
    <cellStyle name="40% - Accent6 5 3" xfId="5006" xr:uid="{00000000-0005-0000-0000-000071070000}"/>
    <cellStyle name="40% - Accent6 5 3 2" xfId="14332" xr:uid="{768AF4B0-9D56-4F54-B378-F3A8BE7BCFFC}"/>
    <cellStyle name="40% - Accent6 5 4" xfId="9192" xr:uid="{19661A88-B46A-4EF9-A9F3-4BCF8E242108}"/>
    <cellStyle name="40% - Accent6 5 4 2" xfId="18509" xr:uid="{A33605EB-07F9-4FC6-A090-F8B8F970C3A9}"/>
    <cellStyle name="40% - Accent6 5 5" xfId="10115" xr:uid="{3B4CA023-49C6-460B-9517-666505C2D4EC}"/>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338E90FE-C63D-499E-AFA2-307E0188AD10}"/>
    <cellStyle name="40% - Accent6 6 2 3" xfId="12673" xr:uid="{91C5C82B-DBAD-4904-92E6-BCE18BCF1AF4}"/>
    <cellStyle name="40% - Accent6 6 3" xfId="5419" xr:uid="{00000000-0005-0000-0000-000075070000}"/>
    <cellStyle name="40% - Accent6 6 3 2" xfId="14745" xr:uid="{13A321BE-FDDD-4DDE-B55B-F75CED47A8C9}"/>
    <cellStyle name="40% - Accent6 6 4" xfId="10528" xr:uid="{06A1019D-E8EF-48E4-A5AA-F308E364AC22}"/>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89C2E9B0-7970-4633-8A54-C9819A6B8E38}"/>
    <cellStyle name="40% - Accent6 7 2 3" xfId="13086" xr:uid="{37F6E7CA-EC72-432E-9166-9DB91E74BC39}"/>
    <cellStyle name="40% - Accent6 7 3" xfId="5832" xr:uid="{00000000-0005-0000-0000-000079070000}"/>
    <cellStyle name="40% - Accent6 7 3 2" xfId="15158" xr:uid="{8AD4C49A-7E41-4762-BFD9-8F6A64B3613D}"/>
    <cellStyle name="40% - Accent6 7 4" xfId="10941" xr:uid="{A5B028D6-A6BE-4300-B6AC-E7AEAD047119}"/>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C32BF2CC-2DF5-4FDC-8226-48CA9DF5FDA4}"/>
    <cellStyle name="40% - Accent6 8 2 3" xfId="13499" xr:uid="{AEEFC3E2-DA30-4D1C-8592-95DF1FEDABBE}"/>
    <cellStyle name="40% - Accent6 8 3" xfId="6245" xr:uid="{00000000-0005-0000-0000-00007D070000}"/>
    <cellStyle name="40% - Accent6 8 3 2" xfId="15571" xr:uid="{DA728685-C0EA-40A5-B50B-B4A22461F233}"/>
    <cellStyle name="40% - Accent6 8 4" xfId="11354" xr:uid="{AF4D195F-89CC-430A-8F89-7BC68B712210}"/>
    <cellStyle name="40% - Accent6 9" xfId="2352" xr:uid="{00000000-0005-0000-0000-00007E070000}"/>
    <cellStyle name="40% - Accent6 9 2" xfId="6658" xr:uid="{00000000-0005-0000-0000-00007F070000}"/>
    <cellStyle name="40% - Accent6 9 2 2" xfId="15984" xr:uid="{E9E6F839-053E-45DF-90C5-5474D100638F}"/>
    <cellStyle name="40% - Accent6 9 3" xfId="11767" xr:uid="{3A0A6521-6EE5-4297-B402-0DA8715CBEAA}"/>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F744F904-0A84-4CE0-A5DF-8566B13305F7}"/>
    <cellStyle name="Comma 4 2 2 2 10 3" xfId="12092" xr:uid="{B4647AA3-4C40-4BDE-9B7B-753532ED8663}"/>
    <cellStyle name="Comma 4 2 2 2 11" xfId="4600" xr:uid="{00000000-0005-0000-0000-0000A3070000}"/>
    <cellStyle name="Comma 4 2 2 2 11 2" xfId="13926" xr:uid="{EEC591CB-480A-44F7-96EB-FD7DE0BB15C9}"/>
    <cellStyle name="Comma 4 2 2 2 12" xfId="8806" xr:uid="{6C773D0B-D2E3-4A8C-B041-8DA2843B9E25}"/>
    <cellStyle name="Comma 4 2 2 2 12 2" xfId="18130" xr:uid="{1F6F4D11-6363-4392-9F23-C22B1FB5E3E9}"/>
    <cellStyle name="Comma 4 2 2 2 13" xfId="9709" xr:uid="{5086A259-AE0F-48A0-B5DB-D5ED876EB1CD}"/>
    <cellStyle name="Comma 4 2 2 2 2" xfId="129" xr:uid="{00000000-0005-0000-0000-0000A4070000}"/>
    <cellStyle name="Comma 4 2 2 2 2 10" xfId="4601" xr:uid="{00000000-0005-0000-0000-0000A5070000}"/>
    <cellStyle name="Comma 4 2 2 2 2 10 2" xfId="13927" xr:uid="{E9C7ADDF-C156-4802-B8BA-E4948E0BF991}"/>
    <cellStyle name="Comma 4 2 2 2 2 11" xfId="8909" xr:uid="{477FCE05-1F49-4658-A03C-A8A5E7983C47}"/>
    <cellStyle name="Comma 4 2 2 2 2 11 2" xfId="18233" xr:uid="{F1D5EED3-847A-4ED5-A2A0-217EFCBB7E21}"/>
    <cellStyle name="Comma 4 2 2 2 2 12" xfId="9710" xr:uid="{985CA97A-2239-4F60-A735-52F74B4F5CA7}"/>
    <cellStyle name="Comma 4 2 2 2 2 2" xfId="130" xr:uid="{00000000-0005-0000-0000-0000A6070000}"/>
    <cellStyle name="Comma 4 2 2 2 2 2 10" xfId="9116" xr:uid="{7A07505D-6B4C-4086-90B5-B5D345FB7611}"/>
    <cellStyle name="Comma 4 2 2 2 2 2 10 2" xfId="18440" xr:uid="{C10B1A82-8A89-4B59-B5E9-2891AF4D6F44}"/>
    <cellStyle name="Comma 4 2 2 2 2 2 11" xfId="9711" xr:uid="{8C54FD03-4A57-44A0-90A9-3957320B4FDE}"/>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7660CB3C-7196-493D-88B7-D0DD57F41F18}"/>
    <cellStyle name="Comma 4 2 2 2 2 2 2 2 3" xfId="12270" xr:uid="{F92AD971-3533-4CCA-8949-554AEB0B85E8}"/>
    <cellStyle name="Comma 4 2 2 2 2 2 2 3" xfId="5016" xr:uid="{00000000-0005-0000-0000-0000AA070000}"/>
    <cellStyle name="Comma 4 2 2 2 2 2 2 3 2" xfId="14342" xr:uid="{B718B664-C059-4D5C-A61B-FBE84320F864}"/>
    <cellStyle name="Comma 4 2 2 2 2 2 2 4" xfId="9541" xr:uid="{21DC771E-83A2-48BA-BE40-3E9E8454DE28}"/>
    <cellStyle name="Comma 4 2 2 2 2 2 2 4 2" xfId="18856" xr:uid="{A5BED51D-EA87-4D0D-A089-8FED1FD32EA5}"/>
    <cellStyle name="Comma 4 2 2 2 2 2 2 5" xfId="10125" xr:uid="{80FE7DCE-938F-4690-9280-60FE4850ACB2}"/>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A2BEC755-1849-4968-9F4D-4824AE8E9AC3}"/>
    <cellStyle name="Comma 4 2 2 2 2 2 3 2 3" xfId="12683" xr:uid="{0EA56889-5831-4546-BD3C-B714A023D3AC}"/>
    <cellStyle name="Comma 4 2 2 2 2 2 3 3" xfId="5429" xr:uid="{00000000-0005-0000-0000-0000AE070000}"/>
    <cellStyle name="Comma 4 2 2 2 2 2 3 3 2" xfId="14755" xr:uid="{19250E02-3FA8-4120-B672-45A1FE552E30}"/>
    <cellStyle name="Comma 4 2 2 2 2 2 3 4" xfId="10538" xr:uid="{39DEB60C-C1EF-4A9B-BBB5-DAE3C71E584A}"/>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4D03E4EB-F82B-4F6C-BFAB-39F8E8923279}"/>
    <cellStyle name="Comma 4 2 2 2 2 2 4 2 3" xfId="13096" xr:uid="{3BC7F050-CC20-457D-8F99-DEC1A0FCB7E2}"/>
    <cellStyle name="Comma 4 2 2 2 2 2 4 3" xfId="5842" xr:uid="{00000000-0005-0000-0000-0000B2070000}"/>
    <cellStyle name="Comma 4 2 2 2 2 2 4 3 2" xfId="15168" xr:uid="{F4B840DE-76D9-4ECE-9938-E295F4F45DCC}"/>
    <cellStyle name="Comma 4 2 2 2 2 2 4 4" xfId="10951" xr:uid="{B506FB5F-2505-4DA7-9AE4-750C55E4731C}"/>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635121D6-D232-462A-A684-5BC5B232CB1F}"/>
    <cellStyle name="Comma 4 2 2 2 2 2 5 2 3" xfId="13509" xr:uid="{853FDCD9-C9E6-45A0-91AC-6D7B08C6920F}"/>
    <cellStyle name="Comma 4 2 2 2 2 2 5 3" xfId="6255" xr:uid="{00000000-0005-0000-0000-0000B6070000}"/>
    <cellStyle name="Comma 4 2 2 2 2 2 5 3 2" xfId="15581" xr:uid="{5031BCBE-750D-4917-A9D8-DB28136FE10D}"/>
    <cellStyle name="Comma 4 2 2 2 2 2 5 4" xfId="11364" xr:uid="{4CD94CA0-38B6-4E4A-9275-382A92BC375C}"/>
    <cellStyle name="Comma 4 2 2 2 2 2 6" xfId="2384" xr:uid="{00000000-0005-0000-0000-0000B7070000}"/>
    <cellStyle name="Comma 4 2 2 2 2 2 6 2" xfId="6668" xr:uid="{00000000-0005-0000-0000-0000B8070000}"/>
    <cellStyle name="Comma 4 2 2 2 2 2 6 2 2" xfId="15994" xr:uid="{EB42AA2F-C2B6-4164-8FC3-C4E30DDCB084}"/>
    <cellStyle name="Comma 4 2 2 2 2 2 6 3" xfId="11777" xr:uid="{4089535D-AAC8-4099-BD02-2873B1475977}"/>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DE3E939E-55A9-41E7-8585-E2C174C0E08F}"/>
    <cellStyle name="Comma 4 2 2 2 2 2 8 3" xfId="12094" xr:uid="{77EB865C-7716-4862-A3D4-1BC3F23AA7F6}"/>
    <cellStyle name="Comma 4 2 2 2 2 2 9" xfId="4602" xr:uid="{00000000-0005-0000-0000-0000BC070000}"/>
    <cellStyle name="Comma 4 2 2 2 2 2 9 2" xfId="13928" xr:uid="{E86BCF83-4943-4F03-B519-6D2665BA416B}"/>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87C51782-D3D8-434F-A525-52824D142BA3}"/>
    <cellStyle name="Comma 4 2 2 2 2 3 2 3" xfId="12269" xr:uid="{E8544ACF-88BF-414F-8DB7-A19B1DA8FC97}"/>
    <cellStyle name="Comma 4 2 2 2 2 3 3" xfId="5015" xr:uid="{00000000-0005-0000-0000-0000C0070000}"/>
    <cellStyle name="Comma 4 2 2 2 2 3 3 2" xfId="14341" xr:uid="{3793E158-9880-486F-932D-D24A3FA0C04C}"/>
    <cellStyle name="Comma 4 2 2 2 2 3 4" xfId="9334" xr:uid="{50E8807F-6450-4082-BD30-0A86C2E78D0E}"/>
    <cellStyle name="Comma 4 2 2 2 2 3 4 2" xfId="18649" xr:uid="{83E77776-B0B6-47CC-90FA-63BE48E5BEAA}"/>
    <cellStyle name="Comma 4 2 2 2 2 3 5" xfId="10124" xr:uid="{2957A0F7-3E62-4EC3-AA94-3D9415B9146B}"/>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FEAF59E5-4E1B-4A07-BB48-9F722206BCA0}"/>
    <cellStyle name="Comma 4 2 2 2 2 4 2 3" xfId="12682" xr:uid="{679A4B94-1D00-4A0D-AA1F-BA398B6D7A63}"/>
    <cellStyle name="Comma 4 2 2 2 2 4 3" xfId="5428" xr:uid="{00000000-0005-0000-0000-0000C4070000}"/>
    <cellStyle name="Comma 4 2 2 2 2 4 3 2" xfId="14754" xr:uid="{E680CC6A-BD07-498A-BA2B-B57390C56073}"/>
    <cellStyle name="Comma 4 2 2 2 2 4 4" xfId="10537" xr:uid="{748F901E-0050-4210-A313-71D9E36F42FF}"/>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6CF52904-4582-4DF6-B76F-B4A7A13A68E2}"/>
    <cellStyle name="Comma 4 2 2 2 2 5 2 3" xfId="13095" xr:uid="{EB54FD87-AC91-4770-8572-EA327BB756B9}"/>
    <cellStyle name="Comma 4 2 2 2 2 5 3" xfId="5841" xr:uid="{00000000-0005-0000-0000-0000C8070000}"/>
    <cellStyle name="Comma 4 2 2 2 2 5 3 2" xfId="15167" xr:uid="{8B2BD04E-4BCC-4364-A9E6-66F837CCD7DB}"/>
    <cellStyle name="Comma 4 2 2 2 2 5 4" xfId="10950" xr:uid="{59B2852C-EDDD-4790-B303-1A4C700B69EB}"/>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A1BC6EEB-A0E9-4D91-86AE-52932650F23D}"/>
    <cellStyle name="Comma 4 2 2 2 2 6 2 3" xfId="13508" xr:uid="{4B20924A-B8ED-4AE4-856A-17BB80F24FC5}"/>
    <cellStyle name="Comma 4 2 2 2 2 6 3" xfId="6254" xr:uid="{00000000-0005-0000-0000-0000CC070000}"/>
    <cellStyle name="Comma 4 2 2 2 2 6 3 2" xfId="15580" xr:uid="{DB501456-2E3B-4BA3-96E1-22C8F8395E48}"/>
    <cellStyle name="Comma 4 2 2 2 2 6 4" xfId="11363" xr:uid="{DE1DB16E-9AA5-4F7D-ABA5-862CA8C5EB0F}"/>
    <cellStyle name="Comma 4 2 2 2 2 7" xfId="2383" xr:uid="{00000000-0005-0000-0000-0000CD070000}"/>
    <cellStyle name="Comma 4 2 2 2 2 7 2" xfId="6667" xr:uid="{00000000-0005-0000-0000-0000CE070000}"/>
    <cellStyle name="Comma 4 2 2 2 2 7 2 2" xfId="15993" xr:uid="{0781F4D0-158D-400F-9E20-DF3444B112F4}"/>
    <cellStyle name="Comma 4 2 2 2 2 7 3" xfId="11776" xr:uid="{E055EDB0-5BE5-4F06-87C7-E50A4BE47201}"/>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5D85D30F-F166-4132-ABDF-86F5F9C5C660}"/>
    <cellStyle name="Comma 4 2 2 2 2 9 3" xfId="12093" xr:uid="{9742C13B-ED91-4D97-BBEB-E53DDAC4FF4C}"/>
    <cellStyle name="Comma 4 2 2 2 3" xfId="131" xr:uid="{00000000-0005-0000-0000-0000D2070000}"/>
    <cellStyle name="Comma 4 2 2 2 3 10" xfId="9013" xr:uid="{D7491CA1-A7A0-4099-A659-9FB418CDDACA}"/>
    <cellStyle name="Comma 4 2 2 2 3 10 2" xfId="18337" xr:uid="{BBDB2A56-A8F5-429F-981E-6F5D02A20D65}"/>
    <cellStyle name="Comma 4 2 2 2 3 11" xfId="9712" xr:uid="{DDD3C170-8850-47A2-8F61-FDD7070A7D45}"/>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06A58435-D9BB-4E9B-B599-085169FEE400}"/>
    <cellStyle name="Comma 4 2 2 2 3 2 2 3" xfId="12271" xr:uid="{0AD255CB-CB05-42B3-B00E-01423C346155}"/>
    <cellStyle name="Comma 4 2 2 2 3 2 3" xfId="5017" xr:uid="{00000000-0005-0000-0000-0000D6070000}"/>
    <cellStyle name="Comma 4 2 2 2 3 2 3 2" xfId="14343" xr:uid="{05EB8296-644D-466F-8C0A-024FBB5712B9}"/>
    <cellStyle name="Comma 4 2 2 2 3 2 4" xfId="9438" xr:uid="{8E9C4341-814A-43D1-8D35-8CCC512A2E32}"/>
    <cellStyle name="Comma 4 2 2 2 3 2 4 2" xfId="18753" xr:uid="{633A9425-BEF7-40A6-BE7C-9492636EECCC}"/>
    <cellStyle name="Comma 4 2 2 2 3 2 5" xfId="10126" xr:uid="{B605AB07-FB6E-4498-AF4B-27F92AEB5A9C}"/>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C3DB9797-0C4F-4DEC-9377-1E77FEC0DB53}"/>
    <cellStyle name="Comma 4 2 2 2 3 3 2 3" xfId="12684" xr:uid="{1D306A66-A444-4F42-AF38-F165D2FB84FF}"/>
    <cellStyle name="Comma 4 2 2 2 3 3 3" xfId="5430" xr:uid="{00000000-0005-0000-0000-0000DA070000}"/>
    <cellStyle name="Comma 4 2 2 2 3 3 3 2" xfId="14756" xr:uid="{CDC6215A-720A-4F9D-A89B-F40657BEF584}"/>
    <cellStyle name="Comma 4 2 2 2 3 3 4" xfId="10539" xr:uid="{C41B1A50-B870-4941-9F52-6C5594C19F2D}"/>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7FABF5F0-DF4A-4E86-BE6E-5183AC86166E}"/>
    <cellStyle name="Comma 4 2 2 2 3 4 2 3" xfId="13097" xr:uid="{58D71642-0971-470B-9FDD-FD4741295512}"/>
    <cellStyle name="Comma 4 2 2 2 3 4 3" xfId="5843" xr:uid="{00000000-0005-0000-0000-0000DE070000}"/>
    <cellStyle name="Comma 4 2 2 2 3 4 3 2" xfId="15169" xr:uid="{B70BF42A-413A-4212-A215-86285301215A}"/>
    <cellStyle name="Comma 4 2 2 2 3 4 4" xfId="10952" xr:uid="{E4DB94D8-9E83-4EC8-B182-441EE093D376}"/>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0BA47407-3F86-418E-B564-ACF5CDE23072}"/>
    <cellStyle name="Comma 4 2 2 2 3 5 2 3" xfId="13510" xr:uid="{9F6C3ED6-A531-4765-8816-2F4606C6873F}"/>
    <cellStyle name="Comma 4 2 2 2 3 5 3" xfId="6256" xr:uid="{00000000-0005-0000-0000-0000E2070000}"/>
    <cellStyle name="Comma 4 2 2 2 3 5 3 2" xfId="15582" xr:uid="{5434AA33-188C-49F8-967D-A0E5401BF12B}"/>
    <cellStyle name="Comma 4 2 2 2 3 5 4" xfId="11365" xr:uid="{2A0DC041-B6CE-42CC-AD8A-8962C8D755C2}"/>
    <cellStyle name="Comma 4 2 2 2 3 6" xfId="2385" xr:uid="{00000000-0005-0000-0000-0000E3070000}"/>
    <cellStyle name="Comma 4 2 2 2 3 6 2" xfId="6669" xr:uid="{00000000-0005-0000-0000-0000E4070000}"/>
    <cellStyle name="Comma 4 2 2 2 3 6 2 2" xfId="15995" xr:uid="{E04A4C2C-6224-4A20-A08A-7A939933AD61}"/>
    <cellStyle name="Comma 4 2 2 2 3 6 3" xfId="11778" xr:uid="{699EBF65-F28C-4A31-9FD3-00A5BDD377DD}"/>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1FFE3BB2-53EF-4041-8509-57E87A130DDD}"/>
    <cellStyle name="Comma 4 2 2 2 3 8 3" xfId="12095" xr:uid="{D2B7AD75-50BC-4E27-BA21-AA1FF45FF670}"/>
    <cellStyle name="Comma 4 2 2 2 3 9" xfId="4603" xr:uid="{00000000-0005-0000-0000-0000E8070000}"/>
    <cellStyle name="Comma 4 2 2 2 3 9 2" xfId="13929" xr:uid="{96B07ABB-B2CA-40EB-89BE-4FF36D3540B3}"/>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06C0BB40-2215-40F5-8E5C-9902589ED194}"/>
    <cellStyle name="Comma 4 2 2 2 4 2 3" xfId="12268" xr:uid="{20CCF5D1-6F4C-4C2B-9A50-F7730E353B6B}"/>
    <cellStyle name="Comma 4 2 2 2 4 3" xfId="5014" xr:uid="{00000000-0005-0000-0000-0000EC070000}"/>
    <cellStyle name="Comma 4 2 2 2 4 3 2" xfId="14340" xr:uid="{AEF16B31-6D83-4440-B98B-E248888A41C6}"/>
    <cellStyle name="Comma 4 2 2 2 4 4" xfId="9231" xr:uid="{31DAC97A-9492-467B-9850-183797A56FBE}"/>
    <cellStyle name="Comma 4 2 2 2 4 4 2" xfId="18546" xr:uid="{DD96B636-E324-4408-8256-F1E2437CB9A6}"/>
    <cellStyle name="Comma 4 2 2 2 4 5" xfId="10123" xr:uid="{C3477281-C9AC-4844-AAD1-F754B45C5EA7}"/>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9341BE13-50D3-4867-B9E8-531386C69843}"/>
    <cellStyle name="Comma 4 2 2 2 5 2 3" xfId="12681" xr:uid="{D90CAE1D-CBA0-435E-A5BD-AE6403A32774}"/>
    <cellStyle name="Comma 4 2 2 2 5 3" xfId="5427" xr:uid="{00000000-0005-0000-0000-0000F0070000}"/>
    <cellStyle name="Comma 4 2 2 2 5 3 2" xfId="14753" xr:uid="{18110D50-39BF-4417-912A-F28BDE34D356}"/>
    <cellStyle name="Comma 4 2 2 2 5 4" xfId="10536" xr:uid="{5374D777-1F1F-44AA-9A6E-F44893DC4860}"/>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2E940ED2-D1A8-4A0D-B47B-F886C3200E7B}"/>
    <cellStyle name="Comma 4 2 2 2 6 2 3" xfId="13094" xr:uid="{5B3D87DD-2F97-402C-8223-54ADA5F59F16}"/>
    <cellStyle name="Comma 4 2 2 2 6 3" xfId="5840" xr:uid="{00000000-0005-0000-0000-0000F4070000}"/>
    <cellStyle name="Comma 4 2 2 2 6 3 2" xfId="15166" xr:uid="{0F5A5FA3-6B0A-46DF-AB67-388542D9B830}"/>
    <cellStyle name="Comma 4 2 2 2 6 4" xfId="10949" xr:uid="{0D6CC0FB-CCDA-4BDA-9F72-494AC0AC396F}"/>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A20D4270-2CC3-42D0-B08B-F46C420A0BC2}"/>
    <cellStyle name="Comma 4 2 2 2 7 2 3" xfId="13507" xr:uid="{E903EEFF-4ED3-43D3-A8D5-71ACC3810FD6}"/>
    <cellStyle name="Comma 4 2 2 2 7 3" xfId="6253" xr:uid="{00000000-0005-0000-0000-0000F8070000}"/>
    <cellStyle name="Comma 4 2 2 2 7 3 2" xfId="15579" xr:uid="{2879FFB6-C009-4A27-B9E7-C5C0AC62B714}"/>
    <cellStyle name="Comma 4 2 2 2 7 4" xfId="11362" xr:uid="{3E1CD76D-D2CB-4795-AC83-41DE4E4E8BC6}"/>
    <cellStyle name="Comma 4 2 2 2 8" xfId="2382" xr:uid="{00000000-0005-0000-0000-0000F9070000}"/>
    <cellStyle name="Comma 4 2 2 2 8 2" xfId="6666" xr:uid="{00000000-0005-0000-0000-0000FA070000}"/>
    <cellStyle name="Comma 4 2 2 2 8 2 2" xfId="15992" xr:uid="{A9D6D001-693E-4A95-B548-376F42122379}"/>
    <cellStyle name="Comma 4 2 2 2 8 3" xfId="11775" xr:uid="{77C55584-FFC5-4C1F-9261-CA10FBB47882}"/>
    <cellStyle name="Comma 4 2 2 2 9" xfId="2381" xr:uid="{00000000-0005-0000-0000-0000FB070000}"/>
    <cellStyle name="Comma 4 2 2 3" xfId="132" xr:uid="{00000000-0005-0000-0000-0000FC070000}"/>
    <cellStyle name="Comma 4 2 2 3 10" xfId="4604" xr:uid="{00000000-0005-0000-0000-0000FD070000}"/>
    <cellStyle name="Comma 4 2 2 3 10 2" xfId="13930" xr:uid="{4C0C460B-A0F4-4ED9-9FE2-0BD1EE88CE1C}"/>
    <cellStyle name="Comma 4 2 2 3 11" xfId="8889" xr:uid="{93813409-C042-4436-8561-B0237A135E7D}"/>
    <cellStyle name="Comma 4 2 2 3 11 2" xfId="18213" xr:uid="{A3BFEE2E-60AB-4CAC-AA01-6A087C38463F}"/>
    <cellStyle name="Comma 4 2 2 3 12" xfId="9713" xr:uid="{111ED77F-3A51-4969-8A15-4DC342C4E836}"/>
    <cellStyle name="Comma 4 2 2 3 2" xfId="133" xr:uid="{00000000-0005-0000-0000-0000FE070000}"/>
    <cellStyle name="Comma 4 2 2 3 2 10" xfId="9096" xr:uid="{C395B6CC-7E3E-452B-B5AB-BBF992A45CEB}"/>
    <cellStyle name="Comma 4 2 2 3 2 10 2" xfId="18420" xr:uid="{B867125E-B2C6-4EE5-9DF5-7C85508F254E}"/>
    <cellStyle name="Comma 4 2 2 3 2 11" xfId="9714" xr:uid="{2EF2D157-163E-4C8D-A703-A1F20B6EA619}"/>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FE3F5526-7013-4103-B883-751A49A84E61}"/>
    <cellStyle name="Comma 4 2 2 3 2 2 2 3" xfId="12273" xr:uid="{15FAC805-3766-4F9B-B53C-1DAE83F0B239}"/>
    <cellStyle name="Comma 4 2 2 3 2 2 3" xfId="5019" xr:uid="{00000000-0005-0000-0000-000002080000}"/>
    <cellStyle name="Comma 4 2 2 3 2 2 3 2" xfId="14345" xr:uid="{D1B5FCE2-69B0-4B37-AC1D-A4C33B4361A1}"/>
    <cellStyle name="Comma 4 2 2 3 2 2 4" xfId="9521" xr:uid="{8F14F654-C711-4E70-8A06-71F68E70E2E0}"/>
    <cellStyle name="Comma 4 2 2 3 2 2 4 2" xfId="18836" xr:uid="{B2BE08C4-2421-45F0-9894-40BEA2251582}"/>
    <cellStyle name="Comma 4 2 2 3 2 2 5" xfId="10128" xr:uid="{FB80CBB1-F760-44E2-BC1C-43C385762F78}"/>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0E227344-8804-4FBF-B3D3-16581C4B3BBE}"/>
    <cellStyle name="Comma 4 2 2 3 2 3 2 3" xfId="12686" xr:uid="{A81F249F-F569-459D-816F-30DFFF7314A0}"/>
    <cellStyle name="Comma 4 2 2 3 2 3 3" xfId="5432" xr:uid="{00000000-0005-0000-0000-000006080000}"/>
    <cellStyle name="Comma 4 2 2 3 2 3 3 2" xfId="14758" xr:uid="{8B14560D-B7E9-4803-897E-E31BDD3D6459}"/>
    <cellStyle name="Comma 4 2 2 3 2 3 4" xfId="10541" xr:uid="{C0E6F636-A1F0-463C-9B0A-63E935ED6DD3}"/>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49CBCC49-82A6-4C81-A18D-EA50B4B00B9E}"/>
    <cellStyle name="Comma 4 2 2 3 2 4 2 3" xfId="13099" xr:uid="{72CF3783-9B05-47B0-B8F2-AF514C1F1113}"/>
    <cellStyle name="Comma 4 2 2 3 2 4 3" xfId="5845" xr:uid="{00000000-0005-0000-0000-00000A080000}"/>
    <cellStyle name="Comma 4 2 2 3 2 4 3 2" xfId="15171" xr:uid="{C243A8DC-CB21-4472-A545-51010442B7EB}"/>
    <cellStyle name="Comma 4 2 2 3 2 4 4" xfId="10954" xr:uid="{ED5B4DF2-D982-41EB-987A-B364569CD968}"/>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E8AEEC09-4049-4220-AF01-3AC63069043D}"/>
    <cellStyle name="Comma 4 2 2 3 2 5 2 3" xfId="13512" xr:uid="{8A6B1626-6001-40A5-9D9D-8D0AA592A3E6}"/>
    <cellStyle name="Comma 4 2 2 3 2 5 3" xfId="6258" xr:uid="{00000000-0005-0000-0000-00000E080000}"/>
    <cellStyle name="Comma 4 2 2 3 2 5 3 2" xfId="15584" xr:uid="{2BEF6B39-D8E3-48DC-8EC3-E14366AF50FA}"/>
    <cellStyle name="Comma 4 2 2 3 2 5 4" xfId="11367" xr:uid="{D3B1B4DE-9494-4E59-8179-28FA658F04F3}"/>
    <cellStyle name="Comma 4 2 2 3 2 6" xfId="2387" xr:uid="{00000000-0005-0000-0000-00000F080000}"/>
    <cellStyle name="Comma 4 2 2 3 2 6 2" xfId="6671" xr:uid="{00000000-0005-0000-0000-000010080000}"/>
    <cellStyle name="Comma 4 2 2 3 2 6 2 2" xfId="15997" xr:uid="{0AF83877-FC43-46B8-87EA-BF11FA536EB6}"/>
    <cellStyle name="Comma 4 2 2 3 2 6 3" xfId="11780" xr:uid="{B1AC943B-BCA8-42D8-AAAF-19E7BBC3570C}"/>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335F3D3C-832C-4AEF-8327-CC031CD8CCCA}"/>
    <cellStyle name="Comma 4 2 2 3 2 8 3" xfId="12097" xr:uid="{B9DEB6B9-2BE9-449A-B02F-60575D956931}"/>
    <cellStyle name="Comma 4 2 2 3 2 9" xfId="4605" xr:uid="{00000000-0005-0000-0000-000014080000}"/>
    <cellStyle name="Comma 4 2 2 3 2 9 2" xfId="13931" xr:uid="{5239350A-3235-496A-A92E-6A3E69E8031B}"/>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7B87C6CC-408F-402B-BDC2-65F883AFA747}"/>
    <cellStyle name="Comma 4 2 2 3 3 2 3" xfId="12272" xr:uid="{372A5080-5268-40A8-9AD1-88E5CE5D86EC}"/>
    <cellStyle name="Comma 4 2 2 3 3 3" xfId="5018" xr:uid="{00000000-0005-0000-0000-000018080000}"/>
    <cellStyle name="Comma 4 2 2 3 3 3 2" xfId="14344" xr:uid="{2A418A7E-A948-4C91-8B35-7117F0B5F91D}"/>
    <cellStyle name="Comma 4 2 2 3 3 4" xfId="9314" xr:uid="{A74197AE-1229-40FC-8212-8FB289D74FF6}"/>
    <cellStyle name="Comma 4 2 2 3 3 4 2" xfId="18629" xr:uid="{E7226B92-93E8-40AB-AE2D-F592265363E5}"/>
    <cellStyle name="Comma 4 2 2 3 3 5" xfId="10127" xr:uid="{87EB6783-FB77-47E5-B4D0-F8A66608830B}"/>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68A21F94-6982-41DD-921C-1D014D681A5A}"/>
    <cellStyle name="Comma 4 2 2 3 4 2 3" xfId="12685" xr:uid="{5CA864B5-7F0C-4B9D-8035-5E374069039C}"/>
    <cellStyle name="Comma 4 2 2 3 4 3" xfId="5431" xr:uid="{00000000-0005-0000-0000-00001C080000}"/>
    <cellStyle name="Comma 4 2 2 3 4 3 2" xfId="14757" xr:uid="{3C1F4C19-D069-4254-A017-0BDBF7E844F1}"/>
    <cellStyle name="Comma 4 2 2 3 4 4" xfId="10540" xr:uid="{FB81508D-2AFC-4D4A-943D-91D8069972B4}"/>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5ABA11D5-7EBA-423C-B7E1-301A836612A0}"/>
    <cellStyle name="Comma 4 2 2 3 5 2 3" xfId="13098" xr:uid="{1104D1B7-0E57-431C-9ADF-375244CCB7D7}"/>
    <cellStyle name="Comma 4 2 2 3 5 3" xfId="5844" xr:uid="{00000000-0005-0000-0000-000020080000}"/>
    <cellStyle name="Comma 4 2 2 3 5 3 2" xfId="15170" xr:uid="{D6788677-D0E0-4B16-8A94-E34B4D17D78F}"/>
    <cellStyle name="Comma 4 2 2 3 5 4" xfId="10953" xr:uid="{A2CDA1B1-8A07-4B55-BE83-76C5140E65C1}"/>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9D294AB1-A903-4F34-AF9C-524927AD5DBF}"/>
    <cellStyle name="Comma 4 2 2 3 6 2 3" xfId="13511" xr:uid="{E128488A-AE74-4EC7-96D4-693E4BC3E8C0}"/>
    <cellStyle name="Comma 4 2 2 3 6 3" xfId="6257" xr:uid="{00000000-0005-0000-0000-000024080000}"/>
    <cellStyle name="Comma 4 2 2 3 6 3 2" xfId="15583" xr:uid="{60E95880-4F37-470B-BA06-82D08CB5DF45}"/>
    <cellStyle name="Comma 4 2 2 3 6 4" xfId="11366" xr:uid="{89294D00-A73E-49CB-A0D1-5F474885F82C}"/>
    <cellStyle name="Comma 4 2 2 3 7" xfId="2386" xr:uid="{00000000-0005-0000-0000-000025080000}"/>
    <cellStyle name="Comma 4 2 2 3 7 2" xfId="6670" xr:uid="{00000000-0005-0000-0000-000026080000}"/>
    <cellStyle name="Comma 4 2 2 3 7 2 2" xfId="15996" xr:uid="{3DCE2060-2436-47D0-8218-176350328AB1}"/>
    <cellStyle name="Comma 4 2 2 3 7 3" xfId="11779" xr:uid="{2190D4F7-9EC9-4133-9DBA-A509E3C59C42}"/>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B6BD0B46-2C4E-4635-B4DF-BE99C1052340}"/>
    <cellStyle name="Comma 4 2 2 3 9 3" xfId="12096" xr:uid="{2CAF028B-16B6-4A73-9812-A0AA609B0E06}"/>
    <cellStyle name="Comma 4 2 2 4" xfId="134" xr:uid="{00000000-0005-0000-0000-00002A080000}"/>
    <cellStyle name="Comma 4 2 2 4 10" xfId="8993" xr:uid="{2969CB69-37C4-4C43-BC9D-87F92556F829}"/>
    <cellStyle name="Comma 4 2 2 4 10 2" xfId="18317" xr:uid="{0CADF76B-2EA8-4E6B-904D-7ABDFA87E70A}"/>
    <cellStyle name="Comma 4 2 2 4 11" xfId="9715" xr:uid="{F693641E-7757-4282-AC3B-253E82E65DA9}"/>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59843C21-826C-44B6-B109-F44B6660BE00}"/>
    <cellStyle name="Comma 4 2 2 4 2 2 3" xfId="12274" xr:uid="{A520D96A-FEA7-402C-AE2B-D82EF26898CA}"/>
    <cellStyle name="Comma 4 2 2 4 2 3" xfId="5020" xr:uid="{00000000-0005-0000-0000-00002E080000}"/>
    <cellStyle name="Comma 4 2 2 4 2 3 2" xfId="14346" xr:uid="{06C6BAF0-0BFD-45D3-A378-DA09FD4782C5}"/>
    <cellStyle name="Comma 4 2 2 4 2 4" xfId="9418" xr:uid="{F2EB07B7-2227-485D-9411-A8F75EC2F9DA}"/>
    <cellStyle name="Comma 4 2 2 4 2 4 2" xfId="18733" xr:uid="{1E4FF56E-ED7C-409E-BBDE-EC0E2122B448}"/>
    <cellStyle name="Comma 4 2 2 4 2 5" xfId="10129" xr:uid="{E55447BE-A25D-4BC2-8864-87FE801CD892}"/>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47DB3950-E0E3-4B6A-9799-49464F54B7B1}"/>
    <cellStyle name="Comma 4 2 2 4 3 2 3" xfId="12687" xr:uid="{B894197C-4776-4729-982D-139901B7EED1}"/>
    <cellStyle name="Comma 4 2 2 4 3 3" xfId="5433" xr:uid="{00000000-0005-0000-0000-000032080000}"/>
    <cellStyle name="Comma 4 2 2 4 3 3 2" xfId="14759" xr:uid="{D72948C3-58F3-4C85-A63B-CBCAF0F95A6C}"/>
    <cellStyle name="Comma 4 2 2 4 3 4" xfId="10542" xr:uid="{958668DB-4026-48CD-9C12-B40D1FA5F559}"/>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B3EA930E-E438-4FD6-A737-556689C1823F}"/>
    <cellStyle name="Comma 4 2 2 4 4 2 3" xfId="13100" xr:uid="{14AC580F-B54D-454E-ABC0-BA764087F317}"/>
    <cellStyle name="Comma 4 2 2 4 4 3" xfId="5846" xr:uid="{00000000-0005-0000-0000-000036080000}"/>
    <cellStyle name="Comma 4 2 2 4 4 3 2" xfId="15172" xr:uid="{97A0C427-2015-4AE1-88CA-E2D08687C959}"/>
    <cellStyle name="Comma 4 2 2 4 4 4" xfId="10955" xr:uid="{4F5AE93F-FF21-4F02-BC57-368B19B2A376}"/>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0AB4D7DE-F88F-4278-9B12-E053B6F61D61}"/>
    <cellStyle name="Comma 4 2 2 4 5 2 3" xfId="13513" xr:uid="{CA2F3667-D3E2-4E7F-A3A8-FD94760EC207}"/>
    <cellStyle name="Comma 4 2 2 4 5 3" xfId="6259" xr:uid="{00000000-0005-0000-0000-00003A080000}"/>
    <cellStyle name="Comma 4 2 2 4 5 3 2" xfId="15585" xr:uid="{9810FCF1-85D4-4EB8-8762-AED51178F7E3}"/>
    <cellStyle name="Comma 4 2 2 4 5 4" xfId="11368" xr:uid="{F982AD9B-CCD3-48F5-BF72-0B8B05522139}"/>
    <cellStyle name="Comma 4 2 2 4 6" xfId="2388" xr:uid="{00000000-0005-0000-0000-00003B080000}"/>
    <cellStyle name="Comma 4 2 2 4 6 2" xfId="6672" xr:uid="{00000000-0005-0000-0000-00003C080000}"/>
    <cellStyle name="Comma 4 2 2 4 6 2 2" xfId="15998" xr:uid="{B82DA5EA-9461-4D2F-BD7A-1EF0A4C5FD1A}"/>
    <cellStyle name="Comma 4 2 2 4 6 3" xfId="11781" xr:uid="{1F375C88-CE02-4E0C-A71B-64B05FAA8373}"/>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DD53171E-0E61-4FA8-B3B9-4BCBA7D2E14A}"/>
    <cellStyle name="Comma 4 2 2 4 8 3" xfId="12098" xr:uid="{0D981D42-C0CB-4099-859C-F495A0236BC7}"/>
    <cellStyle name="Comma 4 2 2 4 9" xfId="4606" xr:uid="{00000000-0005-0000-0000-000040080000}"/>
    <cellStyle name="Comma 4 2 2 4 9 2" xfId="13932" xr:uid="{C1EE48FD-D57E-4D68-9006-EFC54CC72728}"/>
    <cellStyle name="Comma 4 2 2 5" xfId="135" xr:uid="{00000000-0005-0000-0000-000041080000}"/>
    <cellStyle name="Comma 4 2 2 5 10" xfId="9210" xr:uid="{C1F9418B-EF96-4063-883D-A983E131C6A4}"/>
    <cellStyle name="Comma 4 2 2 5 10 2" xfId="18526" xr:uid="{FB5D19D0-5BFB-4A7B-834C-B0E191C4806D}"/>
    <cellStyle name="Comma 4 2 2 5 11" xfId="9716" xr:uid="{7B9D8E7F-34F8-40A4-BAE7-64E69381DCD9}"/>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CC663FAB-9482-4B7D-87D2-130C93C28297}"/>
    <cellStyle name="Comma 4 2 2 5 2 2 3" xfId="12275" xr:uid="{CFA5AB40-E21F-4F0E-9F7C-FE0D676598C3}"/>
    <cellStyle name="Comma 4 2 2 5 2 3" xfId="5021" xr:uid="{00000000-0005-0000-0000-000045080000}"/>
    <cellStyle name="Comma 4 2 2 5 2 3 2" xfId="14347" xr:uid="{FEF41BBF-C753-4DFA-B155-080C6B507DDB}"/>
    <cellStyle name="Comma 4 2 2 5 2 4" xfId="9593" xr:uid="{3B41C66E-2108-4CBE-9776-211459781E55}"/>
    <cellStyle name="Comma 4 2 2 5 2 4 2" xfId="18897" xr:uid="{EBC3EF79-4D95-427C-9258-AEB3EEE70FC3}"/>
    <cellStyle name="Comma 4 2 2 5 2 5" xfId="10130" xr:uid="{1CD9ECDC-0B64-4D1B-9D52-EF0A21883BE5}"/>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567B1070-717A-40C1-8A4C-1D7E135D08B7}"/>
    <cellStyle name="Comma 4 2 2 5 3 2 3" xfId="12688" xr:uid="{5223BDAC-CB79-432E-BA9E-C36451A9542E}"/>
    <cellStyle name="Comma 4 2 2 5 3 3" xfId="5434" xr:uid="{00000000-0005-0000-0000-000049080000}"/>
    <cellStyle name="Comma 4 2 2 5 3 3 2" xfId="14760" xr:uid="{01558362-6E14-4EC0-A9E7-CE346C940DD4}"/>
    <cellStyle name="Comma 4 2 2 5 3 4" xfId="10543" xr:uid="{275AE660-5981-4B3A-B122-BB43816B5429}"/>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66F23193-4507-4869-B7E1-A980D416F8A2}"/>
    <cellStyle name="Comma 4 2 2 5 4 2 3" xfId="13101" xr:uid="{E2C92ED5-EC0C-4A13-8738-CDFE415A5F6A}"/>
    <cellStyle name="Comma 4 2 2 5 4 3" xfId="5847" xr:uid="{00000000-0005-0000-0000-00004D080000}"/>
    <cellStyle name="Comma 4 2 2 5 4 3 2" xfId="15173" xr:uid="{59285C67-72BA-4335-948D-B70736819C08}"/>
    <cellStyle name="Comma 4 2 2 5 4 4" xfId="10956" xr:uid="{A0C43591-F0E7-49EC-BD64-DFB83598714F}"/>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73875A30-E5FD-4A9A-9064-8FBC4E56BB3F}"/>
    <cellStyle name="Comma 4 2 2 5 5 2 3" xfId="13514" xr:uid="{6A0264A4-2824-4EBA-B536-676BEEE4ED8D}"/>
    <cellStyle name="Comma 4 2 2 5 5 3" xfId="6260" xr:uid="{00000000-0005-0000-0000-000051080000}"/>
    <cellStyle name="Comma 4 2 2 5 5 3 2" xfId="15586" xr:uid="{841201DF-DD85-4A24-A555-31DFB8ED2BA4}"/>
    <cellStyle name="Comma 4 2 2 5 5 4" xfId="11369" xr:uid="{6998D1D0-A6F7-41D2-9DBB-CE7734143451}"/>
    <cellStyle name="Comma 4 2 2 5 6" xfId="2389" xr:uid="{00000000-0005-0000-0000-000052080000}"/>
    <cellStyle name="Comma 4 2 2 5 6 2" xfId="6673" xr:uid="{00000000-0005-0000-0000-000053080000}"/>
    <cellStyle name="Comma 4 2 2 5 6 2 2" xfId="15999" xr:uid="{B1DB2D11-7F33-4430-916E-F7DF5BED35CE}"/>
    <cellStyle name="Comma 4 2 2 5 6 3" xfId="11782" xr:uid="{0ABF8A9D-1B14-43BA-B1BD-BF8683F19298}"/>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29A3D248-C5E9-4C81-8349-0A427A83FC70}"/>
    <cellStyle name="Comma 4 2 2 5 8 3" xfId="12099" xr:uid="{CF3DCDF7-4046-4F9D-A6A2-BDA6F44A28EC}"/>
    <cellStyle name="Comma 4 2 2 5 9" xfId="4607" xr:uid="{00000000-0005-0000-0000-000057080000}"/>
    <cellStyle name="Comma 4 2 2 5 9 2" xfId="13933" xr:uid="{6CE4BDD9-931E-41B6-83FA-CF961708B4E4}"/>
    <cellStyle name="Comma 4 2 2 6" xfId="9228" xr:uid="{49D8FCED-23A7-48B2-8D10-F90787B2F62D}"/>
    <cellStyle name="Comma 4 2 2 7" xfId="8786" xr:uid="{8FDBE9F4-5F27-4B1B-A262-D62BF874EF16}"/>
    <cellStyle name="Comma 4 2 2 7 2" xfId="18110" xr:uid="{29ACB67B-3D24-4CA7-86FC-4C9B8A6F56BE}"/>
    <cellStyle name="Comma 4 2 3" xfId="136" xr:uid="{00000000-0005-0000-0000-000058080000}"/>
    <cellStyle name="Comma 4 2 3 10" xfId="2768" xr:uid="{00000000-0005-0000-0000-000059080000}"/>
    <cellStyle name="Comma 4 2 3 10 2" xfId="6991" xr:uid="{00000000-0005-0000-0000-00005A080000}"/>
    <cellStyle name="Comma 4 2 3 10 2 2" xfId="16317" xr:uid="{B6CD378D-0275-4417-A76D-25CD1F8BFD28}"/>
    <cellStyle name="Comma 4 2 3 10 3" xfId="12100" xr:uid="{34919348-73E6-43AE-8A3D-D08F16BA408F}"/>
    <cellStyle name="Comma 4 2 3 11" xfId="4608" xr:uid="{00000000-0005-0000-0000-00005B080000}"/>
    <cellStyle name="Comma 4 2 3 11 2" xfId="13934" xr:uid="{FAF6C918-4209-43B1-B3D1-24E69DDFA946}"/>
    <cellStyle name="Comma 4 2 3 12" xfId="8805" xr:uid="{C45527F6-07B7-4887-BAF3-A6424444BA3B}"/>
    <cellStyle name="Comma 4 2 3 12 2" xfId="18129" xr:uid="{5855F4FB-4386-432B-B18D-380ACBE6FE82}"/>
    <cellStyle name="Comma 4 2 3 13" xfId="9717" xr:uid="{324A2CB0-D896-4A2B-BBC7-8762CD4B3ED8}"/>
    <cellStyle name="Comma 4 2 3 2" xfId="137" xr:uid="{00000000-0005-0000-0000-00005C080000}"/>
    <cellStyle name="Comma 4 2 3 2 10" xfId="4609" xr:uid="{00000000-0005-0000-0000-00005D080000}"/>
    <cellStyle name="Comma 4 2 3 2 10 2" xfId="13935" xr:uid="{4B6D3359-B418-40AD-A94B-3ACF49FA8849}"/>
    <cellStyle name="Comma 4 2 3 2 11" xfId="8908" xr:uid="{E7021C11-E6EB-4392-A0AD-2A78F42B4BB7}"/>
    <cellStyle name="Comma 4 2 3 2 11 2" xfId="18232" xr:uid="{CADC1EE3-D3D0-484B-BB5A-12DAC5050291}"/>
    <cellStyle name="Comma 4 2 3 2 12" xfId="9718" xr:uid="{F1DA1609-F8C8-4E9A-A039-134FD34B111A}"/>
    <cellStyle name="Comma 4 2 3 2 2" xfId="138" xr:uid="{00000000-0005-0000-0000-00005E080000}"/>
    <cellStyle name="Comma 4 2 3 2 2 10" xfId="9115" xr:uid="{1A31CCC4-B2C0-4E0C-B714-855521500FE8}"/>
    <cellStyle name="Comma 4 2 3 2 2 10 2" xfId="18439" xr:uid="{87645901-AF6F-474C-AA19-689AABF52885}"/>
    <cellStyle name="Comma 4 2 3 2 2 11" xfId="9719" xr:uid="{9772C1D6-1D03-4779-AE6D-693C2493438E}"/>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216CEFDA-7691-4923-B3A7-A2EFBCF2786C}"/>
    <cellStyle name="Comma 4 2 3 2 2 2 2 3" xfId="12278" xr:uid="{956F4570-E608-4A15-B830-222C75238AE5}"/>
    <cellStyle name="Comma 4 2 3 2 2 2 3" xfId="5024" xr:uid="{00000000-0005-0000-0000-000062080000}"/>
    <cellStyle name="Comma 4 2 3 2 2 2 3 2" xfId="14350" xr:uid="{B033FE63-4B95-4B31-8143-6475D7E7F783}"/>
    <cellStyle name="Comma 4 2 3 2 2 2 4" xfId="9540" xr:uid="{F922DD27-FEAE-4DB6-894F-26CD58815668}"/>
    <cellStyle name="Comma 4 2 3 2 2 2 4 2" xfId="18855" xr:uid="{F156A710-A37B-4E38-98E0-4589BA0F6586}"/>
    <cellStyle name="Comma 4 2 3 2 2 2 5" xfId="10133" xr:uid="{98C2ACE3-2B0A-484C-A3E5-8A25207A79D0}"/>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A2525F27-B119-431C-8708-BF4E332E40F8}"/>
    <cellStyle name="Comma 4 2 3 2 2 3 2 3" xfId="12691" xr:uid="{AA63FD9F-1917-4A71-97ED-E8C4B04D5F55}"/>
    <cellStyle name="Comma 4 2 3 2 2 3 3" xfId="5437" xr:uid="{00000000-0005-0000-0000-000066080000}"/>
    <cellStyle name="Comma 4 2 3 2 2 3 3 2" xfId="14763" xr:uid="{D2A1C320-1BBC-4E3F-8A15-A1C00932960E}"/>
    <cellStyle name="Comma 4 2 3 2 2 3 4" xfId="10546" xr:uid="{549E1286-4FB1-42EF-A6FE-AE5EC0EE8AF6}"/>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5ADB0643-17C7-4B53-BD27-822D95A0032E}"/>
    <cellStyle name="Comma 4 2 3 2 2 4 2 3" xfId="13104" xr:uid="{80D27152-AFCE-45ED-BBA0-476FC4C156A1}"/>
    <cellStyle name="Comma 4 2 3 2 2 4 3" xfId="5850" xr:uid="{00000000-0005-0000-0000-00006A080000}"/>
    <cellStyle name="Comma 4 2 3 2 2 4 3 2" xfId="15176" xr:uid="{CD04B30A-E7FC-49E9-9857-22F4D711105E}"/>
    <cellStyle name="Comma 4 2 3 2 2 4 4" xfId="10959" xr:uid="{3A19C011-3410-4931-9B5F-F47F3EDCEB5A}"/>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7DB58816-346A-4B8A-8D92-0D93D8D3C6EB}"/>
    <cellStyle name="Comma 4 2 3 2 2 5 2 3" xfId="13517" xr:uid="{2B1A136A-5368-4346-B258-8B9E9D40E554}"/>
    <cellStyle name="Comma 4 2 3 2 2 5 3" xfId="6263" xr:uid="{00000000-0005-0000-0000-00006E080000}"/>
    <cellStyle name="Comma 4 2 3 2 2 5 3 2" xfId="15589" xr:uid="{76FAF5C7-99CB-46CF-ADB3-BD34E23647EE}"/>
    <cellStyle name="Comma 4 2 3 2 2 5 4" xfId="11372" xr:uid="{238D45B5-D266-445A-A681-5F54A9D7F5D3}"/>
    <cellStyle name="Comma 4 2 3 2 2 6" xfId="2392" xr:uid="{00000000-0005-0000-0000-00006F080000}"/>
    <cellStyle name="Comma 4 2 3 2 2 6 2" xfId="6676" xr:uid="{00000000-0005-0000-0000-000070080000}"/>
    <cellStyle name="Comma 4 2 3 2 2 6 2 2" xfId="16002" xr:uid="{D4C91B76-9D66-4EBE-BD96-8F2D0E990FAE}"/>
    <cellStyle name="Comma 4 2 3 2 2 6 3" xfId="11785" xr:uid="{BDF9FEF8-C4C3-49D0-BF65-3DB34D45A982}"/>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EEA36786-5320-498A-A4D8-47592912D895}"/>
    <cellStyle name="Comma 4 2 3 2 2 8 3" xfId="12102" xr:uid="{1F9350D7-DEF1-4A82-BCC2-FAE09BF171F2}"/>
    <cellStyle name="Comma 4 2 3 2 2 9" xfId="4610" xr:uid="{00000000-0005-0000-0000-000074080000}"/>
    <cellStyle name="Comma 4 2 3 2 2 9 2" xfId="13936" xr:uid="{5A79C9BC-B472-4E21-920F-F1CE4BEC8CB3}"/>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C5D9B80D-9F75-4E7E-8D31-84B70CE70B96}"/>
    <cellStyle name="Comma 4 2 3 2 3 2 3" xfId="12277" xr:uid="{93455E05-9228-489A-AEC7-D91D1783B09D}"/>
    <cellStyle name="Comma 4 2 3 2 3 3" xfId="5023" xr:uid="{00000000-0005-0000-0000-000078080000}"/>
    <cellStyle name="Comma 4 2 3 2 3 3 2" xfId="14349" xr:uid="{E1D57912-2B53-49A4-B1FD-B54AA5CF2724}"/>
    <cellStyle name="Comma 4 2 3 2 3 4" xfId="9333" xr:uid="{5C974796-1B06-4FA8-AB2A-F6B34628ACD4}"/>
    <cellStyle name="Comma 4 2 3 2 3 4 2" xfId="18648" xr:uid="{BDCEB464-ED79-4EC9-AF70-A1AB935C73C1}"/>
    <cellStyle name="Comma 4 2 3 2 3 5" xfId="10132" xr:uid="{500F2FD8-7F3F-44C5-9FFC-76A0CC3B6FDC}"/>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A14396AF-C03B-4BD7-BF76-EA8C43DA5A80}"/>
    <cellStyle name="Comma 4 2 3 2 4 2 3" xfId="12690" xr:uid="{9CB3A8B5-247E-4289-94CA-F14226A796AE}"/>
    <cellStyle name="Comma 4 2 3 2 4 3" xfId="5436" xr:uid="{00000000-0005-0000-0000-00007C080000}"/>
    <cellStyle name="Comma 4 2 3 2 4 3 2" xfId="14762" xr:uid="{83778526-BE64-4414-811C-B46231DE55D5}"/>
    <cellStyle name="Comma 4 2 3 2 4 4" xfId="10545" xr:uid="{8E7B5220-6AE6-4A14-A4A6-D794ADC20D0C}"/>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C753652E-35A4-4A33-A330-A14FEE30F772}"/>
    <cellStyle name="Comma 4 2 3 2 5 2 3" xfId="13103" xr:uid="{86A492C9-C5E8-425E-ABF5-954D986EFA4B}"/>
    <cellStyle name="Comma 4 2 3 2 5 3" xfId="5849" xr:uid="{00000000-0005-0000-0000-000080080000}"/>
    <cellStyle name="Comma 4 2 3 2 5 3 2" xfId="15175" xr:uid="{641B22E9-3BD3-4197-9E55-290182783AF6}"/>
    <cellStyle name="Comma 4 2 3 2 5 4" xfId="10958" xr:uid="{24FC0DBC-8B54-48E3-A150-7ECD6E5F2230}"/>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3E950169-057C-480B-A990-3C2A9F645932}"/>
    <cellStyle name="Comma 4 2 3 2 6 2 3" xfId="13516" xr:uid="{8C357317-7284-48ED-A458-86AB72F3F573}"/>
    <cellStyle name="Comma 4 2 3 2 6 3" xfId="6262" xr:uid="{00000000-0005-0000-0000-000084080000}"/>
    <cellStyle name="Comma 4 2 3 2 6 3 2" xfId="15588" xr:uid="{CFD3A16B-115C-450B-833B-26C3E33DAF60}"/>
    <cellStyle name="Comma 4 2 3 2 6 4" xfId="11371" xr:uid="{FF746E2F-0630-4C08-BC75-B10098B996FC}"/>
    <cellStyle name="Comma 4 2 3 2 7" xfId="2391" xr:uid="{00000000-0005-0000-0000-000085080000}"/>
    <cellStyle name="Comma 4 2 3 2 7 2" xfId="6675" xr:uid="{00000000-0005-0000-0000-000086080000}"/>
    <cellStyle name="Comma 4 2 3 2 7 2 2" xfId="16001" xr:uid="{18DE4F98-8B74-4F6A-85BE-DC2919A32B7A}"/>
    <cellStyle name="Comma 4 2 3 2 7 3" xfId="11784" xr:uid="{393FDDF5-0BC6-4C2C-99C9-D7B188F1ED88}"/>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D68FA479-8CD0-494B-88A7-6C800EEAE889}"/>
    <cellStyle name="Comma 4 2 3 2 9 3" xfId="12101" xr:uid="{233BDD68-74CA-4791-805B-7D325DDAFE1A}"/>
    <cellStyle name="Comma 4 2 3 3" xfId="139" xr:uid="{00000000-0005-0000-0000-00008A080000}"/>
    <cellStyle name="Comma 4 2 3 3 10" xfId="9012" xr:uid="{61C0F117-76A9-43CA-B381-88B2CFF6294C}"/>
    <cellStyle name="Comma 4 2 3 3 10 2" xfId="18336" xr:uid="{88556110-FECA-4C9C-8A55-01E13FBD48E7}"/>
    <cellStyle name="Comma 4 2 3 3 11" xfId="9720" xr:uid="{460A6353-4B0B-42C3-BA27-293CF5C25BB3}"/>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5B72974D-7782-422B-AD2F-794DB05A0398}"/>
    <cellStyle name="Comma 4 2 3 3 2 2 3" xfId="12279" xr:uid="{83ACA058-8EF4-4053-84A2-20FDAF184729}"/>
    <cellStyle name="Comma 4 2 3 3 2 3" xfId="5025" xr:uid="{00000000-0005-0000-0000-00008E080000}"/>
    <cellStyle name="Comma 4 2 3 3 2 3 2" xfId="14351" xr:uid="{102443AE-E8B6-41C8-8CD1-E59852D5EBA9}"/>
    <cellStyle name="Comma 4 2 3 3 2 4" xfId="9437" xr:uid="{35C6809B-E49F-4A7F-8CB1-650474E72B0A}"/>
    <cellStyle name="Comma 4 2 3 3 2 4 2" xfId="18752" xr:uid="{97948E52-2A51-4C82-BECB-22F0D9E2A8D0}"/>
    <cellStyle name="Comma 4 2 3 3 2 5" xfId="10134" xr:uid="{19338987-A0BF-4930-9D9E-9AD8EEF1F780}"/>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DCA30E93-CC62-4D70-A639-A8B68F186AC5}"/>
    <cellStyle name="Comma 4 2 3 3 3 2 3" xfId="12692" xr:uid="{1A35A8D7-44B9-45AA-BFF0-41FA19EB5FBF}"/>
    <cellStyle name="Comma 4 2 3 3 3 3" xfId="5438" xr:uid="{00000000-0005-0000-0000-000092080000}"/>
    <cellStyle name="Comma 4 2 3 3 3 3 2" xfId="14764" xr:uid="{4DBCD3DD-F71D-482F-9B03-B16BC61EBF4D}"/>
    <cellStyle name="Comma 4 2 3 3 3 4" xfId="10547" xr:uid="{24E3811D-CF44-40D7-B12A-8474F8E6890A}"/>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3D409B0C-A2AE-4C15-AC21-92E1AAC24F2C}"/>
    <cellStyle name="Comma 4 2 3 3 4 2 3" xfId="13105" xr:uid="{D2CBBB38-4DDD-41D0-8895-F8570BA1CAE3}"/>
    <cellStyle name="Comma 4 2 3 3 4 3" xfId="5851" xr:uid="{00000000-0005-0000-0000-000096080000}"/>
    <cellStyle name="Comma 4 2 3 3 4 3 2" xfId="15177" xr:uid="{26ED383E-EC4D-416E-9FAF-72D4DB966AF4}"/>
    <cellStyle name="Comma 4 2 3 3 4 4" xfId="10960" xr:uid="{9AE05958-3901-4C3C-A7E2-38D3C28B3CE3}"/>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B9D75E18-6780-44B4-815F-EB6004A5B287}"/>
    <cellStyle name="Comma 4 2 3 3 5 2 3" xfId="13518" xr:uid="{37FE1E16-A007-40DB-81BF-8F939BCFE7E6}"/>
    <cellStyle name="Comma 4 2 3 3 5 3" xfId="6264" xr:uid="{00000000-0005-0000-0000-00009A080000}"/>
    <cellStyle name="Comma 4 2 3 3 5 3 2" xfId="15590" xr:uid="{F9E81310-07E7-4E04-88A0-47B754BA1CF4}"/>
    <cellStyle name="Comma 4 2 3 3 5 4" xfId="11373" xr:uid="{40C52F5F-90E4-4FFB-914E-8A257DDAAE90}"/>
    <cellStyle name="Comma 4 2 3 3 6" xfId="2393" xr:uid="{00000000-0005-0000-0000-00009B080000}"/>
    <cellStyle name="Comma 4 2 3 3 6 2" xfId="6677" xr:uid="{00000000-0005-0000-0000-00009C080000}"/>
    <cellStyle name="Comma 4 2 3 3 6 2 2" xfId="16003" xr:uid="{6CAE22CF-B334-454B-873E-CC133B557D06}"/>
    <cellStyle name="Comma 4 2 3 3 6 3" xfId="11786" xr:uid="{F8493458-FC71-42AE-A8D1-DD899B59D1C6}"/>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DEBA22F0-9A24-4D4E-9A55-A6145EA72F3D}"/>
    <cellStyle name="Comma 4 2 3 3 8 3" xfId="12103" xr:uid="{FB0B9BD1-0BB3-45DC-AE24-92A0B7F892A3}"/>
    <cellStyle name="Comma 4 2 3 3 9" xfId="4611" xr:uid="{00000000-0005-0000-0000-0000A0080000}"/>
    <cellStyle name="Comma 4 2 3 3 9 2" xfId="13937" xr:uid="{828C6F62-B97E-4E78-98AD-239B1893128A}"/>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D642311F-7856-4047-BE4B-DBF06AE0BF3B}"/>
    <cellStyle name="Comma 4 2 3 4 2 3" xfId="12276" xr:uid="{6910EF59-B08B-490A-91BA-575AEAA85074}"/>
    <cellStyle name="Comma 4 2 3 4 3" xfId="5022" xr:uid="{00000000-0005-0000-0000-0000A4080000}"/>
    <cellStyle name="Comma 4 2 3 4 3 2" xfId="14348" xr:uid="{51E322EE-8CBD-494E-90AB-340FBBBA2126}"/>
    <cellStyle name="Comma 4 2 3 4 4" xfId="9230" xr:uid="{24B6B749-023F-4009-8785-C6CFE1098E24}"/>
    <cellStyle name="Comma 4 2 3 4 4 2" xfId="18545" xr:uid="{B1989C21-29F0-4B68-9995-E7C9DDD85B64}"/>
    <cellStyle name="Comma 4 2 3 4 5" xfId="10131" xr:uid="{67364CAF-6479-4FBE-A2D1-372F496A706F}"/>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A07ECF9E-BEC9-4177-94DB-8271BA6A2676}"/>
    <cellStyle name="Comma 4 2 3 5 2 3" xfId="12689" xr:uid="{B9F77585-4406-4723-83C9-945CDD10935D}"/>
    <cellStyle name="Comma 4 2 3 5 3" xfId="5435" xr:uid="{00000000-0005-0000-0000-0000A8080000}"/>
    <cellStyle name="Comma 4 2 3 5 3 2" xfId="14761" xr:uid="{8E9A9799-198B-4262-A853-21FC57971F8C}"/>
    <cellStyle name="Comma 4 2 3 5 4" xfId="10544" xr:uid="{26C47D8D-02A6-4DDC-BE5C-D618D694F208}"/>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5DD53C81-DA90-42F9-B55D-6ECCEB54838B}"/>
    <cellStyle name="Comma 4 2 3 6 2 3" xfId="13102" xr:uid="{8FA743E7-FF4B-40E1-9F2D-AAE6B77BA8A8}"/>
    <cellStyle name="Comma 4 2 3 6 3" xfId="5848" xr:uid="{00000000-0005-0000-0000-0000AC080000}"/>
    <cellStyle name="Comma 4 2 3 6 3 2" xfId="15174" xr:uid="{692F3FB9-59C6-4F9A-A304-3F9BDF5BEE7C}"/>
    <cellStyle name="Comma 4 2 3 6 4" xfId="10957" xr:uid="{8C1450AC-95D5-4BD0-9C35-23F3A0DBE761}"/>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643BE0A0-1EC9-4355-9277-148CD73C57F4}"/>
    <cellStyle name="Comma 4 2 3 7 2 3" xfId="13515" xr:uid="{33FCEB3A-E697-400B-9D03-2383BA73969B}"/>
    <cellStyle name="Comma 4 2 3 7 3" xfId="6261" xr:uid="{00000000-0005-0000-0000-0000B0080000}"/>
    <cellStyle name="Comma 4 2 3 7 3 2" xfId="15587" xr:uid="{20C7EA7D-47D0-4E45-A23B-E1A8E95F9868}"/>
    <cellStyle name="Comma 4 2 3 7 4" xfId="11370" xr:uid="{C1D132B8-9406-4DD7-86FA-B583554A4901}"/>
    <cellStyle name="Comma 4 2 3 8" xfId="2390" xr:uid="{00000000-0005-0000-0000-0000B1080000}"/>
    <cellStyle name="Comma 4 2 3 8 2" xfId="6674" xr:uid="{00000000-0005-0000-0000-0000B2080000}"/>
    <cellStyle name="Comma 4 2 3 8 2 2" xfId="16000" xr:uid="{87043850-071B-44ED-9EEA-3BDA9AAEC771}"/>
    <cellStyle name="Comma 4 2 3 8 3" xfId="11783" xr:uid="{41EAFE6F-1B60-4538-BE1B-1F41293BDFB7}"/>
    <cellStyle name="Comma 4 2 3 9" xfId="2373" xr:uid="{00000000-0005-0000-0000-0000B3080000}"/>
    <cellStyle name="Comma 4 2 4" xfId="140" xr:uid="{00000000-0005-0000-0000-0000B4080000}"/>
    <cellStyle name="Comma 4 2 4 10" xfId="4612" xr:uid="{00000000-0005-0000-0000-0000B5080000}"/>
    <cellStyle name="Comma 4 2 4 10 2" xfId="13938" xr:uid="{04144A9B-143B-423D-9395-DE9869212B1C}"/>
    <cellStyle name="Comma 4 2 4 11" xfId="8858" xr:uid="{B6A00C95-D04C-44B2-B8AF-67540882256C}"/>
    <cellStyle name="Comma 4 2 4 11 2" xfId="18182" xr:uid="{CB532222-3448-4647-9509-1F25E94FC355}"/>
    <cellStyle name="Comma 4 2 4 12" xfId="9721" xr:uid="{7B70382C-5595-471C-B53E-068E5FF1B71E}"/>
    <cellStyle name="Comma 4 2 4 2" xfId="141" xr:uid="{00000000-0005-0000-0000-0000B6080000}"/>
    <cellStyle name="Comma 4 2 4 2 10" xfId="9065" xr:uid="{961AA06A-D943-447E-AADB-49B440E7E7CE}"/>
    <cellStyle name="Comma 4 2 4 2 10 2" xfId="18389" xr:uid="{FF3B669B-EBC6-410A-8B2B-DD5E81E49CCF}"/>
    <cellStyle name="Comma 4 2 4 2 11" xfId="9722" xr:uid="{5B5DCC89-8268-4385-90D5-5E9E6193726D}"/>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E6BC3B8D-0522-4F4B-B124-D5954EEFDD1E}"/>
    <cellStyle name="Comma 4 2 4 2 2 2 3" xfId="12281" xr:uid="{18E5D083-A508-48BC-A700-5D975A95B287}"/>
    <cellStyle name="Comma 4 2 4 2 2 3" xfId="5027" xr:uid="{00000000-0005-0000-0000-0000BA080000}"/>
    <cellStyle name="Comma 4 2 4 2 2 3 2" xfId="14353" xr:uid="{CEC31E37-8893-43CF-B8AA-90F87A2E43A6}"/>
    <cellStyle name="Comma 4 2 4 2 2 4" xfId="9490" xr:uid="{2FAEB1E6-7B41-437B-B2A9-4352AB4F4B98}"/>
    <cellStyle name="Comma 4 2 4 2 2 4 2" xfId="18805" xr:uid="{CCE539B3-6358-4E27-9C71-5D12649EA057}"/>
    <cellStyle name="Comma 4 2 4 2 2 5" xfId="10136" xr:uid="{2888E502-4BEA-46C2-A3F9-F52F04FA3365}"/>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69BED7AC-6ED1-42E2-A4CB-F224F0B3084E}"/>
    <cellStyle name="Comma 4 2 4 2 3 2 3" xfId="12694" xr:uid="{22ABBA85-450F-4742-837C-646B4999A370}"/>
    <cellStyle name="Comma 4 2 4 2 3 3" xfId="5440" xr:uid="{00000000-0005-0000-0000-0000BE080000}"/>
    <cellStyle name="Comma 4 2 4 2 3 3 2" xfId="14766" xr:uid="{3C513BD9-FFD4-4B83-8729-D8647A6C19E9}"/>
    <cellStyle name="Comma 4 2 4 2 3 4" xfId="10549" xr:uid="{377BB06B-2175-43DE-8F16-1BD0B4C172BC}"/>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EC65875B-F041-4DCF-A523-04E611A41303}"/>
    <cellStyle name="Comma 4 2 4 2 4 2 3" xfId="13107" xr:uid="{AE9FD3B4-0DC9-40DF-A7AB-21E7574490C2}"/>
    <cellStyle name="Comma 4 2 4 2 4 3" xfId="5853" xr:uid="{00000000-0005-0000-0000-0000C2080000}"/>
    <cellStyle name="Comma 4 2 4 2 4 3 2" xfId="15179" xr:uid="{B429D3B0-401C-43AF-91A7-C0D3FD9F8C27}"/>
    <cellStyle name="Comma 4 2 4 2 4 4" xfId="10962" xr:uid="{B4082FD3-24FA-41F8-964E-CA056EEB73E3}"/>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5DAB902B-1AF3-407E-937C-169597FEC770}"/>
    <cellStyle name="Comma 4 2 4 2 5 2 3" xfId="13520" xr:uid="{5FF32B73-C69A-4AAA-ADB2-D790D6A53B5A}"/>
    <cellStyle name="Comma 4 2 4 2 5 3" xfId="6266" xr:uid="{00000000-0005-0000-0000-0000C6080000}"/>
    <cellStyle name="Comma 4 2 4 2 5 3 2" xfId="15592" xr:uid="{576FC69C-BB07-4E4A-A519-A064DE8D9D56}"/>
    <cellStyle name="Comma 4 2 4 2 5 4" xfId="11375" xr:uid="{323194D5-84AD-475A-958F-42AE5295125C}"/>
    <cellStyle name="Comma 4 2 4 2 6" xfId="2395" xr:uid="{00000000-0005-0000-0000-0000C7080000}"/>
    <cellStyle name="Comma 4 2 4 2 6 2" xfId="6679" xr:uid="{00000000-0005-0000-0000-0000C8080000}"/>
    <cellStyle name="Comma 4 2 4 2 6 2 2" xfId="16005" xr:uid="{6CCF3261-7834-4B83-B822-C6B1C96ECBE5}"/>
    <cellStyle name="Comma 4 2 4 2 6 3" xfId="11788" xr:uid="{7005627A-D5C9-44E2-A734-C8FACBC1DCC4}"/>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A1D0B29F-CB88-4D15-89CB-34E7C48316DB}"/>
    <cellStyle name="Comma 4 2 4 2 8 3" xfId="12105" xr:uid="{5879C96F-8EE3-47D7-BE37-218C955A1947}"/>
    <cellStyle name="Comma 4 2 4 2 9" xfId="4613" xr:uid="{00000000-0005-0000-0000-0000CC080000}"/>
    <cellStyle name="Comma 4 2 4 2 9 2" xfId="13939" xr:uid="{7037F01B-78E4-4859-94CD-6FB684E4B749}"/>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8326A8C5-F261-4628-927F-79DB165DCAE3}"/>
    <cellStyle name="Comma 4 2 4 3 2 3" xfId="12280" xr:uid="{E3AD652F-8B40-4245-ACFA-3DEF534B77C5}"/>
    <cellStyle name="Comma 4 2 4 3 3" xfId="5026" xr:uid="{00000000-0005-0000-0000-0000D0080000}"/>
    <cellStyle name="Comma 4 2 4 3 3 2" xfId="14352" xr:uid="{97AA748F-6868-4B7F-B516-320294B95670}"/>
    <cellStyle name="Comma 4 2 4 3 4" xfId="9283" xr:uid="{7E46ED3C-A8F4-4512-93D9-5F41F1AC397C}"/>
    <cellStyle name="Comma 4 2 4 3 4 2" xfId="18598" xr:uid="{B06739D5-5712-4DA3-87C0-AA756ECB6223}"/>
    <cellStyle name="Comma 4 2 4 3 5" xfId="10135" xr:uid="{6EF826AA-234E-4222-BFE5-17344CDA9158}"/>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CAF65036-4A1B-4134-A13D-9B86CB650FAA}"/>
    <cellStyle name="Comma 4 2 4 4 2 3" xfId="12693" xr:uid="{63F81FA8-B915-47FA-9420-BB82E00126DD}"/>
    <cellStyle name="Comma 4 2 4 4 3" xfId="5439" xr:uid="{00000000-0005-0000-0000-0000D4080000}"/>
    <cellStyle name="Comma 4 2 4 4 3 2" xfId="14765" xr:uid="{670B8B5C-BADE-401F-8BC5-3F634552CD9C}"/>
    <cellStyle name="Comma 4 2 4 4 4" xfId="10548" xr:uid="{CA44F09C-146D-4F15-8CFB-F9C10A782638}"/>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929977BF-157A-49D8-BED0-7E2226B44DEB}"/>
    <cellStyle name="Comma 4 2 4 5 2 3" xfId="13106" xr:uid="{2B2A0772-E7A3-49FC-B4EF-03E03E443EF9}"/>
    <cellStyle name="Comma 4 2 4 5 3" xfId="5852" xr:uid="{00000000-0005-0000-0000-0000D8080000}"/>
    <cellStyle name="Comma 4 2 4 5 3 2" xfId="15178" xr:uid="{0BF7E575-A870-4705-AAF8-6886DABC8AB4}"/>
    <cellStyle name="Comma 4 2 4 5 4" xfId="10961" xr:uid="{77BCB1AB-350E-4A8B-A07C-43AC0D83AF87}"/>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66A1F5B1-CEFA-4093-AFBD-064832C7B811}"/>
    <cellStyle name="Comma 4 2 4 6 2 3" xfId="13519" xr:uid="{622DCE93-CBA8-4EC0-A145-82F34172AE66}"/>
    <cellStyle name="Comma 4 2 4 6 3" xfId="6265" xr:uid="{00000000-0005-0000-0000-0000DC080000}"/>
    <cellStyle name="Comma 4 2 4 6 3 2" xfId="15591" xr:uid="{44353A4C-68B0-42F9-AE65-D5DB31D3291A}"/>
    <cellStyle name="Comma 4 2 4 6 4" xfId="11374" xr:uid="{FD3AE398-50E7-4DAB-9148-8A99B41114AF}"/>
    <cellStyle name="Comma 4 2 4 7" xfId="2394" xr:uid="{00000000-0005-0000-0000-0000DD080000}"/>
    <cellStyle name="Comma 4 2 4 7 2" xfId="6678" xr:uid="{00000000-0005-0000-0000-0000DE080000}"/>
    <cellStyle name="Comma 4 2 4 7 2 2" xfId="16004" xr:uid="{4775E2BA-172A-46BB-AE5D-EA40E5D5F9BE}"/>
    <cellStyle name="Comma 4 2 4 7 3" xfId="11787" xr:uid="{B962CC15-EB0F-4039-B794-F339411AB489}"/>
    <cellStyle name="Comma 4 2 4 8" xfId="2369" xr:uid="{00000000-0005-0000-0000-0000DF080000}"/>
    <cellStyle name="Comma 4 2 4 9" xfId="2772" xr:uid="{00000000-0005-0000-0000-0000E0080000}"/>
    <cellStyle name="Comma 4 2 4 9 2" xfId="6995" xr:uid="{00000000-0005-0000-0000-0000E1080000}"/>
    <cellStyle name="Comma 4 2 4 9 2 2" xfId="16321" xr:uid="{197A9852-C165-4017-B8A4-98747D676FCF}"/>
    <cellStyle name="Comma 4 2 4 9 3" xfId="12104" xr:uid="{F61F94EF-ED70-44F3-B23A-266565166566}"/>
    <cellStyle name="Comma 4 2 5" xfId="142" xr:uid="{00000000-0005-0000-0000-0000E2080000}"/>
    <cellStyle name="Comma 4 2 5 10" xfId="8974" xr:uid="{86B0C89A-8A2D-4755-B15D-84E412E1D380}"/>
    <cellStyle name="Comma 4 2 5 10 2" xfId="18298" xr:uid="{98FF947D-83FE-497D-9468-49C5BD33153B}"/>
    <cellStyle name="Comma 4 2 5 11" xfId="9723" xr:uid="{062F4024-7808-431A-9520-DA83E11FAE53}"/>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FD6DAF4B-5D75-4F5E-8156-667B5DFC16BA}"/>
    <cellStyle name="Comma 4 2 5 2 2 3" xfId="12282" xr:uid="{9BA8FDC2-D1AE-425F-9B8D-64B134AB525F}"/>
    <cellStyle name="Comma 4 2 5 2 3" xfId="5028" xr:uid="{00000000-0005-0000-0000-0000E6080000}"/>
    <cellStyle name="Comma 4 2 5 2 3 2" xfId="14354" xr:uid="{34FF6C2D-DC98-4CDA-B49F-34DD127C02B4}"/>
    <cellStyle name="Comma 4 2 5 2 4" xfId="9399" xr:uid="{1B388BC7-1FC6-4DC3-B345-755F61B57864}"/>
    <cellStyle name="Comma 4 2 5 2 4 2" xfId="18714" xr:uid="{5366744D-0488-4877-BDDF-55F34E71FAFD}"/>
    <cellStyle name="Comma 4 2 5 2 5" xfId="10137" xr:uid="{E23D96C4-16B5-4272-BAF7-11C4F72A954B}"/>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322E2921-06E5-449D-8AC4-3DCDB0091B0D}"/>
    <cellStyle name="Comma 4 2 5 3 2 3" xfId="12695" xr:uid="{275A0209-D36E-4731-A92E-6490AFC0621C}"/>
    <cellStyle name="Comma 4 2 5 3 3" xfId="5441" xr:uid="{00000000-0005-0000-0000-0000EA080000}"/>
    <cellStyle name="Comma 4 2 5 3 3 2" xfId="14767" xr:uid="{AD1F51DF-1FDF-496D-80FC-AA3C838D5C44}"/>
    <cellStyle name="Comma 4 2 5 3 4" xfId="10550" xr:uid="{D5F39C0D-8069-4748-A2B6-319A0AD11BE3}"/>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1480E2A8-8505-49D1-8A56-47EC69149307}"/>
    <cellStyle name="Comma 4 2 5 4 2 3" xfId="13108" xr:uid="{26A22850-EC25-4F13-8139-3CDADB0C8A14}"/>
    <cellStyle name="Comma 4 2 5 4 3" xfId="5854" xr:uid="{00000000-0005-0000-0000-0000EE080000}"/>
    <cellStyle name="Comma 4 2 5 4 3 2" xfId="15180" xr:uid="{DBD305B1-CA63-4E30-96E2-8DC3259320A7}"/>
    <cellStyle name="Comma 4 2 5 4 4" xfId="10963" xr:uid="{1C86F438-9306-4B89-9751-9BE356316EF7}"/>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CAAC8786-3823-4433-AAFE-F22C32876839}"/>
    <cellStyle name="Comma 4 2 5 5 2 3" xfId="13521" xr:uid="{1D70E2C4-170C-494A-8404-FB08777C2ACA}"/>
    <cellStyle name="Comma 4 2 5 5 3" xfId="6267" xr:uid="{00000000-0005-0000-0000-0000F2080000}"/>
    <cellStyle name="Comma 4 2 5 5 3 2" xfId="15593" xr:uid="{3CF456A2-28DC-46DC-8E40-C658B365398B}"/>
    <cellStyle name="Comma 4 2 5 5 4" xfId="11376" xr:uid="{FCC7A448-8FD7-46FB-9A3B-E0308D6C8692}"/>
    <cellStyle name="Comma 4 2 5 6" xfId="2396" xr:uid="{00000000-0005-0000-0000-0000F3080000}"/>
    <cellStyle name="Comma 4 2 5 6 2" xfId="6680" xr:uid="{00000000-0005-0000-0000-0000F4080000}"/>
    <cellStyle name="Comma 4 2 5 6 2 2" xfId="16006" xr:uid="{FDB40866-D2E8-4072-A168-7CA15473BC78}"/>
    <cellStyle name="Comma 4 2 5 6 3" xfId="11789" xr:uid="{ED550867-0218-40AF-9993-5B2A57B1D525}"/>
    <cellStyle name="Comma 4 2 5 7" xfId="2367" xr:uid="{00000000-0005-0000-0000-0000F5080000}"/>
    <cellStyle name="Comma 4 2 5 8" xfId="2774" xr:uid="{00000000-0005-0000-0000-0000F6080000}"/>
    <cellStyle name="Comma 4 2 5 8 2" xfId="6997" xr:uid="{00000000-0005-0000-0000-0000F7080000}"/>
    <cellStyle name="Comma 4 2 5 8 2 2" xfId="16323" xr:uid="{3B8C0374-F64F-4D4F-8057-29473211A349}"/>
    <cellStyle name="Comma 4 2 5 8 3" xfId="12106" xr:uid="{60D391B4-AF7D-4160-8B8D-C24C0857D15E}"/>
    <cellStyle name="Comma 4 2 5 9" xfId="4614" xr:uid="{00000000-0005-0000-0000-0000F8080000}"/>
    <cellStyle name="Comma 4 2 5 9 2" xfId="13940" xr:uid="{F36979D3-4B83-490E-B94A-BDD76674D7FF}"/>
    <cellStyle name="Comma 4 2 6" xfId="143" xr:uid="{00000000-0005-0000-0000-0000F9080000}"/>
    <cellStyle name="Comma 4 2 6 10" xfId="9177" xr:uid="{A20A3B72-7630-464F-8E57-DA2B9D6E44FB}"/>
    <cellStyle name="Comma 4 2 6 10 2" xfId="18495" xr:uid="{23CDBE12-8F5B-41D2-99E4-F55DEAB684A9}"/>
    <cellStyle name="Comma 4 2 6 11" xfId="9724" xr:uid="{E4030D57-5A7F-4C4A-AE32-E0F053913526}"/>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90210451-DEC7-47F1-9ED9-99C46E9A713D}"/>
    <cellStyle name="Comma 4 2 6 2 2 3" xfId="12283" xr:uid="{C856C7CA-F8AF-42F3-BB9D-D82DDBCEE591}"/>
    <cellStyle name="Comma 4 2 6 2 3" xfId="5029" xr:uid="{00000000-0005-0000-0000-0000FD080000}"/>
    <cellStyle name="Comma 4 2 6 2 3 2" xfId="14355" xr:uid="{94D502C9-7E52-4F28-ABC3-FE4737E3DBEE}"/>
    <cellStyle name="Comma 4 2 6 2 4" xfId="9594" xr:uid="{CCB8D3FE-19FC-4F7F-9966-44FD23A1A32A}"/>
    <cellStyle name="Comma 4 2 6 2 4 2" xfId="18898" xr:uid="{6D0FA4A2-5383-45D3-A44B-32C21FC81D67}"/>
    <cellStyle name="Comma 4 2 6 2 5" xfId="10138" xr:uid="{41C60547-0E05-4EA6-B064-70949E83D85A}"/>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7C3DA8A4-E802-4E4E-9D58-A60625F97357}"/>
    <cellStyle name="Comma 4 2 6 3 2 3" xfId="12696" xr:uid="{360906DA-AC28-4523-9446-09E0D782E61A}"/>
    <cellStyle name="Comma 4 2 6 3 3" xfId="5442" xr:uid="{00000000-0005-0000-0000-000001090000}"/>
    <cellStyle name="Comma 4 2 6 3 3 2" xfId="14768" xr:uid="{D6194B94-DEE2-4AB5-A149-8F7C373F5DF2}"/>
    <cellStyle name="Comma 4 2 6 3 4" xfId="10551" xr:uid="{98A94D05-67B0-46B9-BD96-DF9954F29517}"/>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D1BD424D-17AC-4B15-A23C-0EF4DD95FE88}"/>
    <cellStyle name="Comma 4 2 6 4 2 3" xfId="13109" xr:uid="{4E8172C9-25C9-4B5C-B052-E1DA2D3BC392}"/>
    <cellStyle name="Comma 4 2 6 4 3" xfId="5855" xr:uid="{00000000-0005-0000-0000-000005090000}"/>
    <cellStyle name="Comma 4 2 6 4 3 2" xfId="15181" xr:uid="{A2D31067-2AEF-4D1C-8DC8-A85C08260B88}"/>
    <cellStyle name="Comma 4 2 6 4 4" xfId="10964" xr:uid="{854A13AA-12EF-439F-A3FF-16C8BF71AACF}"/>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EB978541-6BEF-4E10-98B2-466B8A4B2BB1}"/>
    <cellStyle name="Comma 4 2 6 5 2 3" xfId="13522" xr:uid="{FECA5CBB-F6BC-4C08-8F5E-1F63654ABF5F}"/>
    <cellStyle name="Comma 4 2 6 5 3" xfId="6268" xr:uid="{00000000-0005-0000-0000-000009090000}"/>
    <cellStyle name="Comma 4 2 6 5 3 2" xfId="15594" xr:uid="{D1F6C83B-DBFF-453D-AFC2-5C834CC06781}"/>
    <cellStyle name="Comma 4 2 6 5 4" xfId="11377" xr:uid="{F4DB1351-55B4-4CF1-89F5-D96AB043114A}"/>
    <cellStyle name="Comma 4 2 6 6" xfId="2397" xr:uid="{00000000-0005-0000-0000-00000A090000}"/>
    <cellStyle name="Comma 4 2 6 6 2" xfId="6681" xr:uid="{00000000-0005-0000-0000-00000B090000}"/>
    <cellStyle name="Comma 4 2 6 6 2 2" xfId="16007" xr:uid="{61EA24B2-FB03-483B-A9EC-B566DAB871F8}"/>
    <cellStyle name="Comma 4 2 6 6 3" xfId="11790" xr:uid="{20BBFD58-9E10-48D3-BE86-4B29A051C164}"/>
    <cellStyle name="Comma 4 2 6 7" xfId="2366" xr:uid="{00000000-0005-0000-0000-00000C090000}"/>
    <cellStyle name="Comma 4 2 6 8" xfId="2775" xr:uid="{00000000-0005-0000-0000-00000D090000}"/>
    <cellStyle name="Comma 4 2 6 8 2" xfId="6998" xr:uid="{00000000-0005-0000-0000-00000E090000}"/>
    <cellStyle name="Comma 4 2 6 8 2 2" xfId="16324" xr:uid="{5C8DD0FD-9A26-43F8-A6C7-94FC974ADF22}"/>
    <cellStyle name="Comma 4 2 6 8 3" xfId="12107" xr:uid="{0EBCB379-3544-4145-A8EB-9CAC6AC00725}"/>
    <cellStyle name="Comma 4 2 6 9" xfId="4615" xr:uid="{00000000-0005-0000-0000-00000F090000}"/>
    <cellStyle name="Comma 4 2 6 9 2" xfId="13941" xr:uid="{544DC7FD-BE52-48EA-947E-1E1C44E7CE6D}"/>
    <cellStyle name="Comma 4 2 7" xfId="9190" xr:uid="{C8B7F6BD-E2DD-41C7-A6AF-A5C7B900A7ED}"/>
    <cellStyle name="Comma 4 2 8" xfId="8755" xr:uid="{40286204-C766-4116-8542-387551AD6364}"/>
    <cellStyle name="Comma 4 2 8 2" xfId="18079" xr:uid="{0E1331BF-9416-4A03-9743-518A87C4B7A5}"/>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AAC0A87E-9B8C-486C-8521-95B8E569EF24}"/>
    <cellStyle name="Comma 4 3 2 10 3" xfId="12108" xr:uid="{8E840D3F-C60D-4A86-B910-E2AF1B5D4D32}"/>
    <cellStyle name="Comma 4 3 2 11" xfId="4616" xr:uid="{00000000-0005-0000-0000-000014090000}"/>
    <cellStyle name="Comma 4 3 2 11 2" xfId="13942" xr:uid="{6937BE87-9713-4AEC-9816-0E365AAFBBAF}"/>
    <cellStyle name="Comma 4 3 2 12" xfId="8807" xr:uid="{5C5EF314-D0DB-425B-AE7D-D52FEEE90EC1}"/>
    <cellStyle name="Comma 4 3 2 12 2" xfId="18131" xr:uid="{E18BC247-A280-4F26-8638-1BCC75F17B77}"/>
    <cellStyle name="Comma 4 3 2 13" xfId="9725" xr:uid="{6D17F512-460B-4573-9FBA-ABD970EE321C}"/>
    <cellStyle name="Comma 4 3 2 2" xfId="146" xr:uid="{00000000-0005-0000-0000-000015090000}"/>
    <cellStyle name="Comma 4 3 2 2 10" xfId="4617" xr:uid="{00000000-0005-0000-0000-000016090000}"/>
    <cellStyle name="Comma 4 3 2 2 10 2" xfId="13943" xr:uid="{A1F7435D-114F-4330-A19D-5A3EEF2D4C7C}"/>
    <cellStyle name="Comma 4 3 2 2 11" xfId="8910" xr:uid="{15019DD0-71A0-438D-B796-68DE42B22692}"/>
    <cellStyle name="Comma 4 3 2 2 11 2" xfId="18234" xr:uid="{509D006E-BA21-46B8-9192-CBCF8A86E47A}"/>
    <cellStyle name="Comma 4 3 2 2 12" xfId="9726" xr:uid="{BFC2198D-C824-4FE1-8AD6-2766E2BD9130}"/>
    <cellStyle name="Comma 4 3 2 2 2" xfId="147" xr:uid="{00000000-0005-0000-0000-000017090000}"/>
    <cellStyle name="Comma 4 3 2 2 2 10" xfId="9117" xr:uid="{1409F531-DBF2-41E0-9C74-F9317358BA15}"/>
    <cellStyle name="Comma 4 3 2 2 2 10 2" xfId="18441" xr:uid="{3868721A-5D4B-46E4-8CA2-38CB823665F9}"/>
    <cellStyle name="Comma 4 3 2 2 2 11" xfId="9727" xr:uid="{A65D79C6-6B68-4428-86C5-D0425F7C20B7}"/>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EA6E7183-D15D-4467-B8F6-0E229EDA5689}"/>
    <cellStyle name="Comma 4 3 2 2 2 2 2 3" xfId="12286" xr:uid="{BE141CFF-BC8F-4616-8EBB-5CD4719E532E}"/>
    <cellStyle name="Comma 4 3 2 2 2 2 3" xfId="5032" xr:uid="{00000000-0005-0000-0000-00001B090000}"/>
    <cellStyle name="Comma 4 3 2 2 2 2 3 2" xfId="14358" xr:uid="{CB8D93FF-3AD7-4BB6-8F5D-45397952A923}"/>
    <cellStyle name="Comma 4 3 2 2 2 2 4" xfId="9542" xr:uid="{26CD77CC-F017-4839-8245-BBF245D45E53}"/>
    <cellStyle name="Comma 4 3 2 2 2 2 4 2" xfId="18857" xr:uid="{84581ADB-F68C-4678-AEEC-097102D74478}"/>
    <cellStyle name="Comma 4 3 2 2 2 2 5" xfId="10141" xr:uid="{4BA5001F-07EE-4AC8-8A0D-7CE8B00AABAC}"/>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5110D33C-FAF4-42C8-9255-F2D02A80F726}"/>
    <cellStyle name="Comma 4 3 2 2 2 3 2 3" xfId="12699" xr:uid="{39954487-49B4-4D5A-98FA-FB6752EAB6F2}"/>
    <cellStyle name="Comma 4 3 2 2 2 3 3" xfId="5445" xr:uid="{00000000-0005-0000-0000-00001F090000}"/>
    <cellStyle name="Comma 4 3 2 2 2 3 3 2" xfId="14771" xr:uid="{0DF3CEE9-9AFB-4A63-9448-83B065BB41E4}"/>
    <cellStyle name="Comma 4 3 2 2 2 3 4" xfId="10554" xr:uid="{1A9E779E-FA0D-4005-9954-61640FBE9736}"/>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E51CF54E-DC4C-44AD-87EE-88278DF1612C}"/>
    <cellStyle name="Comma 4 3 2 2 2 4 2 3" xfId="13112" xr:uid="{E18B759D-0C05-4E71-B120-B4AF1B4D8C7D}"/>
    <cellStyle name="Comma 4 3 2 2 2 4 3" xfId="5858" xr:uid="{00000000-0005-0000-0000-000023090000}"/>
    <cellStyle name="Comma 4 3 2 2 2 4 3 2" xfId="15184" xr:uid="{848ACD64-31F7-469A-8E78-B219E943C6E5}"/>
    <cellStyle name="Comma 4 3 2 2 2 4 4" xfId="10967" xr:uid="{F683B0A8-E1AA-4C6F-BB18-738C8881B8DB}"/>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822ED115-7717-4C70-8F28-529015331763}"/>
    <cellStyle name="Comma 4 3 2 2 2 5 2 3" xfId="13525" xr:uid="{0D5E67D5-D719-46E3-B16B-8E2B7C080D82}"/>
    <cellStyle name="Comma 4 3 2 2 2 5 3" xfId="6271" xr:uid="{00000000-0005-0000-0000-000027090000}"/>
    <cellStyle name="Comma 4 3 2 2 2 5 3 2" xfId="15597" xr:uid="{03C06C33-E97B-4A6D-8D64-1A9C7111D34F}"/>
    <cellStyle name="Comma 4 3 2 2 2 5 4" xfId="11380" xr:uid="{11B508FA-A0BF-4773-A3DA-0656B0D99CF5}"/>
    <cellStyle name="Comma 4 3 2 2 2 6" xfId="2400" xr:uid="{00000000-0005-0000-0000-000028090000}"/>
    <cellStyle name="Comma 4 3 2 2 2 6 2" xfId="6684" xr:uid="{00000000-0005-0000-0000-000029090000}"/>
    <cellStyle name="Comma 4 3 2 2 2 6 2 2" xfId="16010" xr:uid="{1EE33A89-2AFD-4088-970F-8B5F5D59E383}"/>
    <cellStyle name="Comma 4 3 2 2 2 6 3" xfId="11793" xr:uid="{A105BB5D-1623-42EB-AB79-3D32453E0E76}"/>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AB561ACD-CAF9-45FF-96DB-246C185CC6DF}"/>
    <cellStyle name="Comma 4 3 2 2 2 8 3" xfId="12110" xr:uid="{C5D0E06D-ABF6-445F-A97F-EB55AA78A87C}"/>
    <cellStyle name="Comma 4 3 2 2 2 9" xfId="4618" xr:uid="{00000000-0005-0000-0000-00002D090000}"/>
    <cellStyle name="Comma 4 3 2 2 2 9 2" xfId="13944" xr:uid="{950AEF66-2B30-472F-8C37-CFECC2BFBBBB}"/>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EDD817EC-EDE9-4EFB-8249-FE1C7469C1CA}"/>
    <cellStyle name="Comma 4 3 2 2 3 2 3" xfId="12285" xr:uid="{70D88B7B-A052-45DE-8350-585C30A94044}"/>
    <cellStyle name="Comma 4 3 2 2 3 3" xfId="5031" xr:uid="{00000000-0005-0000-0000-000031090000}"/>
    <cellStyle name="Comma 4 3 2 2 3 3 2" xfId="14357" xr:uid="{07E0797A-89ED-4558-85F9-A5C8673FDD25}"/>
    <cellStyle name="Comma 4 3 2 2 3 4" xfId="9335" xr:uid="{BACD532B-C811-4076-B107-03E74D1B7113}"/>
    <cellStyle name="Comma 4 3 2 2 3 4 2" xfId="18650" xr:uid="{E8B22C5E-1544-4FD7-AE1D-CCDF146BD39C}"/>
    <cellStyle name="Comma 4 3 2 2 3 5" xfId="10140" xr:uid="{7310BDA9-30F0-4AAE-A86D-069FD9ADC080}"/>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29339236-9B8E-45E7-8170-522446B68BFC}"/>
    <cellStyle name="Comma 4 3 2 2 4 2 3" xfId="12698" xr:uid="{F73192AB-B495-48C1-85E2-82BAFCF8D7B5}"/>
    <cellStyle name="Comma 4 3 2 2 4 3" xfId="5444" xr:uid="{00000000-0005-0000-0000-000035090000}"/>
    <cellStyle name="Comma 4 3 2 2 4 3 2" xfId="14770" xr:uid="{C4369B0F-C9C2-4A74-86BC-BF9ED7ECC0C6}"/>
    <cellStyle name="Comma 4 3 2 2 4 4" xfId="10553" xr:uid="{72A22212-8513-4307-B425-1444626E5020}"/>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24958FB4-CB7B-4F7C-A186-568D35B05164}"/>
    <cellStyle name="Comma 4 3 2 2 5 2 3" xfId="13111" xr:uid="{0AC3DD99-DD85-4649-BD10-849EA556CA9E}"/>
    <cellStyle name="Comma 4 3 2 2 5 3" xfId="5857" xr:uid="{00000000-0005-0000-0000-000039090000}"/>
    <cellStyle name="Comma 4 3 2 2 5 3 2" xfId="15183" xr:uid="{F06F50F9-9C4B-45E6-8B70-A203A6169EE1}"/>
    <cellStyle name="Comma 4 3 2 2 5 4" xfId="10966" xr:uid="{756BC313-6F92-48AA-ACB4-8D8B5E86CB62}"/>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DD7A9A00-059D-4BEB-B10E-58B8DFB841C4}"/>
    <cellStyle name="Comma 4 3 2 2 6 2 3" xfId="13524" xr:uid="{C09D0B19-7900-4299-AA7D-BF3DD2EEE173}"/>
    <cellStyle name="Comma 4 3 2 2 6 3" xfId="6270" xr:uid="{00000000-0005-0000-0000-00003D090000}"/>
    <cellStyle name="Comma 4 3 2 2 6 3 2" xfId="15596" xr:uid="{21762F75-A553-4DED-AE44-1E518F5D3CA0}"/>
    <cellStyle name="Comma 4 3 2 2 6 4" xfId="11379" xr:uid="{ED6DB790-2D86-4CBF-8B86-B8109DE21CD1}"/>
    <cellStyle name="Comma 4 3 2 2 7" xfId="2399" xr:uid="{00000000-0005-0000-0000-00003E090000}"/>
    <cellStyle name="Comma 4 3 2 2 7 2" xfId="6683" xr:uid="{00000000-0005-0000-0000-00003F090000}"/>
    <cellStyle name="Comma 4 3 2 2 7 2 2" xfId="16009" xr:uid="{7C8D8161-3999-4FFC-8C1A-33A58ACF9E03}"/>
    <cellStyle name="Comma 4 3 2 2 7 3" xfId="11792" xr:uid="{00877209-7AA9-4196-94C7-FE1DFB212AB8}"/>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FB55E3DA-E58B-409F-A723-B6A3FF529C03}"/>
    <cellStyle name="Comma 4 3 2 2 9 3" xfId="12109" xr:uid="{F5A9EF7B-3078-4F13-8910-B18454EBCC9F}"/>
    <cellStyle name="Comma 4 3 2 3" xfId="148" xr:uid="{00000000-0005-0000-0000-000043090000}"/>
    <cellStyle name="Comma 4 3 2 3 10" xfId="9014" xr:uid="{46568903-2C47-4BC3-8E78-5A47F62B319C}"/>
    <cellStyle name="Comma 4 3 2 3 10 2" xfId="18338" xr:uid="{6AD715F2-68CA-418D-9218-AFC63C071874}"/>
    <cellStyle name="Comma 4 3 2 3 11" xfId="9728" xr:uid="{7C3B2027-1F15-4FA2-9294-62432B2D80C8}"/>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9A958AAA-0048-4F65-84E4-7011EC0BD12D}"/>
    <cellStyle name="Comma 4 3 2 3 2 2 3" xfId="12287" xr:uid="{37E1073D-CA2C-4975-AD73-9B2E966BAE62}"/>
    <cellStyle name="Comma 4 3 2 3 2 3" xfId="5033" xr:uid="{00000000-0005-0000-0000-000047090000}"/>
    <cellStyle name="Comma 4 3 2 3 2 3 2" xfId="14359" xr:uid="{FF576ABF-0D32-4F0C-B82E-A2F171CEF19F}"/>
    <cellStyle name="Comma 4 3 2 3 2 4" xfId="9439" xr:uid="{2FD116B5-6902-4630-AFC5-CC8B06C5F457}"/>
    <cellStyle name="Comma 4 3 2 3 2 4 2" xfId="18754" xr:uid="{220299AF-EC01-4DD0-BD11-DD8B24A8F174}"/>
    <cellStyle name="Comma 4 3 2 3 2 5" xfId="10142" xr:uid="{61054890-8FF1-4EB9-BCF5-AE51FB491D4E}"/>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84E27FD7-55CD-476D-8190-0770AA08F450}"/>
    <cellStyle name="Comma 4 3 2 3 3 2 3" xfId="12700" xr:uid="{5D0BAB91-61F3-4A97-9B21-F6AF692CA9A0}"/>
    <cellStyle name="Comma 4 3 2 3 3 3" xfId="5446" xr:uid="{00000000-0005-0000-0000-00004B090000}"/>
    <cellStyle name="Comma 4 3 2 3 3 3 2" xfId="14772" xr:uid="{509E781C-B33B-4F52-B0A1-B13CED38B211}"/>
    <cellStyle name="Comma 4 3 2 3 3 4" xfId="10555" xr:uid="{C0B34D7D-93C4-44AB-AE71-60BEDFDE90B0}"/>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AA38BA27-3449-4231-9093-16ED6662CB43}"/>
    <cellStyle name="Comma 4 3 2 3 4 2 3" xfId="13113" xr:uid="{69E72027-F940-4351-9ED2-8806E3CCAFAE}"/>
    <cellStyle name="Comma 4 3 2 3 4 3" xfId="5859" xr:uid="{00000000-0005-0000-0000-00004F090000}"/>
    <cellStyle name="Comma 4 3 2 3 4 3 2" xfId="15185" xr:uid="{8ECCE152-0C45-4648-8F54-FC9CFFF216B7}"/>
    <cellStyle name="Comma 4 3 2 3 4 4" xfId="10968" xr:uid="{24415B70-14FA-4965-9697-6D557B6D546A}"/>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7C20431E-1AE6-4E3D-995A-F8B2829B4AE4}"/>
    <cellStyle name="Comma 4 3 2 3 5 2 3" xfId="13526" xr:uid="{D8ECE6D4-98A2-4386-BA76-0A6CD1318D65}"/>
    <cellStyle name="Comma 4 3 2 3 5 3" xfId="6272" xr:uid="{00000000-0005-0000-0000-000053090000}"/>
    <cellStyle name="Comma 4 3 2 3 5 3 2" xfId="15598" xr:uid="{80B54312-0DD5-45E4-9915-E1AFB0691F59}"/>
    <cellStyle name="Comma 4 3 2 3 5 4" xfId="11381" xr:uid="{994D6435-5010-4327-B491-3B4F9E30DC42}"/>
    <cellStyle name="Comma 4 3 2 3 6" xfId="2401" xr:uid="{00000000-0005-0000-0000-000054090000}"/>
    <cellStyle name="Comma 4 3 2 3 6 2" xfId="6685" xr:uid="{00000000-0005-0000-0000-000055090000}"/>
    <cellStyle name="Comma 4 3 2 3 6 2 2" xfId="16011" xr:uid="{26E5874F-8C50-433C-A922-6681F790966A}"/>
    <cellStyle name="Comma 4 3 2 3 6 3" xfId="11794" xr:uid="{B114DD4F-76A8-45D9-A838-D4190875A581}"/>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4E4B839D-0957-42DB-B5FA-5D682D0C0A09}"/>
    <cellStyle name="Comma 4 3 2 3 8 3" xfId="12111" xr:uid="{CE9F642F-04A5-43CC-9731-7D7493B68332}"/>
    <cellStyle name="Comma 4 3 2 3 9" xfId="4619" xr:uid="{00000000-0005-0000-0000-000059090000}"/>
    <cellStyle name="Comma 4 3 2 3 9 2" xfId="13945" xr:uid="{59F5F369-5A7D-42EA-B6FA-C274A9FA35A1}"/>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AB25A92B-41C6-4ED9-B1A3-C96F25B8C633}"/>
    <cellStyle name="Comma 4 3 2 4 2 3" xfId="12284" xr:uid="{157F665C-21D0-4A7D-8247-0379B82B9042}"/>
    <cellStyle name="Comma 4 3 2 4 3" xfId="5030" xr:uid="{00000000-0005-0000-0000-00005D090000}"/>
    <cellStyle name="Comma 4 3 2 4 3 2" xfId="14356" xr:uid="{78AED1FD-8DDE-46F1-BCEE-0E7964A6DCC9}"/>
    <cellStyle name="Comma 4 3 2 4 4" xfId="9232" xr:uid="{8193451B-D8F0-40BD-91ED-34E7041117F6}"/>
    <cellStyle name="Comma 4 3 2 4 4 2" xfId="18547" xr:uid="{53F11A18-5AFA-4AC9-9EE3-5B406C49B200}"/>
    <cellStyle name="Comma 4 3 2 4 5" xfId="10139" xr:uid="{786B4281-E644-4BFA-8C41-8F4F90CAEE05}"/>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99F3750D-AC31-432A-98AC-1AAA6C71F65F}"/>
    <cellStyle name="Comma 4 3 2 5 2 3" xfId="12697" xr:uid="{46DCB97C-446B-47D9-B515-1C6BEE8A253C}"/>
    <cellStyle name="Comma 4 3 2 5 3" xfId="5443" xr:uid="{00000000-0005-0000-0000-000061090000}"/>
    <cellStyle name="Comma 4 3 2 5 3 2" xfId="14769" xr:uid="{21249AEA-7C55-4DA9-B47A-AA6BC444960C}"/>
    <cellStyle name="Comma 4 3 2 5 4" xfId="10552" xr:uid="{00C9FB52-CB7A-4E60-A491-7BD681D447C1}"/>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328F7595-2E42-4FD8-8692-1D34C2427E71}"/>
    <cellStyle name="Comma 4 3 2 6 2 3" xfId="13110" xr:uid="{5748C556-49A6-4550-A5BD-5D4EC2E73F74}"/>
    <cellStyle name="Comma 4 3 2 6 3" xfId="5856" xr:uid="{00000000-0005-0000-0000-000065090000}"/>
    <cellStyle name="Comma 4 3 2 6 3 2" xfId="15182" xr:uid="{A4AB3C7A-BB44-4BC4-97F7-51369213A65D}"/>
    <cellStyle name="Comma 4 3 2 6 4" xfId="10965" xr:uid="{598F7FA4-4C10-4ADB-8D18-5975D4E22D92}"/>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3306FAE6-A8BE-4922-9211-DE0A94A5C849}"/>
    <cellStyle name="Comma 4 3 2 7 2 3" xfId="13523" xr:uid="{C7279ACF-CFF5-4A16-831F-B8BD76097DCA}"/>
    <cellStyle name="Comma 4 3 2 7 3" xfId="6269" xr:uid="{00000000-0005-0000-0000-000069090000}"/>
    <cellStyle name="Comma 4 3 2 7 3 2" xfId="15595" xr:uid="{FA888B96-66A9-45A3-A13D-D1F3CA3D7DF5}"/>
    <cellStyle name="Comma 4 3 2 7 4" xfId="11378" xr:uid="{3D6F7DF5-02E8-4F2A-B544-88140C8124BF}"/>
    <cellStyle name="Comma 4 3 2 8" xfId="2398" xr:uid="{00000000-0005-0000-0000-00006A090000}"/>
    <cellStyle name="Comma 4 3 2 8 2" xfId="6682" xr:uid="{00000000-0005-0000-0000-00006B090000}"/>
    <cellStyle name="Comma 4 3 2 8 2 2" xfId="16008" xr:uid="{82744295-7FB8-4518-A071-ECAD6EA4526E}"/>
    <cellStyle name="Comma 4 3 2 8 3" xfId="11791" xr:uid="{BBA8536C-70A4-409B-AC03-25CC1FF56E99}"/>
    <cellStyle name="Comma 4 3 2 9" xfId="2365" xr:uid="{00000000-0005-0000-0000-00006C090000}"/>
    <cellStyle name="Comma 4 3 3" xfId="149" xr:uid="{00000000-0005-0000-0000-00006D090000}"/>
    <cellStyle name="Comma 4 3 3 10" xfId="4620" xr:uid="{00000000-0005-0000-0000-00006E090000}"/>
    <cellStyle name="Comma 4 3 3 10 2" xfId="13946" xr:uid="{D0F249BE-054B-4C94-B094-2B1834D65E8C}"/>
    <cellStyle name="Comma 4 3 3 11" xfId="8881" xr:uid="{ACA3BC7C-CED7-49C2-9DC3-E2A3989962E9}"/>
    <cellStyle name="Comma 4 3 3 11 2" xfId="18205" xr:uid="{EA53BF3F-16BA-42C4-89E0-5C28A6EBF99A}"/>
    <cellStyle name="Comma 4 3 3 12" xfId="9729" xr:uid="{5DABDB18-E5B7-4086-937E-145B79F3428A}"/>
    <cellStyle name="Comma 4 3 3 2" xfId="150" xr:uid="{00000000-0005-0000-0000-00006F090000}"/>
    <cellStyle name="Comma 4 3 3 2 10" xfId="9088" xr:uid="{D40CFC42-DEA3-4A4C-8532-2B6CFC29229D}"/>
    <cellStyle name="Comma 4 3 3 2 10 2" xfId="18412" xr:uid="{68897AAB-01AD-4CBB-92DA-C2A1C960E92A}"/>
    <cellStyle name="Comma 4 3 3 2 11" xfId="9730" xr:uid="{C9CA817C-949B-4EC9-AA65-6980EFBC0418}"/>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B4F72C77-FE35-40EE-8D94-F3214CB47035}"/>
    <cellStyle name="Comma 4 3 3 2 2 2 3" xfId="12289" xr:uid="{9C56874C-5757-4495-A4E8-C26D403A67A1}"/>
    <cellStyle name="Comma 4 3 3 2 2 3" xfId="5035" xr:uid="{00000000-0005-0000-0000-000073090000}"/>
    <cellStyle name="Comma 4 3 3 2 2 3 2" xfId="14361" xr:uid="{21E855F6-10FD-4A81-B0D8-B7E5235BFC69}"/>
    <cellStyle name="Comma 4 3 3 2 2 4" xfId="9513" xr:uid="{986E0DAD-8ABC-4DAC-9C56-EF87B6B3B829}"/>
    <cellStyle name="Comma 4 3 3 2 2 4 2" xfId="18828" xr:uid="{902D5F24-E78C-4801-A1BA-1252420950F5}"/>
    <cellStyle name="Comma 4 3 3 2 2 5" xfId="10144" xr:uid="{A40A2BEE-BDB6-44C3-A0EC-A4538B7928E8}"/>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336161AB-A54A-47D2-840C-3CF1E95CE258}"/>
    <cellStyle name="Comma 4 3 3 2 3 2 3" xfId="12702" xr:uid="{400465B1-480E-4878-9312-51B8B850508B}"/>
    <cellStyle name="Comma 4 3 3 2 3 3" xfId="5448" xr:uid="{00000000-0005-0000-0000-000077090000}"/>
    <cellStyle name="Comma 4 3 3 2 3 3 2" xfId="14774" xr:uid="{7549AC7C-9FF1-4CBE-9769-F724E6620B7D}"/>
    <cellStyle name="Comma 4 3 3 2 3 4" xfId="10557" xr:uid="{3CAF892B-E710-4F30-9B97-0D73D2BC0BA1}"/>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3B7936A1-9021-4BAE-A0DC-20788D4AD3EF}"/>
    <cellStyle name="Comma 4 3 3 2 4 2 3" xfId="13115" xr:uid="{B08FF716-6C74-40AE-85C3-B433F197BCC1}"/>
    <cellStyle name="Comma 4 3 3 2 4 3" xfId="5861" xr:uid="{00000000-0005-0000-0000-00007B090000}"/>
    <cellStyle name="Comma 4 3 3 2 4 3 2" xfId="15187" xr:uid="{C62C19BC-CC6A-4234-B0BE-B188AB621C76}"/>
    <cellStyle name="Comma 4 3 3 2 4 4" xfId="10970" xr:uid="{6DA616A8-4DEC-489E-A2EB-9FD780173450}"/>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FECA3E0F-D141-4551-BE92-D6AA06E9A511}"/>
    <cellStyle name="Comma 4 3 3 2 5 2 3" xfId="13528" xr:uid="{C959D06D-094E-4B09-BC04-FD27306C6DB5}"/>
    <cellStyle name="Comma 4 3 3 2 5 3" xfId="6274" xr:uid="{00000000-0005-0000-0000-00007F090000}"/>
    <cellStyle name="Comma 4 3 3 2 5 3 2" xfId="15600" xr:uid="{FB11D506-07F1-49F3-8329-2FCB196A8366}"/>
    <cellStyle name="Comma 4 3 3 2 5 4" xfId="11383" xr:uid="{6120EF20-F9FD-487E-B6B3-AAB65068C729}"/>
    <cellStyle name="Comma 4 3 3 2 6" xfId="2403" xr:uid="{00000000-0005-0000-0000-000080090000}"/>
    <cellStyle name="Comma 4 3 3 2 6 2" xfId="6687" xr:uid="{00000000-0005-0000-0000-000081090000}"/>
    <cellStyle name="Comma 4 3 3 2 6 2 2" xfId="16013" xr:uid="{8AF020AE-1116-45D7-8468-E9728B507F31}"/>
    <cellStyle name="Comma 4 3 3 2 6 3" xfId="11796" xr:uid="{3F71F69F-ACCA-44E2-A6C6-EA76A25601C6}"/>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297630C4-D466-4AB4-8FF0-FE8F10EFA778}"/>
    <cellStyle name="Comma 4 3 3 2 8 3" xfId="12113" xr:uid="{BB6B879F-E6B0-4FE0-BA42-BC0106008D7D}"/>
    <cellStyle name="Comma 4 3 3 2 9" xfId="4621" xr:uid="{00000000-0005-0000-0000-000085090000}"/>
    <cellStyle name="Comma 4 3 3 2 9 2" xfId="13947" xr:uid="{9C668612-87C3-4F96-80FF-E18FEC791AC5}"/>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7D61FD03-1DD0-4368-A07F-9992F0FB9280}"/>
    <cellStyle name="Comma 4 3 3 3 2 3" xfId="12288" xr:uid="{ADB4B2D4-F729-4A7E-B987-4735CC7988EB}"/>
    <cellStyle name="Comma 4 3 3 3 3" xfId="5034" xr:uid="{00000000-0005-0000-0000-000089090000}"/>
    <cellStyle name="Comma 4 3 3 3 3 2" xfId="14360" xr:uid="{48CF73DB-2E4F-46E1-926E-6F1092D3D103}"/>
    <cellStyle name="Comma 4 3 3 3 4" xfId="9306" xr:uid="{6AC2749B-EC1D-4760-AD4B-F36381A669B6}"/>
    <cellStyle name="Comma 4 3 3 3 4 2" xfId="18621" xr:uid="{E8B14B86-06A2-4D6E-97B2-6AB67987E067}"/>
    <cellStyle name="Comma 4 3 3 3 5" xfId="10143" xr:uid="{87D0E3ED-6228-4F3C-B884-8E13E30E54CD}"/>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BBA779E5-A316-4534-B084-0DE8E4692D11}"/>
    <cellStyle name="Comma 4 3 3 4 2 3" xfId="12701" xr:uid="{3E9BDDED-EF27-4C02-92DC-98F3EE205EFD}"/>
    <cellStyle name="Comma 4 3 3 4 3" xfId="5447" xr:uid="{00000000-0005-0000-0000-00008D090000}"/>
    <cellStyle name="Comma 4 3 3 4 3 2" xfId="14773" xr:uid="{E453BFED-0D0A-4FAE-ACF5-3AAE71B11D19}"/>
    <cellStyle name="Comma 4 3 3 4 4" xfId="10556" xr:uid="{5611973B-129B-4321-B50A-84EE5832CD2F}"/>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EE6DA0A4-D8BA-4B6F-A34C-859C2BBB8FD4}"/>
    <cellStyle name="Comma 4 3 3 5 2 3" xfId="13114" xr:uid="{34447D08-B9AF-43A6-BCB2-965E473FC93D}"/>
    <cellStyle name="Comma 4 3 3 5 3" xfId="5860" xr:uid="{00000000-0005-0000-0000-000091090000}"/>
    <cellStyle name="Comma 4 3 3 5 3 2" xfId="15186" xr:uid="{80C99680-91A0-467C-9C28-DEF99B79C6EE}"/>
    <cellStyle name="Comma 4 3 3 5 4" xfId="10969" xr:uid="{3048C7F6-2CCC-4558-AE6A-4848EBBF2925}"/>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C4773BC0-955D-4070-8666-11F4BBD5778C}"/>
    <cellStyle name="Comma 4 3 3 6 2 3" xfId="13527" xr:uid="{5A839064-E4EB-4482-A746-C44876099B1A}"/>
    <cellStyle name="Comma 4 3 3 6 3" xfId="6273" xr:uid="{00000000-0005-0000-0000-000095090000}"/>
    <cellStyle name="Comma 4 3 3 6 3 2" xfId="15599" xr:uid="{4FDE721A-48F6-4863-8C58-E50583807925}"/>
    <cellStyle name="Comma 4 3 3 6 4" xfId="11382" xr:uid="{83BFBAD4-E592-4880-B37E-A26DEE81FAD8}"/>
    <cellStyle name="Comma 4 3 3 7" xfId="2402" xr:uid="{00000000-0005-0000-0000-000096090000}"/>
    <cellStyle name="Comma 4 3 3 7 2" xfId="6686" xr:uid="{00000000-0005-0000-0000-000097090000}"/>
    <cellStyle name="Comma 4 3 3 7 2 2" xfId="16012" xr:uid="{B026BD7C-8284-4642-A535-1AAF82AE32F8}"/>
    <cellStyle name="Comma 4 3 3 7 3" xfId="11795" xr:uid="{497146A5-2D8F-44C5-93F8-B32DBF8AA818}"/>
    <cellStyle name="Comma 4 3 3 8" xfId="2361" xr:uid="{00000000-0005-0000-0000-000098090000}"/>
    <cellStyle name="Comma 4 3 3 9" xfId="2780" xr:uid="{00000000-0005-0000-0000-000099090000}"/>
    <cellStyle name="Comma 4 3 3 9 2" xfId="7003" xr:uid="{00000000-0005-0000-0000-00009A090000}"/>
    <cellStyle name="Comma 4 3 3 9 2 2" xfId="16329" xr:uid="{2B48F522-D6DB-47B1-933A-547205457467}"/>
    <cellStyle name="Comma 4 3 3 9 3" xfId="12112" xr:uid="{BC6CEF6C-C588-463D-AAC0-A6FA1A414D53}"/>
    <cellStyle name="Comma 4 3 4" xfId="151" xr:uid="{00000000-0005-0000-0000-00009B090000}"/>
    <cellStyle name="Comma 4 3 4 10" xfId="8985" xr:uid="{E965CEC1-A932-4F91-9E18-794CBF7DC7FC}"/>
    <cellStyle name="Comma 4 3 4 10 2" xfId="18309" xr:uid="{A2392992-2705-49AC-A11C-916C266F06DB}"/>
    <cellStyle name="Comma 4 3 4 11" xfId="9731" xr:uid="{B0AF5A42-E8FE-4C89-9ECD-12880ED9DA44}"/>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F8B16DEB-EE39-480D-B69E-7E4515ABABB4}"/>
    <cellStyle name="Comma 4 3 4 2 2 3" xfId="12290" xr:uid="{68C602AB-1D01-46F8-95BD-7EC500C5D0F3}"/>
    <cellStyle name="Comma 4 3 4 2 3" xfId="5036" xr:uid="{00000000-0005-0000-0000-00009F090000}"/>
    <cellStyle name="Comma 4 3 4 2 3 2" xfId="14362" xr:uid="{97614290-6CC6-4BBB-AA23-832562BECB36}"/>
    <cellStyle name="Comma 4 3 4 2 4" xfId="9410" xr:uid="{54DEC146-6204-4AAF-A15F-BAC0A12B5984}"/>
    <cellStyle name="Comma 4 3 4 2 4 2" xfId="18725" xr:uid="{7FA74BAE-D1D0-4BDF-ADC6-46B90F9FEFE4}"/>
    <cellStyle name="Comma 4 3 4 2 5" xfId="10145" xr:uid="{4C453374-6ED5-47D5-A53D-9CC32870E426}"/>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E67CD5F8-9765-413A-A3C6-CDA1A134F86C}"/>
    <cellStyle name="Comma 4 3 4 3 2 3" xfId="12703" xr:uid="{6F69355F-81A0-43DB-8C44-C01BDB002F8A}"/>
    <cellStyle name="Comma 4 3 4 3 3" xfId="5449" xr:uid="{00000000-0005-0000-0000-0000A3090000}"/>
    <cellStyle name="Comma 4 3 4 3 3 2" xfId="14775" xr:uid="{CC5795D5-FC8B-49D5-AC5E-E492635F4090}"/>
    <cellStyle name="Comma 4 3 4 3 4" xfId="10558" xr:uid="{0BFFC7D8-4F26-49DA-AA11-9FC37273C137}"/>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7519287C-FFB7-4B06-90CD-40B6AB45A23C}"/>
    <cellStyle name="Comma 4 3 4 4 2 3" xfId="13116" xr:uid="{E19F92A4-A450-4BE2-BD1A-910AD188F675}"/>
    <cellStyle name="Comma 4 3 4 4 3" xfId="5862" xr:uid="{00000000-0005-0000-0000-0000A7090000}"/>
    <cellStyle name="Comma 4 3 4 4 3 2" xfId="15188" xr:uid="{C5E058D6-C904-4229-839B-3F8004008814}"/>
    <cellStyle name="Comma 4 3 4 4 4" xfId="10971" xr:uid="{DC81B376-FD28-45DD-B06F-362DF7C96036}"/>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FE758697-D510-4259-A478-C05B32EA1FC7}"/>
    <cellStyle name="Comma 4 3 4 5 2 3" xfId="13529" xr:uid="{F8BA95BF-0239-4574-BDA4-288EEFB4EC13}"/>
    <cellStyle name="Comma 4 3 4 5 3" xfId="6275" xr:uid="{00000000-0005-0000-0000-0000AB090000}"/>
    <cellStyle name="Comma 4 3 4 5 3 2" xfId="15601" xr:uid="{F718C731-6A8B-4918-915E-43DAB4CBFC3C}"/>
    <cellStyle name="Comma 4 3 4 5 4" xfId="11384" xr:uid="{19978309-E985-424C-B992-131F71A37804}"/>
    <cellStyle name="Comma 4 3 4 6" xfId="2404" xr:uid="{00000000-0005-0000-0000-0000AC090000}"/>
    <cellStyle name="Comma 4 3 4 6 2" xfId="6688" xr:uid="{00000000-0005-0000-0000-0000AD090000}"/>
    <cellStyle name="Comma 4 3 4 6 2 2" xfId="16014" xr:uid="{9ED82F39-AC73-4901-832C-89FC9F3F788B}"/>
    <cellStyle name="Comma 4 3 4 6 3" xfId="11797" xr:uid="{93F5DC99-E1C3-4C00-AF44-FD5FBA738BA5}"/>
    <cellStyle name="Comma 4 3 4 7" xfId="2700" xr:uid="{00000000-0005-0000-0000-0000AE090000}"/>
    <cellStyle name="Comma 4 3 4 8" xfId="2782" xr:uid="{00000000-0005-0000-0000-0000AF090000}"/>
    <cellStyle name="Comma 4 3 4 8 2" xfId="7005" xr:uid="{00000000-0005-0000-0000-0000B0090000}"/>
    <cellStyle name="Comma 4 3 4 8 2 2" xfId="16331" xr:uid="{B6B10655-4396-46D4-BD5A-579A8856F923}"/>
    <cellStyle name="Comma 4 3 4 8 3" xfId="12114" xr:uid="{021CF3CA-5C20-4D67-A1EF-B7CFD0F2B6C9}"/>
    <cellStyle name="Comma 4 3 4 9" xfId="4622" xr:uid="{00000000-0005-0000-0000-0000B1090000}"/>
    <cellStyle name="Comma 4 3 4 9 2" xfId="13948" xr:uid="{EBFB98A4-DAE1-4FA2-8073-6A179FCFB7B2}"/>
    <cellStyle name="Comma 4 3 5" xfId="152" xr:uid="{00000000-0005-0000-0000-0000B2090000}"/>
    <cellStyle name="Comma 4 3 5 10" xfId="9202" xr:uid="{BF5456DA-E11C-47BD-8210-21F45D9E5F79}"/>
    <cellStyle name="Comma 4 3 5 10 2" xfId="18518" xr:uid="{C051293D-BD30-4C3C-B156-F0C6BC01BB88}"/>
    <cellStyle name="Comma 4 3 5 11" xfId="9732" xr:uid="{E505A92F-67B2-421B-86A1-9487A2851670}"/>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A2B057EA-80DC-492F-91C3-57C6E23C3D5F}"/>
    <cellStyle name="Comma 4 3 5 2 2 3" xfId="12291" xr:uid="{A656F73E-2913-42A2-88D2-9EA7112EACAC}"/>
    <cellStyle name="Comma 4 3 5 2 3" xfId="5037" xr:uid="{00000000-0005-0000-0000-0000B6090000}"/>
    <cellStyle name="Comma 4 3 5 2 3 2" xfId="14363" xr:uid="{B511A71A-893A-42F4-B22C-08D5B6D5E4DC}"/>
    <cellStyle name="Comma 4 3 5 2 4" xfId="9595" xr:uid="{3E6BF710-D2EA-4AFB-83F1-C6BF1C2192FF}"/>
    <cellStyle name="Comma 4 3 5 2 4 2" xfId="18899" xr:uid="{47491D70-8C1D-40BE-A673-585EBB76B938}"/>
    <cellStyle name="Comma 4 3 5 2 5" xfId="10146" xr:uid="{F1A08C6E-5F67-4CD3-97FD-AC8A9C04886C}"/>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02A32003-FC4A-4001-9486-5C13B59F7935}"/>
    <cellStyle name="Comma 4 3 5 3 2 3" xfId="12704" xr:uid="{6B683D04-53B5-4869-B508-31B922A88C21}"/>
    <cellStyle name="Comma 4 3 5 3 3" xfId="5450" xr:uid="{00000000-0005-0000-0000-0000BA090000}"/>
    <cellStyle name="Comma 4 3 5 3 3 2" xfId="14776" xr:uid="{D9E9D543-2A4B-4784-859F-EB8CE001FF32}"/>
    <cellStyle name="Comma 4 3 5 3 4" xfId="10559" xr:uid="{20468C91-CD55-4407-8128-427A0CAF7B63}"/>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C464AE8A-7BC2-4A14-8E40-8F5FC1004C7D}"/>
    <cellStyle name="Comma 4 3 5 4 2 3" xfId="13117" xr:uid="{4D85E831-C5F4-4672-9373-A5EA1785D418}"/>
    <cellStyle name="Comma 4 3 5 4 3" xfId="5863" xr:uid="{00000000-0005-0000-0000-0000BE090000}"/>
    <cellStyle name="Comma 4 3 5 4 3 2" xfId="15189" xr:uid="{145AEFDD-F45A-4945-900F-ED0F68A634B3}"/>
    <cellStyle name="Comma 4 3 5 4 4" xfId="10972" xr:uid="{E331BA64-9A13-4EFC-A084-08025576DA8A}"/>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58EEA642-0471-41B8-9F00-335C5945D42F}"/>
    <cellStyle name="Comma 4 3 5 5 2 3" xfId="13530" xr:uid="{F1CA6CF2-8EA4-4DDA-B356-EF8E4832065F}"/>
    <cellStyle name="Comma 4 3 5 5 3" xfId="6276" xr:uid="{00000000-0005-0000-0000-0000C2090000}"/>
    <cellStyle name="Comma 4 3 5 5 3 2" xfId="15602" xr:uid="{DD92A4F4-E433-4FA9-B102-F228555F293C}"/>
    <cellStyle name="Comma 4 3 5 5 4" xfId="11385" xr:uid="{1FCF37A9-D5D3-4165-A4C2-C4B155A0DB39}"/>
    <cellStyle name="Comma 4 3 5 6" xfId="2405" xr:uid="{00000000-0005-0000-0000-0000C3090000}"/>
    <cellStyle name="Comma 4 3 5 6 2" xfId="6689" xr:uid="{00000000-0005-0000-0000-0000C4090000}"/>
    <cellStyle name="Comma 4 3 5 6 2 2" xfId="16015" xr:uid="{AA43BDDF-3EB7-4BA9-BC84-0F29F6E13958}"/>
    <cellStyle name="Comma 4 3 5 6 3" xfId="11798" xr:uid="{8BFD4DBD-2BD6-4B0E-A57D-6C36B287EA10}"/>
    <cellStyle name="Comma 4 3 5 7" xfId="2701" xr:uid="{00000000-0005-0000-0000-0000C5090000}"/>
    <cellStyle name="Comma 4 3 5 8" xfId="2783" xr:uid="{00000000-0005-0000-0000-0000C6090000}"/>
    <cellStyle name="Comma 4 3 5 8 2" xfId="7006" xr:uid="{00000000-0005-0000-0000-0000C7090000}"/>
    <cellStyle name="Comma 4 3 5 8 2 2" xfId="16332" xr:uid="{5572B813-B1CD-42E6-A4C3-EF7CFE0741B1}"/>
    <cellStyle name="Comma 4 3 5 8 3" xfId="12115" xr:uid="{015F3F36-972A-40F6-9549-A09DB084918C}"/>
    <cellStyle name="Comma 4 3 5 9" xfId="4623" xr:uid="{00000000-0005-0000-0000-0000C8090000}"/>
    <cellStyle name="Comma 4 3 5 9 2" xfId="13949" xr:uid="{13471B13-58CE-4AD7-9FF9-121E672C7C12}"/>
    <cellStyle name="Comma 4 3 6" xfId="9582" xr:uid="{F1B74700-6F25-44D3-B4B6-1EFC63A6078B}"/>
    <cellStyle name="Comma 4 3 7" xfId="8778" xr:uid="{01CB0168-3495-42C5-9A13-F25D4D0EF35E}"/>
    <cellStyle name="Comma 4 3 7 2" xfId="18102" xr:uid="{EA41F100-9076-48E4-AAA1-6A80FB10250D}"/>
    <cellStyle name="Comma 4 4" xfId="153" xr:uid="{00000000-0005-0000-0000-0000C9090000}"/>
    <cellStyle name="Comma 4 4 10" xfId="2784" xr:uid="{00000000-0005-0000-0000-0000CA090000}"/>
    <cellStyle name="Comma 4 4 10 2" xfId="7007" xr:uid="{00000000-0005-0000-0000-0000CB090000}"/>
    <cellStyle name="Comma 4 4 10 2 2" xfId="16333" xr:uid="{757943F1-C579-4E53-9B73-053F13C722D5}"/>
    <cellStyle name="Comma 4 4 10 3" xfId="12116" xr:uid="{2308B5D3-2723-471E-BD40-0492C66236AF}"/>
    <cellStyle name="Comma 4 4 11" xfId="4624" xr:uid="{00000000-0005-0000-0000-0000CC090000}"/>
    <cellStyle name="Comma 4 4 11 2" xfId="13950" xr:uid="{34C91C31-13D4-47CE-A3E9-62D00249EC3F}"/>
    <cellStyle name="Comma 4 4 12" xfId="8804" xr:uid="{A2BB6322-7771-45CD-845C-77E2FE03AC7A}"/>
    <cellStyle name="Comma 4 4 12 2" xfId="18128" xr:uid="{F6DFFFA4-684F-4568-992C-22801FB72E2B}"/>
    <cellStyle name="Comma 4 4 13" xfId="9733" xr:uid="{32523C30-4330-4259-90D5-D515536145D9}"/>
    <cellStyle name="Comma 4 4 2" xfId="154" xr:uid="{00000000-0005-0000-0000-0000CD090000}"/>
    <cellStyle name="Comma 4 4 2 10" xfId="4625" xr:uid="{00000000-0005-0000-0000-0000CE090000}"/>
    <cellStyle name="Comma 4 4 2 10 2" xfId="13951" xr:uid="{8A06DFA5-49A2-4318-B6A7-587A14E71B53}"/>
    <cellStyle name="Comma 4 4 2 11" xfId="8907" xr:uid="{F9F87618-3BA1-4211-A686-62CF5BBA5770}"/>
    <cellStyle name="Comma 4 4 2 11 2" xfId="18231" xr:uid="{9A5F1543-D013-448D-A33C-9766A49C9E69}"/>
    <cellStyle name="Comma 4 4 2 12" xfId="9734" xr:uid="{3DA55175-5D5C-43DB-8B79-6F9CC3637BAF}"/>
    <cellStyle name="Comma 4 4 2 2" xfId="155" xr:uid="{00000000-0005-0000-0000-0000CF090000}"/>
    <cellStyle name="Comma 4 4 2 2 10" xfId="9114" xr:uid="{871FAC03-A44E-4C24-806C-3CC0605FD124}"/>
    <cellStyle name="Comma 4 4 2 2 10 2" xfId="18438" xr:uid="{B960F41E-604D-4EB2-B669-F0CF14F6ADB1}"/>
    <cellStyle name="Comma 4 4 2 2 11" xfId="9735" xr:uid="{537289FF-D237-4E36-AED8-7A45C8D1922F}"/>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75F70456-725B-4690-96BB-7F909F7F82F5}"/>
    <cellStyle name="Comma 4 4 2 2 2 2 3" xfId="12294" xr:uid="{D215BB70-13F8-4542-B499-FFABE9B0C3D4}"/>
    <cellStyle name="Comma 4 4 2 2 2 3" xfId="5040" xr:uid="{00000000-0005-0000-0000-0000D3090000}"/>
    <cellStyle name="Comma 4 4 2 2 2 3 2" xfId="14366" xr:uid="{4AD4BDEB-998F-4CC0-9A45-8BDEF9D7AC32}"/>
    <cellStyle name="Comma 4 4 2 2 2 4" xfId="9539" xr:uid="{6209A471-8158-46C6-9ADA-C828BB6621B2}"/>
    <cellStyle name="Comma 4 4 2 2 2 4 2" xfId="18854" xr:uid="{9A6637C6-9B50-40C1-8DF8-4B107024CF28}"/>
    <cellStyle name="Comma 4 4 2 2 2 5" xfId="10149" xr:uid="{FBB26D89-EDF5-40D3-92AB-846CD125EA4F}"/>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0F70ADF0-B0C1-4523-88F4-A81CC2B0B1E4}"/>
    <cellStyle name="Comma 4 4 2 2 3 2 3" xfId="12707" xr:uid="{A9550BE1-B2E1-4207-B9E9-A6B4D6274339}"/>
    <cellStyle name="Comma 4 4 2 2 3 3" xfId="5453" xr:uid="{00000000-0005-0000-0000-0000D7090000}"/>
    <cellStyle name="Comma 4 4 2 2 3 3 2" xfId="14779" xr:uid="{F42710DA-9E17-4CFC-986A-CC90697AD752}"/>
    <cellStyle name="Comma 4 4 2 2 3 4" xfId="10562" xr:uid="{5666A69A-3239-414B-B08B-8E3D252C1A3E}"/>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78DB6FEB-2DCC-4D1D-A1BB-1A41734BD7B9}"/>
    <cellStyle name="Comma 4 4 2 2 4 2 3" xfId="13120" xr:uid="{93AC2F64-540E-4B85-AC54-B09498047C06}"/>
    <cellStyle name="Comma 4 4 2 2 4 3" xfId="5866" xr:uid="{00000000-0005-0000-0000-0000DB090000}"/>
    <cellStyle name="Comma 4 4 2 2 4 3 2" xfId="15192" xr:uid="{229A0B53-4268-43DD-8C46-39B38823449F}"/>
    <cellStyle name="Comma 4 4 2 2 4 4" xfId="10975" xr:uid="{3AF4FDB3-BE85-487A-8365-C880C7CCDE1B}"/>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A9431845-DB0A-4576-B613-B2E262DB0D5E}"/>
    <cellStyle name="Comma 4 4 2 2 5 2 3" xfId="13533" xr:uid="{BA96CD4C-A7F2-4A14-BC0B-8BFEB71AF68A}"/>
    <cellStyle name="Comma 4 4 2 2 5 3" xfId="6279" xr:uid="{00000000-0005-0000-0000-0000DF090000}"/>
    <cellStyle name="Comma 4 4 2 2 5 3 2" xfId="15605" xr:uid="{E5BF7BA3-CA20-41B4-A793-5312E3EB3247}"/>
    <cellStyle name="Comma 4 4 2 2 5 4" xfId="11388" xr:uid="{76B51BEF-8D82-4E81-803B-02526A692F05}"/>
    <cellStyle name="Comma 4 4 2 2 6" xfId="2408" xr:uid="{00000000-0005-0000-0000-0000E0090000}"/>
    <cellStyle name="Comma 4 4 2 2 6 2" xfId="6692" xr:uid="{00000000-0005-0000-0000-0000E1090000}"/>
    <cellStyle name="Comma 4 4 2 2 6 2 2" xfId="16018" xr:uid="{0F68BFC8-7E71-447C-AD50-DC00EF41A041}"/>
    <cellStyle name="Comma 4 4 2 2 6 3" xfId="11801" xr:uid="{CB7379FC-6FC4-4DBE-A84D-4D8B300FE3B3}"/>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ADC3F6FC-947D-43AB-8104-CC197EF20798}"/>
    <cellStyle name="Comma 4 4 2 2 8 3" xfId="12118" xr:uid="{BDBF7849-980D-4193-BA64-DE414668F5FA}"/>
    <cellStyle name="Comma 4 4 2 2 9" xfId="4626" xr:uid="{00000000-0005-0000-0000-0000E5090000}"/>
    <cellStyle name="Comma 4 4 2 2 9 2" xfId="13952" xr:uid="{11588133-3C06-4807-8FC3-E6E0061D2823}"/>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847A6F75-9950-4890-9BF3-F0178D8D3282}"/>
    <cellStyle name="Comma 4 4 2 3 2 3" xfId="12293" xr:uid="{54C7DAC6-7281-4B17-AD3A-6B47FDBC7B66}"/>
    <cellStyle name="Comma 4 4 2 3 3" xfId="5039" xr:uid="{00000000-0005-0000-0000-0000E9090000}"/>
    <cellStyle name="Comma 4 4 2 3 3 2" xfId="14365" xr:uid="{C6C116F3-082F-4DC4-BC07-884A9D6F10D4}"/>
    <cellStyle name="Comma 4 4 2 3 4" xfId="9332" xr:uid="{00F59ECD-64D7-476B-90FD-CD86F054AE4D}"/>
    <cellStyle name="Comma 4 4 2 3 4 2" xfId="18647" xr:uid="{6E01D588-D2FC-41A5-BBD6-447FFCFD93DC}"/>
    <cellStyle name="Comma 4 4 2 3 5" xfId="10148" xr:uid="{35283F6D-DFE4-4073-A3EB-8B9B2EA99120}"/>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FCB20689-8857-4C19-99D0-7A49EF11BF90}"/>
    <cellStyle name="Comma 4 4 2 4 2 3" xfId="12706" xr:uid="{B4715829-C90B-4B81-B9A1-6449CE5030A7}"/>
    <cellStyle name="Comma 4 4 2 4 3" xfId="5452" xr:uid="{00000000-0005-0000-0000-0000ED090000}"/>
    <cellStyle name="Comma 4 4 2 4 3 2" xfId="14778" xr:uid="{46222862-F1C3-4E29-8445-4C155CCB74A2}"/>
    <cellStyle name="Comma 4 4 2 4 4" xfId="10561" xr:uid="{BDA99E2F-7401-4AC2-9B19-E6A2052FCD1D}"/>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F1CFB658-3E5D-4651-96DD-9CABFB9987FC}"/>
    <cellStyle name="Comma 4 4 2 5 2 3" xfId="13119" xr:uid="{71EE431B-FE34-4951-96EF-EB36088A670A}"/>
    <cellStyle name="Comma 4 4 2 5 3" xfId="5865" xr:uid="{00000000-0005-0000-0000-0000F1090000}"/>
    <cellStyle name="Comma 4 4 2 5 3 2" xfId="15191" xr:uid="{AAF7BD54-44E6-4BDA-BC1C-8ADF429D767B}"/>
    <cellStyle name="Comma 4 4 2 5 4" xfId="10974" xr:uid="{9B55FC97-D3BE-4F22-89F5-229D479DA13C}"/>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5EF21E0B-90B5-414F-ADAF-581B358C32CA}"/>
    <cellStyle name="Comma 4 4 2 6 2 3" xfId="13532" xr:uid="{68C9636D-34D9-4EDC-A8F3-66E5B18537F7}"/>
    <cellStyle name="Comma 4 4 2 6 3" xfId="6278" xr:uid="{00000000-0005-0000-0000-0000F5090000}"/>
    <cellStyle name="Comma 4 4 2 6 3 2" xfId="15604" xr:uid="{77C7C928-5021-4088-944F-6660AEB8538B}"/>
    <cellStyle name="Comma 4 4 2 6 4" xfId="11387" xr:uid="{77200C1E-5F79-4DBB-ADD3-370351359626}"/>
    <cellStyle name="Comma 4 4 2 7" xfId="2407" xr:uid="{00000000-0005-0000-0000-0000F6090000}"/>
    <cellStyle name="Comma 4 4 2 7 2" xfId="6691" xr:uid="{00000000-0005-0000-0000-0000F7090000}"/>
    <cellStyle name="Comma 4 4 2 7 2 2" xfId="16017" xr:uid="{18C943D0-D30D-416A-B119-0FF34DBD40E2}"/>
    <cellStyle name="Comma 4 4 2 7 3" xfId="11800" xr:uid="{D3AEFC59-30F1-4783-AEDF-BC7E1A48856A}"/>
    <cellStyle name="Comma 4 4 2 8" xfId="2703" xr:uid="{00000000-0005-0000-0000-0000F8090000}"/>
    <cellStyle name="Comma 4 4 2 9" xfId="2785" xr:uid="{00000000-0005-0000-0000-0000F9090000}"/>
    <cellStyle name="Comma 4 4 2 9 2" xfId="7008" xr:uid="{00000000-0005-0000-0000-0000FA090000}"/>
    <cellStyle name="Comma 4 4 2 9 2 2" xfId="16334" xr:uid="{A1EBCAB9-BCF4-450A-A5D9-6BF9D0A2CFDC}"/>
    <cellStyle name="Comma 4 4 2 9 3" xfId="12117" xr:uid="{685C0938-2626-4653-8444-2B9CC52CE071}"/>
    <cellStyle name="Comma 4 4 3" xfId="156" xr:uid="{00000000-0005-0000-0000-0000FB090000}"/>
    <cellStyle name="Comma 4 4 3 10" xfId="9011" xr:uid="{31ED03AD-AB12-49AF-9AD4-B783F0BF7322}"/>
    <cellStyle name="Comma 4 4 3 10 2" xfId="18335" xr:uid="{52E34444-9873-4534-B357-90A359F378FA}"/>
    <cellStyle name="Comma 4 4 3 11" xfId="9736" xr:uid="{8CEF9A4D-AC7F-4F99-AA6E-E2AAB0E96BF0}"/>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AAD1485E-41BA-45E7-ABD2-3A3CF2BF81A3}"/>
    <cellStyle name="Comma 4 4 3 2 2 3" xfId="12295" xr:uid="{DFEA3233-3E27-402F-B740-9B99B8EC5C64}"/>
    <cellStyle name="Comma 4 4 3 2 3" xfId="5041" xr:uid="{00000000-0005-0000-0000-0000FF090000}"/>
    <cellStyle name="Comma 4 4 3 2 3 2" xfId="14367" xr:uid="{B11FABD0-C2CA-41D3-BA70-63D472821F70}"/>
    <cellStyle name="Comma 4 4 3 2 4" xfId="9436" xr:uid="{5B7DDC25-9095-4E8E-BD31-668F46BBD33F}"/>
    <cellStyle name="Comma 4 4 3 2 4 2" xfId="18751" xr:uid="{BB3F0960-3F83-463C-AD23-E28A610456C3}"/>
    <cellStyle name="Comma 4 4 3 2 5" xfId="10150" xr:uid="{65A65C29-00C9-4A5C-BFB9-86093A6F1839}"/>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241DE748-3497-47AC-813D-C8122C3AE6F5}"/>
    <cellStyle name="Comma 4 4 3 3 2 3" xfId="12708" xr:uid="{D2FFA386-DF59-465C-A1C3-77AD21A4ED8B}"/>
    <cellStyle name="Comma 4 4 3 3 3" xfId="5454" xr:uid="{00000000-0005-0000-0000-0000030A0000}"/>
    <cellStyle name="Comma 4 4 3 3 3 2" xfId="14780" xr:uid="{6217762C-3827-48DB-BA42-AD90B72C058F}"/>
    <cellStyle name="Comma 4 4 3 3 4" xfId="10563" xr:uid="{81E5A00B-471F-4B7D-B8B3-40B9E5771A0B}"/>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50F6D344-FA6B-4F05-9762-3E441193B062}"/>
    <cellStyle name="Comma 4 4 3 4 2 3" xfId="13121" xr:uid="{F1246F1F-1B04-42B8-811F-4F95C22E851C}"/>
    <cellStyle name="Comma 4 4 3 4 3" xfId="5867" xr:uid="{00000000-0005-0000-0000-0000070A0000}"/>
    <cellStyle name="Comma 4 4 3 4 3 2" xfId="15193" xr:uid="{522B0432-6121-414B-8A84-7BA3FE79B374}"/>
    <cellStyle name="Comma 4 4 3 4 4" xfId="10976" xr:uid="{5461BEFD-EADC-4698-9DC1-9B74A7BEEDC7}"/>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D49D5837-0EF6-488E-86A5-C354867CBB4B}"/>
    <cellStyle name="Comma 4 4 3 5 2 3" xfId="13534" xr:uid="{B46EA121-8863-4EB1-9D9C-E009A02DF91C}"/>
    <cellStyle name="Comma 4 4 3 5 3" xfId="6280" xr:uid="{00000000-0005-0000-0000-00000B0A0000}"/>
    <cellStyle name="Comma 4 4 3 5 3 2" xfId="15606" xr:uid="{2E476903-0B24-4F34-ABCC-BFAE335D66CA}"/>
    <cellStyle name="Comma 4 4 3 5 4" xfId="11389" xr:uid="{6CB96AA9-8586-4216-BC23-4C4F67651768}"/>
    <cellStyle name="Comma 4 4 3 6" xfId="2409" xr:uid="{00000000-0005-0000-0000-00000C0A0000}"/>
    <cellStyle name="Comma 4 4 3 6 2" xfId="6693" xr:uid="{00000000-0005-0000-0000-00000D0A0000}"/>
    <cellStyle name="Comma 4 4 3 6 2 2" xfId="16019" xr:uid="{6BEA4578-73BF-41FD-A31A-34C3012AB911}"/>
    <cellStyle name="Comma 4 4 3 6 3" xfId="11802" xr:uid="{CADE93B1-AF4A-4430-899D-9F67D7496077}"/>
    <cellStyle name="Comma 4 4 3 7" xfId="2705" xr:uid="{00000000-0005-0000-0000-00000E0A0000}"/>
    <cellStyle name="Comma 4 4 3 8" xfId="2787" xr:uid="{00000000-0005-0000-0000-00000F0A0000}"/>
    <cellStyle name="Comma 4 4 3 8 2" xfId="7010" xr:uid="{00000000-0005-0000-0000-0000100A0000}"/>
    <cellStyle name="Comma 4 4 3 8 2 2" xfId="16336" xr:uid="{D0C13C76-7132-4853-8B06-2F5558FD4C2D}"/>
    <cellStyle name="Comma 4 4 3 8 3" xfId="12119" xr:uid="{357417CC-DDE4-4ED2-963E-E9BD4ED985BF}"/>
    <cellStyle name="Comma 4 4 3 9" xfId="4627" xr:uid="{00000000-0005-0000-0000-0000110A0000}"/>
    <cellStyle name="Comma 4 4 3 9 2" xfId="13953" xr:uid="{5B5BEC29-8D85-46F7-9D2B-5D246EF2A18A}"/>
    <cellStyle name="Comma 4 4 4" xfId="690" xr:uid="{00000000-0005-0000-0000-0000120A0000}"/>
    <cellStyle name="Comma 4 4 4 2" xfId="2961" xr:uid="{00000000-0005-0000-0000-0000130A0000}"/>
    <cellStyle name="Comma 4 4 4 2 2" xfId="7183" xr:uid="{00000000-0005-0000-0000-0000140A0000}"/>
    <cellStyle name="Comma 4 4 4 2 2 2" xfId="16509" xr:uid="{61E0310E-FF3F-4EDD-BD34-E84B1552338C}"/>
    <cellStyle name="Comma 4 4 4 2 3" xfId="12292" xr:uid="{B5872187-AF3C-4A65-9FC7-51A80FAAA7AF}"/>
    <cellStyle name="Comma 4 4 4 3" xfId="5038" xr:uid="{00000000-0005-0000-0000-0000150A0000}"/>
    <cellStyle name="Comma 4 4 4 3 2" xfId="14364" xr:uid="{E6FCFA61-8A35-4718-8321-639FE349A106}"/>
    <cellStyle name="Comma 4 4 4 4" xfId="9229" xr:uid="{5D655A80-2199-4116-9BF2-7327D5827395}"/>
    <cellStyle name="Comma 4 4 4 4 2" xfId="18544" xr:uid="{CC728C02-ADEF-4451-9974-CF91905A194B}"/>
    <cellStyle name="Comma 4 4 4 5" xfId="10147" xr:uid="{AA0D0774-8057-4501-8214-D2748F3DAD32}"/>
    <cellStyle name="Comma 4 4 5" xfId="1143" xr:uid="{00000000-0005-0000-0000-0000160A0000}"/>
    <cellStyle name="Comma 4 4 5 2" xfId="3374" xr:uid="{00000000-0005-0000-0000-0000170A0000}"/>
    <cellStyle name="Comma 4 4 5 2 2" xfId="7596" xr:uid="{00000000-0005-0000-0000-0000180A0000}"/>
    <cellStyle name="Comma 4 4 5 2 2 2" xfId="16922" xr:uid="{D7E5F15A-AE20-42A9-9F95-CEF23FB7DCA4}"/>
    <cellStyle name="Comma 4 4 5 2 3" xfId="12705" xr:uid="{A5F37C07-6031-426C-AEC2-E2C0D8AE85F9}"/>
    <cellStyle name="Comma 4 4 5 3" xfId="5451" xr:uid="{00000000-0005-0000-0000-0000190A0000}"/>
    <cellStyle name="Comma 4 4 5 3 2" xfId="14777" xr:uid="{9D1D42A1-9997-4EF3-B517-9F5A6769A6DF}"/>
    <cellStyle name="Comma 4 4 5 4" xfId="10560" xr:uid="{1C642A18-A52F-454D-BBC1-D7DF3E084AC1}"/>
    <cellStyle name="Comma 4 4 6" xfId="1557" xr:uid="{00000000-0005-0000-0000-00001A0A0000}"/>
    <cellStyle name="Comma 4 4 6 2" xfId="3787" xr:uid="{00000000-0005-0000-0000-00001B0A0000}"/>
    <cellStyle name="Comma 4 4 6 2 2" xfId="8009" xr:uid="{00000000-0005-0000-0000-00001C0A0000}"/>
    <cellStyle name="Comma 4 4 6 2 2 2" xfId="17335" xr:uid="{728A4223-B6B8-4902-8CEB-4FB0D2B066DF}"/>
    <cellStyle name="Comma 4 4 6 2 3" xfId="13118" xr:uid="{79EB70EC-B385-45F3-96F4-05906CE84C6E}"/>
    <cellStyle name="Comma 4 4 6 3" xfId="5864" xr:uid="{00000000-0005-0000-0000-00001D0A0000}"/>
    <cellStyle name="Comma 4 4 6 3 2" xfId="15190" xr:uid="{2B6554A5-D6C2-4D6F-9038-931136230743}"/>
    <cellStyle name="Comma 4 4 6 4" xfId="10973" xr:uid="{639B60A0-A08B-4B96-82B7-665D568D1FF4}"/>
    <cellStyle name="Comma 4 4 7" xfId="1971" xr:uid="{00000000-0005-0000-0000-00001E0A0000}"/>
    <cellStyle name="Comma 4 4 7 2" xfId="4200" xr:uid="{00000000-0005-0000-0000-00001F0A0000}"/>
    <cellStyle name="Comma 4 4 7 2 2" xfId="8422" xr:uid="{00000000-0005-0000-0000-0000200A0000}"/>
    <cellStyle name="Comma 4 4 7 2 2 2" xfId="17748" xr:uid="{97777D27-F979-4120-8EEE-BEC6F2A10839}"/>
    <cellStyle name="Comma 4 4 7 2 3" xfId="13531" xr:uid="{1787885A-634E-461F-9895-0226919BC6FB}"/>
    <cellStyle name="Comma 4 4 7 3" xfId="6277" xr:uid="{00000000-0005-0000-0000-0000210A0000}"/>
    <cellStyle name="Comma 4 4 7 3 2" xfId="15603" xr:uid="{A89A3FDD-797F-49CD-8C7E-BBCB694FF4F6}"/>
    <cellStyle name="Comma 4 4 7 4" xfId="11386" xr:uid="{47B5FBF8-CBB0-478A-829F-5D071D7264C0}"/>
    <cellStyle name="Comma 4 4 8" xfId="2406" xr:uid="{00000000-0005-0000-0000-0000220A0000}"/>
    <cellStyle name="Comma 4 4 8 2" xfId="6690" xr:uid="{00000000-0005-0000-0000-0000230A0000}"/>
    <cellStyle name="Comma 4 4 8 2 2" xfId="16016" xr:uid="{7BEB53DF-9470-4B45-BEB9-8397D00DC511}"/>
    <cellStyle name="Comma 4 4 8 3" xfId="11799" xr:uid="{047BF8B3-5F35-42F7-9B6D-BCC9134F390C}"/>
    <cellStyle name="Comma 4 4 9" xfId="2702" xr:uid="{00000000-0005-0000-0000-0000240A0000}"/>
    <cellStyle name="Comma 4 5" xfId="157" xr:uid="{00000000-0005-0000-0000-0000250A0000}"/>
    <cellStyle name="Comma 4 5 10" xfId="4628" xr:uid="{00000000-0005-0000-0000-0000260A0000}"/>
    <cellStyle name="Comma 4 5 10 2" xfId="13954" xr:uid="{D1F9E2F2-369F-4D57-9D22-D031EF866EAD}"/>
    <cellStyle name="Comma 4 5 11" xfId="8849" xr:uid="{344CCE08-63E3-41E8-B38A-00347480820F}"/>
    <cellStyle name="Comma 4 5 11 2" xfId="18173" xr:uid="{FB8F2164-82E1-4BB1-AC05-88C1B66A6B04}"/>
    <cellStyle name="Comma 4 5 12" xfId="9737" xr:uid="{A19872EE-5240-42A8-AA01-04A0D44CE21F}"/>
    <cellStyle name="Comma 4 5 2" xfId="158" xr:uid="{00000000-0005-0000-0000-0000270A0000}"/>
    <cellStyle name="Comma 4 5 2 10" xfId="9056" xr:uid="{C7C2153B-7EAA-4A13-9C28-1151ACD100A8}"/>
    <cellStyle name="Comma 4 5 2 10 2" xfId="18380" xr:uid="{0EE37B40-936B-4FD4-B9DD-65618972E0F8}"/>
    <cellStyle name="Comma 4 5 2 11" xfId="9738" xr:uid="{86B6F02C-8FA9-40E6-85D1-B3716A3025B4}"/>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E20E7D06-564F-44C9-AA29-5CA59FC20949}"/>
    <cellStyle name="Comma 4 5 2 2 2 3" xfId="12297" xr:uid="{4C297FD4-A7AE-4049-94C7-D3DF59C62860}"/>
    <cellStyle name="Comma 4 5 2 2 3" xfId="5043" xr:uid="{00000000-0005-0000-0000-00002B0A0000}"/>
    <cellStyle name="Comma 4 5 2 2 3 2" xfId="14369" xr:uid="{402ECCBC-8D89-4CDD-B952-7C13732C02D0}"/>
    <cellStyle name="Comma 4 5 2 2 4" xfId="9481" xr:uid="{47C88F6D-21B1-4457-908C-FFAB8FF83BD1}"/>
    <cellStyle name="Comma 4 5 2 2 4 2" xfId="18796" xr:uid="{6E4930F9-E8E0-4FEF-98F2-29F3F8F55CBB}"/>
    <cellStyle name="Comma 4 5 2 2 5" xfId="10152" xr:uid="{09B19245-3611-4A88-847D-FE6980A32401}"/>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37589825-5B40-4317-A7A6-B50AB75D1AB5}"/>
    <cellStyle name="Comma 4 5 2 3 2 3" xfId="12710" xr:uid="{B664B3CF-C1EA-411F-A1B0-18D2C4E8A0E8}"/>
    <cellStyle name="Comma 4 5 2 3 3" xfId="5456" xr:uid="{00000000-0005-0000-0000-00002F0A0000}"/>
    <cellStyle name="Comma 4 5 2 3 3 2" xfId="14782" xr:uid="{FABDD5EA-CFCD-4D37-8DF4-F66BB7FF4E20}"/>
    <cellStyle name="Comma 4 5 2 3 4" xfId="10565" xr:uid="{97188ADE-AF49-4E82-8DCB-0B5F7F45D0FB}"/>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652DDABB-B54B-4B74-8625-18D0D21A434C}"/>
    <cellStyle name="Comma 4 5 2 4 2 3" xfId="13123" xr:uid="{21CB4883-30B0-4876-A86B-73ED232BF818}"/>
    <cellStyle name="Comma 4 5 2 4 3" xfId="5869" xr:uid="{00000000-0005-0000-0000-0000330A0000}"/>
    <cellStyle name="Comma 4 5 2 4 3 2" xfId="15195" xr:uid="{051096F8-A81D-4BF1-930B-906A60EE42FB}"/>
    <cellStyle name="Comma 4 5 2 4 4" xfId="10978" xr:uid="{D45361B6-A4C1-41A2-869E-12DB32AF02B7}"/>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43438ECC-21A5-4854-8A05-B19B00CF86E4}"/>
    <cellStyle name="Comma 4 5 2 5 2 3" xfId="13536" xr:uid="{F370FF48-A447-4F88-845C-B9AF58CA0A5D}"/>
    <cellStyle name="Comma 4 5 2 5 3" xfId="6282" xr:uid="{00000000-0005-0000-0000-0000370A0000}"/>
    <cellStyle name="Comma 4 5 2 5 3 2" xfId="15608" xr:uid="{6FDE4E48-DC59-4008-898E-B78451AA7611}"/>
    <cellStyle name="Comma 4 5 2 5 4" xfId="11391" xr:uid="{EB1D25F9-1C41-4127-8296-74BFB15B8FAA}"/>
    <cellStyle name="Comma 4 5 2 6" xfId="2411" xr:uid="{00000000-0005-0000-0000-0000380A0000}"/>
    <cellStyle name="Comma 4 5 2 6 2" xfId="6695" xr:uid="{00000000-0005-0000-0000-0000390A0000}"/>
    <cellStyle name="Comma 4 5 2 6 2 2" xfId="16021" xr:uid="{A4A65CAD-D4F5-4396-ADDD-3D97A1CC85F5}"/>
    <cellStyle name="Comma 4 5 2 6 3" xfId="11804" xr:uid="{61F58249-261E-420C-AEED-2DB4E3631785}"/>
    <cellStyle name="Comma 4 5 2 7" xfId="2707" xr:uid="{00000000-0005-0000-0000-00003A0A0000}"/>
    <cellStyle name="Comma 4 5 2 8" xfId="2789" xr:uid="{00000000-0005-0000-0000-00003B0A0000}"/>
    <cellStyle name="Comma 4 5 2 8 2" xfId="7012" xr:uid="{00000000-0005-0000-0000-00003C0A0000}"/>
    <cellStyle name="Comma 4 5 2 8 2 2" xfId="16338" xr:uid="{D331CD94-2556-4789-BF47-D22EFE276B51}"/>
    <cellStyle name="Comma 4 5 2 8 3" xfId="12121" xr:uid="{5F760243-C8B1-4F8C-BCF4-5619A337F79F}"/>
    <cellStyle name="Comma 4 5 2 9" xfId="4629" xr:uid="{00000000-0005-0000-0000-00003D0A0000}"/>
    <cellStyle name="Comma 4 5 2 9 2" xfId="13955" xr:uid="{BA23671E-DAA6-42AA-92AA-3F4F69FBDF0C}"/>
    <cellStyle name="Comma 4 5 3" xfId="694" xr:uid="{00000000-0005-0000-0000-00003E0A0000}"/>
    <cellStyle name="Comma 4 5 3 2" xfId="2965" xr:uid="{00000000-0005-0000-0000-00003F0A0000}"/>
    <cellStyle name="Comma 4 5 3 2 2" xfId="7187" xr:uid="{00000000-0005-0000-0000-0000400A0000}"/>
    <cellStyle name="Comma 4 5 3 2 2 2" xfId="16513" xr:uid="{956CA7E0-B200-4A7D-979B-F4D45AF0D63D}"/>
    <cellStyle name="Comma 4 5 3 2 3" xfId="12296" xr:uid="{8EFDA444-7F81-4CCF-A999-C269E345DE0B}"/>
    <cellStyle name="Comma 4 5 3 3" xfId="5042" xr:uid="{00000000-0005-0000-0000-0000410A0000}"/>
    <cellStyle name="Comma 4 5 3 3 2" xfId="14368" xr:uid="{C83325B8-1713-4A9E-B36D-AFAD7E00AFA5}"/>
    <cellStyle name="Comma 4 5 3 4" xfId="9274" xr:uid="{04AC3EF2-4A78-4DC5-BAB4-87936023C7E5}"/>
    <cellStyle name="Comma 4 5 3 4 2" xfId="18589" xr:uid="{72230D1E-157B-4E8A-9E6A-49A3A846572B}"/>
    <cellStyle name="Comma 4 5 3 5" xfId="10151" xr:uid="{D3564F0F-37B2-48C4-8F63-704DC7EA0DC0}"/>
    <cellStyle name="Comma 4 5 4" xfId="1147" xr:uid="{00000000-0005-0000-0000-0000420A0000}"/>
    <cellStyle name="Comma 4 5 4 2" xfId="3378" xr:uid="{00000000-0005-0000-0000-0000430A0000}"/>
    <cellStyle name="Comma 4 5 4 2 2" xfId="7600" xr:uid="{00000000-0005-0000-0000-0000440A0000}"/>
    <cellStyle name="Comma 4 5 4 2 2 2" xfId="16926" xr:uid="{396EEA20-2598-4C19-B3E6-1ADFAB74AD6C}"/>
    <cellStyle name="Comma 4 5 4 2 3" xfId="12709" xr:uid="{BAE90225-302E-4EA7-B2F4-E039526BB859}"/>
    <cellStyle name="Comma 4 5 4 3" xfId="5455" xr:uid="{00000000-0005-0000-0000-0000450A0000}"/>
    <cellStyle name="Comma 4 5 4 3 2" xfId="14781" xr:uid="{9235A6D2-1C11-40BB-B935-1AB12F95438B}"/>
    <cellStyle name="Comma 4 5 4 4" xfId="10564" xr:uid="{C26801D4-7CC3-40C9-AE82-D7CAE60DF659}"/>
    <cellStyle name="Comma 4 5 5" xfId="1561" xr:uid="{00000000-0005-0000-0000-0000460A0000}"/>
    <cellStyle name="Comma 4 5 5 2" xfId="3791" xr:uid="{00000000-0005-0000-0000-0000470A0000}"/>
    <cellStyle name="Comma 4 5 5 2 2" xfId="8013" xr:uid="{00000000-0005-0000-0000-0000480A0000}"/>
    <cellStyle name="Comma 4 5 5 2 2 2" xfId="17339" xr:uid="{AD325729-CE04-4A16-BF12-2260A0CBF632}"/>
    <cellStyle name="Comma 4 5 5 2 3" xfId="13122" xr:uid="{A3FFDA56-57A5-4780-9C2E-10E490859973}"/>
    <cellStyle name="Comma 4 5 5 3" xfId="5868" xr:uid="{00000000-0005-0000-0000-0000490A0000}"/>
    <cellStyle name="Comma 4 5 5 3 2" xfId="15194" xr:uid="{30141537-56C2-4003-BCC6-018EB69F7B17}"/>
    <cellStyle name="Comma 4 5 5 4" xfId="10977" xr:uid="{33A55E0D-97B5-45DF-BBA2-4EA06EA15EFA}"/>
    <cellStyle name="Comma 4 5 6" xfId="1975" xr:uid="{00000000-0005-0000-0000-00004A0A0000}"/>
    <cellStyle name="Comma 4 5 6 2" xfId="4204" xr:uid="{00000000-0005-0000-0000-00004B0A0000}"/>
    <cellStyle name="Comma 4 5 6 2 2" xfId="8426" xr:uid="{00000000-0005-0000-0000-00004C0A0000}"/>
    <cellStyle name="Comma 4 5 6 2 2 2" xfId="17752" xr:uid="{81184400-6F2E-4E57-82E5-D31EAA77CCE5}"/>
    <cellStyle name="Comma 4 5 6 2 3" xfId="13535" xr:uid="{FC6C975B-B0E8-4753-8628-5085E0B27612}"/>
    <cellStyle name="Comma 4 5 6 3" xfId="6281" xr:uid="{00000000-0005-0000-0000-00004D0A0000}"/>
    <cellStyle name="Comma 4 5 6 3 2" xfId="15607" xr:uid="{C6C12F2D-6B66-4E9E-95F5-AF56B12661AB}"/>
    <cellStyle name="Comma 4 5 6 4" xfId="11390" xr:uid="{93E11B38-EB8B-4473-BBD3-2A27AC7565D4}"/>
    <cellStyle name="Comma 4 5 7" xfId="2410" xr:uid="{00000000-0005-0000-0000-00004E0A0000}"/>
    <cellStyle name="Comma 4 5 7 2" xfId="6694" xr:uid="{00000000-0005-0000-0000-00004F0A0000}"/>
    <cellStyle name="Comma 4 5 7 2 2" xfId="16020" xr:uid="{4295D220-40F6-4874-86D2-9EEE0F36635A}"/>
    <cellStyle name="Comma 4 5 7 3" xfId="11803" xr:uid="{BC7A2756-A941-4AC5-9D9E-9A01D056AD06}"/>
    <cellStyle name="Comma 4 5 8" xfId="2706" xr:uid="{00000000-0005-0000-0000-0000500A0000}"/>
    <cellStyle name="Comma 4 5 9" xfId="2788" xr:uid="{00000000-0005-0000-0000-0000510A0000}"/>
    <cellStyle name="Comma 4 5 9 2" xfId="7011" xr:uid="{00000000-0005-0000-0000-0000520A0000}"/>
    <cellStyle name="Comma 4 5 9 2 2" xfId="16337" xr:uid="{49EDA935-B147-46FE-86BC-9D1663EC53CB}"/>
    <cellStyle name="Comma 4 5 9 3" xfId="12120" xr:uid="{7D55A488-E979-40AE-8E51-516A524729AE}"/>
    <cellStyle name="Comma 4 6" xfId="159" xr:uid="{00000000-0005-0000-0000-0000530A0000}"/>
    <cellStyle name="Comma 4 6 10" xfId="8965" xr:uid="{FDA33E7D-96B8-46F2-87D8-5CB6C30A4CC6}"/>
    <cellStyle name="Comma 4 6 10 2" xfId="18289" xr:uid="{04F4A66C-0932-4376-85F5-368DC17DBA58}"/>
    <cellStyle name="Comma 4 6 11" xfId="9739" xr:uid="{9092F36E-0469-467A-8BF4-6DCF73B9DBB3}"/>
    <cellStyle name="Comma 4 6 2" xfId="696" xr:uid="{00000000-0005-0000-0000-0000540A0000}"/>
    <cellStyle name="Comma 4 6 2 2" xfId="2967" xr:uid="{00000000-0005-0000-0000-0000550A0000}"/>
    <cellStyle name="Comma 4 6 2 2 2" xfId="7189" xr:uid="{00000000-0005-0000-0000-0000560A0000}"/>
    <cellStyle name="Comma 4 6 2 2 2 2" xfId="16515" xr:uid="{EDFF2AB7-5DD5-4801-8358-59B0DCCD9A75}"/>
    <cellStyle name="Comma 4 6 2 2 3" xfId="12298" xr:uid="{43F65164-0322-4DEA-95D5-D2F6A558FC41}"/>
    <cellStyle name="Comma 4 6 2 3" xfId="5044" xr:uid="{00000000-0005-0000-0000-0000570A0000}"/>
    <cellStyle name="Comma 4 6 2 3 2" xfId="14370" xr:uid="{72AD8738-C7DC-4FC6-A9DA-DBA62FBBBFF0}"/>
    <cellStyle name="Comma 4 6 2 4" xfId="9390" xr:uid="{F8012948-A58F-476A-B4CF-A63C8F36D5B6}"/>
    <cellStyle name="Comma 4 6 2 4 2" xfId="18705" xr:uid="{F57AF3A3-7924-44D1-904C-397C957290FC}"/>
    <cellStyle name="Comma 4 6 2 5" xfId="10153" xr:uid="{AC2CFCB4-B0BE-4100-9ABE-0ECEEB98251D}"/>
    <cellStyle name="Comma 4 6 3" xfId="1149" xr:uid="{00000000-0005-0000-0000-0000580A0000}"/>
    <cellStyle name="Comma 4 6 3 2" xfId="3380" xr:uid="{00000000-0005-0000-0000-0000590A0000}"/>
    <cellStyle name="Comma 4 6 3 2 2" xfId="7602" xr:uid="{00000000-0005-0000-0000-00005A0A0000}"/>
    <cellStyle name="Comma 4 6 3 2 2 2" xfId="16928" xr:uid="{6FDC1E41-5FDA-4242-938C-C7C0B12C709A}"/>
    <cellStyle name="Comma 4 6 3 2 3" xfId="12711" xr:uid="{6AC85151-9E83-4E02-8F5A-CE41D4C4FB6D}"/>
    <cellStyle name="Comma 4 6 3 3" xfId="5457" xr:uid="{00000000-0005-0000-0000-00005B0A0000}"/>
    <cellStyle name="Comma 4 6 3 3 2" xfId="14783" xr:uid="{2DCDDC5D-D3CD-42D8-A39D-F7461900F37A}"/>
    <cellStyle name="Comma 4 6 3 4" xfId="10566" xr:uid="{260F452E-CF6F-4609-876B-85CE62C13C2F}"/>
    <cellStyle name="Comma 4 6 4" xfId="1563" xr:uid="{00000000-0005-0000-0000-00005C0A0000}"/>
    <cellStyle name="Comma 4 6 4 2" xfId="3793" xr:uid="{00000000-0005-0000-0000-00005D0A0000}"/>
    <cellStyle name="Comma 4 6 4 2 2" xfId="8015" xr:uid="{00000000-0005-0000-0000-00005E0A0000}"/>
    <cellStyle name="Comma 4 6 4 2 2 2" xfId="17341" xr:uid="{9BDC03EF-E1CD-49F4-9C71-7DD86401D467}"/>
    <cellStyle name="Comma 4 6 4 2 3" xfId="13124" xr:uid="{AF93FC7E-979B-4F5F-A501-8904D55EDFFC}"/>
    <cellStyle name="Comma 4 6 4 3" xfId="5870" xr:uid="{00000000-0005-0000-0000-00005F0A0000}"/>
    <cellStyle name="Comma 4 6 4 3 2" xfId="15196" xr:uid="{01BA6FBC-64BD-499F-9072-A282C000D3C4}"/>
    <cellStyle name="Comma 4 6 4 4" xfId="10979" xr:uid="{A9147400-AF90-4B3E-8B3C-D236638222A5}"/>
    <cellStyle name="Comma 4 6 5" xfId="1977" xr:uid="{00000000-0005-0000-0000-0000600A0000}"/>
    <cellStyle name="Comma 4 6 5 2" xfId="4206" xr:uid="{00000000-0005-0000-0000-0000610A0000}"/>
    <cellStyle name="Comma 4 6 5 2 2" xfId="8428" xr:uid="{00000000-0005-0000-0000-0000620A0000}"/>
    <cellStyle name="Comma 4 6 5 2 2 2" xfId="17754" xr:uid="{4709187E-F582-4AEA-AE13-D959D2BB77FD}"/>
    <cellStyle name="Comma 4 6 5 2 3" xfId="13537" xr:uid="{8C88E4E2-EE51-4F60-BBD5-851CDF4F86D5}"/>
    <cellStyle name="Comma 4 6 5 3" xfId="6283" xr:uid="{00000000-0005-0000-0000-0000630A0000}"/>
    <cellStyle name="Comma 4 6 5 3 2" xfId="15609" xr:uid="{C6DD42C7-FF04-43DA-9C99-8D22C00CD9C4}"/>
    <cellStyle name="Comma 4 6 5 4" xfId="11392" xr:uid="{4182AE1B-29C0-4C51-9B8D-D09EA8C622D8}"/>
    <cellStyle name="Comma 4 6 6" xfId="2412" xr:uid="{00000000-0005-0000-0000-0000640A0000}"/>
    <cellStyle name="Comma 4 6 6 2" xfId="6696" xr:uid="{00000000-0005-0000-0000-0000650A0000}"/>
    <cellStyle name="Comma 4 6 6 2 2" xfId="16022" xr:uid="{0F13CEF8-8389-445C-833E-F8E18D6ED088}"/>
    <cellStyle name="Comma 4 6 6 3" xfId="11805" xr:uid="{54DBA676-E2CA-4902-83B4-81E70407FE6A}"/>
    <cellStyle name="Comma 4 6 7" xfId="2708" xr:uid="{00000000-0005-0000-0000-0000660A0000}"/>
    <cellStyle name="Comma 4 6 8" xfId="2790" xr:uid="{00000000-0005-0000-0000-0000670A0000}"/>
    <cellStyle name="Comma 4 6 8 2" xfId="7013" xr:uid="{00000000-0005-0000-0000-0000680A0000}"/>
    <cellStyle name="Comma 4 6 8 2 2" xfId="16339" xr:uid="{42EA16FA-3E3B-433B-B2FB-82873F03791E}"/>
    <cellStyle name="Comma 4 6 8 3" xfId="12122" xr:uid="{1842FA2B-3418-458D-A1A1-D7DCB1C5D0CD}"/>
    <cellStyle name="Comma 4 6 9" xfId="4630" xr:uid="{00000000-0005-0000-0000-0000690A0000}"/>
    <cellStyle name="Comma 4 6 9 2" xfId="13956" xr:uid="{003A61F9-4AF6-4802-9DBD-0A45D9556626}"/>
    <cellStyle name="Comma 4 7" xfId="160" xr:uid="{00000000-0005-0000-0000-00006A0A0000}"/>
    <cellStyle name="Comma 4 7 10" xfId="9168" xr:uid="{C5EF0C72-87BD-43A9-8A23-92F9D9423F50}"/>
    <cellStyle name="Comma 4 7 10 2" xfId="18486" xr:uid="{B29FCD3E-8C61-4462-97C6-6B3C6C84C6D0}"/>
    <cellStyle name="Comma 4 7 11" xfId="9740" xr:uid="{22325198-5F32-457F-ABC3-9A6A1BBD88A2}"/>
    <cellStyle name="Comma 4 7 2" xfId="697" xr:uid="{00000000-0005-0000-0000-00006B0A0000}"/>
    <cellStyle name="Comma 4 7 2 2" xfId="2968" xr:uid="{00000000-0005-0000-0000-00006C0A0000}"/>
    <cellStyle name="Comma 4 7 2 2 2" xfId="7190" xr:uid="{00000000-0005-0000-0000-00006D0A0000}"/>
    <cellStyle name="Comma 4 7 2 2 2 2" xfId="16516" xr:uid="{15D15A42-F580-4221-ADF9-656D2131B02A}"/>
    <cellStyle name="Comma 4 7 2 2 3" xfId="12299" xr:uid="{4EE97488-1E54-4B0A-8C19-329864CCF4B7}"/>
    <cellStyle name="Comma 4 7 2 3" xfId="5045" xr:uid="{00000000-0005-0000-0000-00006E0A0000}"/>
    <cellStyle name="Comma 4 7 2 3 2" xfId="14371" xr:uid="{CA16E294-14AA-4BD4-9726-071A73257FED}"/>
    <cellStyle name="Comma 4 7 2 4" xfId="9596" xr:uid="{F4A1C070-02C1-4F2A-89F2-15465D9BEBB2}"/>
    <cellStyle name="Comma 4 7 2 4 2" xfId="18900" xr:uid="{3B35154A-A569-4692-A21B-BA4AADF8D756}"/>
    <cellStyle name="Comma 4 7 2 5" xfId="10154" xr:uid="{31767CA6-FDAE-404B-8BFA-A477B7F95C97}"/>
    <cellStyle name="Comma 4 7 3" xfId="1150" xr:uid="{00000000-0005-0000-0000-00006F0A0000}"/>
    <cellStyle name="Comma 4 7 3 2" xfId="3381" xr:uid="{00000000-0005-0000-0000-0000700A0000}"/>
    <cellStyle name="Comma 4 7 3 2 2" xfId="7603" xr:uid="{00000000-0005-0000-0000-0000710A0000}"/>
    <cellStyle name="Comma 4 7 3 2 2 2" xfId="16929" xr:uid="{ED91D131-0120-4CDF-A976-9F14CED6EC7C}"/>
    <cellStyle name="Comma 4 7 3 2 3" xfId="12712" xr:uid="{C95F7755-08A1-42C8-8613-C337D401E806}"/>
    <cellStyle name="Comma 4 7 3 3" xfId="5458" xr:uid="{00000000-0005-0000-0000-0000720A0000}"/>
    <cellStyle name="Comma 4 7 3 3 2" xfId="14784" xr:uid="{27527330-868E-4A4B-98D1-AB4C1BA34FA7}"/>
    <cellStyle name="Comma 4 7 3 4" xfId="10567" xr:uid="{3AD9266D-E48E-4058-80AD-0A4B06DAB90A}"/>
    <cellStyle name="Comma 4 7 4" xfId="1564" xr:uid="{00000000-0005-0000-0000-0000730A0000}"/>
    <cellStyle name="Comma 4 7 4 2" xfId="3794" xr:uid="{00000000-0005-0000-0000-0000740A0000}"/>
    <cellStyle name="Comma 4 7 4 2 2" xfId="8016" xr:uid="{00000000-0005-0000-0000-0000750A0000}"/>
    <cellStyle name="Comma 4 7 4 2 2 2" xfId="17342" xr:uid="{81A49416-4264-4E5C-A1EF-D5EF39402CD9}"/>
    <cellStyle name="Comma 4 7 4 2 3" xfId="13125" xr:uid="{910AD6AC-9F01-4D6D-AC6E-BF4D1758FD37}"/>
    <cellStyle name="Comma 4 7 4 3" xfId="5871" xr:uid="{00000000-0005-0000-0000-0000760A0000}"/>
    <cellStyle name="Comma 4 7 4 3 2" xfId="15197" xr:uid="{046DC9CD-78EE-427F-B97E-65A4E0C3B8F2}"/>
    <cellStyle name="Comma 4 7 4 4" xfId="10980" xr:uid="{8246C4DB-10D3-485F-866D-B86680AE4BD2}"/>
    <cellStyle name="Comma 4 7 5" xfId="1978" xr:uid="{00000000-0005-0000-0000-0000770A0000}"/>
    <cellStyle name="Comma 4 7 5 2" xfId="4207" xr:uid="{00000000-0005-0000-0000-0000780A0000}"/>
    <cellStyle name="Comma 4 7 5 2 2" xfId="8429" xr:uid="{00000000-0005-0000-0000-0000790A0000}"/>
    <cellStyle name="Comma 4 7 5 2 2 2" xfId="17755" xr:uid="{DC4632C7-BF30-4B82-9538-67BEA70F1C52}"/>
    <cellStyle name="Comma 4 7 5 2 3" xfId="13538" xr:uid="{1F322D89-14B2-4674-96BC-63340F281E38}"/>
    <cellStyle name="Comma 4 7 5 3" xfId="6284" xr:uid="{00000000-0005-0000-0000-00007A0A0000}"/>
    <cellStyle name="Comma 4 7 5 3 2" xfId="15610" xr:uid="{7D272497-3FE6-4534-8B88-43A489328758}"/>
    <cellStyle name="Comma 4 7 5 4" xfId="11393" xr:uid="{0B41B007-A966-4333-9C5E-4C50A29921D5}"/>
    <cellStyle name="Comma 4 7 6" xfId="2413" xr:uid="{00000000-0005-0000-0000-00007B0A0000}"/>
    <cellStyle name="Comma 4 7 6 2" xfId="6697" xr:uid="{00000000-0005-0000-0000-00007C0A0000}"/>
    <cellStyle name="Comma 4 7 6 2 2" xfId="16023" xr:uid="{6520AA40-F101-4683-954B-BF6EAA8ADB12}"/>
    <cellStyle name="Comma 4 7 6 3" xfId="11806" xr:uid="{2EB91CE5-7E50-4AF2-A51C-3F3C71380EFF}"/>
    <cellStyle name="Comma 4 7 7" xfId="2709" xr:uid="{00000000-0005-0000-0000-00007D0A0000}"/>
    <cellStyle name="Comma 4 7 8" xfId="2791" xr:uid="{00000000-0005-0000-0000-00007E0A0000}"/>
    <cellStyle name="Comma 4 7 8 2" xfId="7014" xr:uid="{00000000-0005-0000-0000-00007F0A0000}"/>
    <cellStyle name="Comma 4 7 8 2 2" xfId="16340" xr:uid="{D29E6E49-088E-46EE-A99A-B3900273EBB7}"/>
    <cellStyle name="Comma 4 7 8 3" xfId="12123" xr:uid="{7C1508B3-B68C-41EF-A4BE-F3C3BFB0DA75}"/>
    <cellStyle name="Comma 4 7 9" xfId="4631" xr:uid="{00000000-0005-0000-0000-0000800A0000}"/>
    <cellStyle name="Comma 4 7 9 2" xfId="13957" xr:uid="{B55E7960-6017-4607-B9D2-CC75AFE44F03}"/>
    <cellStyle name="Comma 4 8" xfId="9193" xr:uid="{D2F7B7D5-1187-4B94-96D8-1D61B28E4E34}"/>
    <cellStyle name="Comma 4 9" xfId="8746" xr:uid="{EB6F8E1D-15EE-4A1C-A7FF-36C2A43F5A26}"/>
    <cellStyle name="Comma 4 9 2" xfId="18070" xr:uid="{E90AD033-AC7F-4102-84CB-2535AF9A584F}"/>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2 2" xfId="18895" xr:uid="{C638C215-9FF6-4A36-8E00-1A961E766147}"/>
    <cellStyle name="Comma 7 3" xfId="9589" xr:uid="{E5FB568C-33F4-49EE-BE6E-4022B43BCBB9}"/>
    <cellStyle name="Comma 7 4" xfId="13825" xr:uid="{984F5626-2E4A-4A17-BCAF-970A2806D974}"/>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00D496FC-11FF-41BD-9893-E5913236C34A}"/>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2 2" xfId="18061" xr:uid="{078179DD-5147-4F09-B9A8-86E161691CE0}"/>
    <cellStyle name="Currency 14 3 2 2 2 2 3" xfId="18058" xr:uid="{3403F7B6-24A6-41CC-BADA-BFA9EEBE455B}"/>
    <cellStyle name="Currency 14 3 2 2 2 3" xfId="18055" xr:uid="{732A5018-EDE2-4CB9-B614-0AB459374C07}"/>
    <cellStyle name="Currency 14 3 2 2 3" xfId="18051" xr:uid="{0E5F00BD-3A8B-4EB9-A41B-2A19341BD4CB}"/>
    <cellStyle name="Currency 14 3 2 3" xfId="18048" xr:uid="{02121E5C-D690-449C-B231-B42BE7564178}"/>
    <cellStyle name="Currency 14 3 3" xfId="18045" xr:uid="{3DB9B848-6930-475F-8F25-6061309816F5}"/>
    <cellStyle name="Currency 14 4" xfId="13828" xr:uid="{DBB27368-B050-4F0C-B354-C41E97017106}"/>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BEAD738C-51B2-44AD-8715-D4215505B9AC}"/>
    <cellStyle name="Currency 3 2 2 10 3" xfId="12124" xr:uid="{91A41D0E-4C62-47CC-86F0-65F3AE2BD076}"/>
    <cellStyle name="Currency 3 2 2 11" xfId="4632" xr:uid="{00000000-0005-0000-0000-0000A50A0000}"/>
    <cellStyle name="Currency 3 2 2 11 2" xfId="13958" xr:uid="{29C56438-6DB5-4AA2-AFBE-89AAEBF56700}"/>
    <cellStyle name="Currency 3 2 2 12" xfId="8808" xr:uid="{5CD24693-181E-456A-9199-DC057509AC96}"/>
    <cellStyle name="Currency 3 2 2 12 2" xfId="18132" xr:uid="{9196D977-7545-4CAD-85EF-8AA6C567986B}"/>
    <cellStyle name="Currency 3 2 2 13" xfId="9741" xr:uid="{A5547547-60CD-430B-ABEF-E386B2F8D58E}"/>
    <cellStyle name="Currency 3 2 2 2" xfId="179" xr:uid="{00000000-0005-0000-0000-0000A60A0000}"/>
    <cellStyle name="Currency 3 2 2 2 10" xfId="4633" xr:uid="{00000000-0005-0000-0000-0000A70A0000}"/>
    <cellStyle name="Currency 3 2 2 2 10 2" xfId="13959" xr:uid="{9BA0FD8F-D5A0-40AD-82CC-C7402DD38C43}"/>
    <cellStyle name="Currency 3 2 2 2 11" xfId="8911" xr:uid="{177A45F7-B130-49DA-829A-AA3BF41B848C}"/>
    <cellStyle name="Currency 3 2 2 2 11 2" xfId="18235" xr:uid="{497AB682-BFB2-4C95-B02D-15DCCD36615C}"/>
    <cellStyle name="Currency 3 2 2 2 12" xfId="9742" xr:uid="{0516D274-E366-4CA5-9C84-8CE609127943}"/>
    <cellStyle name="Currency 3 2 2 2 2" xfId="180" xr:uid="{00000000-0005-0000-0000-0000A80A0000}"/>
    <cellStyle name="Currency 3 2 2 2 2 10" xfId="9118" xr:uid="{4DDBDF88-B997-49F5-AF34-322CC93508E5}"/>
    <cellStyle name="Currency 3 2 2 2 2 10 2" xfId="18442" xr:uid="{68A2E9A2-DD4F-4DEF-A5D2-D5A5D599D350}"/>
    <cellStyle name="Currency 3 2 2 2 2 11" xfId="9743" xr:uid="{4F76BEA1-6C7D-4589-A6C3-05E957AED78A}"/>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810D4F53-0403-4255-9B42-74330FAD65A0}"/>
    <cellStyle name="Currency 3 2 2 2 2 2 2 3" xfId="12302" xr:uid="{5EAC98F4-54E5-4110-B514-14D79BB7A3C4}"/>
    <cellStyle name="Currency 3 2 2 2 2 2 3" xfId="5048" xr:uid="{00000000-0005-0000-0000-0000AC0A0000}"/>
    <cellStyle name="Currency 3 2 2 2 2 2 3 2" xfId="14374" xr:uid="{B53EB2F4-D762-4573-8597-1CBC1092F709}"/>
    <cellStyle name="Currency 3 2 2 2 2 2 4" xfId="9543" xr:uid="{08990697-BAC1-4B06-A86B-C554A35267E6}"/>
    <cellStyle name="Currency 3 2 2 2 2 2 4 2" xfId="18858" xr:uid="{CB8CBD15-B150-4A0C-9B28-919EA7E1D4C9}"/>
    <cellStyle name="Currency 3 2 2 2 2 2 5" xfId="10157" xr:uid="{D5B6E2BB-F994-48E4-BB4D-A9045B41E58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A6BA9166-6660-4367-83AF-912758D23F4E}"/>
    <cellStyle name="Currency 3 2 2 2 2 3 2 3" xfId="12715" xr:uid="{79D37FFB-43E2-41E8-B448-2CC54CB80E17}"/>
    <cellStyle name="Currency 3 2 2 2 2 3 3" xfId="5461" xr:uid="{00000000-0005-0000-0000-0000B00A0000}"/>
    <cellStyle name="Currency 3 2 2 2 2 3 3 2" xfId="14787" xr:uid="{B331AE17-8B96-429C-8881-54224E491741}"/>
    <cellStyle name="Currency 3 2 2 2 2 3 4" xfId="10570" xr:uid="{93660BDE-1365-496E-AB9D-89FD3720BD32}"/>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B3FC989A-5397-46F1-84B0-4D7C5E9EED96}"/>
    <cellStyle name="Currency 3 2 2 2 2 4 2 3" xfId="13128" xr:uid="{95E62068-8893-4AB2-8F18-4FEC1C05F0C0}"/>
    <cellStyle name="Currency 3 2 2 2 2 4 3" xfId="5874" xr:uid="{00000000-0005-0000-0000-0000B40A0000}"/>
    <cellStyle name="Currency 3 2 2 2 2 4 3 2" xfId="15200" xr:uid="{E71763A9-0C40-427A-91CE-32BECA6B5D36}"/>
    <cellStyle name="Currency 3 2 2 2 2 4 4" xfId="10983" xr:uid="{77C7B2B9-35AD-4C6C-8C36-51EFB5BFB20F}"/>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7A298F4E-CC79-442B-B252-45DCFA622A5D}"/>
    <cellStyle name="Currency 3 2 2 2 2 5 2 3" xfId="13541" xr:uid="{17BC1785-FAA1-4F08-9D1F-39CAEB39029D}"/>
    <cellStyle name="Currency 3 2 2 2 2 5 3" xfId="6287" xr:uid="{00000000-0005-0000-0000-0000B80A0000}"/>
    <cellStyle name="Currency 3 2 2 2 2 5 3 2" xfId="15613" xr:uid="{25207D8B-7C31-4879-BDA9-63EE085229B4}"/>
    <cellStyle name="Currency 3 2 2 2 2 5 4" xfId="11396" xr:uid="{190E6D1A-7621-480B-A1EB-2C8B31B83ED3}"/>
    <cellStyle name="Currency 3 2 2 2 2 6" xfId="2416" xr:uid="{00000000-0005-0000-0000-0000B90A0000}"/>
    <cellStyle name="Currency 3 2 2 2 2 6 2" xfId="6700" xr:uid="{00000000-0005-0000-0000-0000BA0A0000}"/>
    <cellStyle name="Currency 3 2 2 2 2 6 2 2" xfId="16026" xr:uid="{CEBA97B4-08AC-4EE7-9F67-E946BEF211E2}"/>
    <cellStyle name="Currency 3 2 2 2 2 6 3" xfId="11809" xr:uid="{5E105D1D-BEE9-4B2A-8F70-660C4ED906C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FF30AD87-8DEA-4AF8-8DC1-928ECA403C34}"/>
    <cellStyle name="Currency 3 2 2 2 2 8 3" xfId="12126" xr:uid="{7FC2ECF3-553E-469E-81D0-3D6C15B6932A}"/>
    <cellStyle name="Currency 3 2 2 2 2 9" xfId="4634" xr:uid="{00000000-0005-0000-0000-0000BE0A0000}"/>
    <cellStyle name="Currency 3 2 2 2 2 9 2" xfId="13960" xr:uid="{7066DF76-CE88-4B4B-A86D-FE596DCBD248}"/>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159706CD-05AB-4AEB-8017-E6DCEBB7595A}"/>
    <cellStyle name="Currency 3 2 2 2 3 2 3" xfId="12301" xr:uid="{44DB3085-D799-4CBC-8825-58D00E9B95CB}"/>
    <cellStyle name="Currency 3 2 2 2 3 3" xfId="5047" xr:uid="{00000000-0005-0000-0000-0000C20A0000}"/>
    <cellStyle name="Currency 3 2 2 2 3 3 2" xfId="14373" xr:uid="{AB599926-2E18-4DDA-A6FA-C9FE8F6B406A}"/>
    <cellStyle name="Currency 3 2 2 2 3 4" xfId="9336" xr:uid="{F86D5454-A503-484B-B8F3-81FF219E49D0}"/>
    <cellStyle name="Currency 3 2 2 2 3 4 2" xfId="18651" xr:uid="{04C6D296-321F-4BF1-BA48-E30C05FFCAE4}"/>
    <cellStyle name="Currency 3 2 2 2 3 5" xfId="10156" xr:uid="{368F8FAE-F9E8-48C2-B031-CBB82BF6C61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ED5BE42B-82E8-4D92-99DC-07B739F73F53}"/>
    <cellStyle name="Currency 3 2 2 2 4 2 3" xfId="12714" xr:uid="{DFB6CBB3-627C-466A-8063-C1F6083D765E}"/>
    <cellStyle name="Currency 3 2 2 2 4 3" xfId="5460" xr:uid="{00000000-0005-0000-0000-0000C60A0000}"/>
    <cellStyle name="Currency 3 2 2 2 4 3 2" xfId="14786" xr:uid="{7437383F-C2B0-4764-9B80-38DE3991A3EB}"/>
    <cellStyle name="Currency 3 2 2 2 4 4" xfId="10569" xr:uid="{E435B97B-31AA-4DCD-ADB4-39310F40D506}"/>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C8A32083-4829-4B58-B62F-1D80098FAE60}"/>
    <cellStyle name="Currency 3 2 2 2 5 2 3" xfId="13127" xr:uid="{A42C802E-32AE-44E4-A006-660962CC51E3}"/>
    <cellStyle name="Currency 3 2 2 2 5 3" xfId="5873" xr:uid="{00000000-0005-0000-0000-0000CA0A0000}"/>
    <cellStyle name="Currency 3 2 2 2 5 3 2" xfId="15199" xr:uid="{796DB566-823F-4331-94E0-12B1D9C77463}"/>
    <cellStyle name="Currency 3 2 2 2 5 4" xfId="10982" xr:uid="{161D72B3-7FA1-4EA9-B417-EAAEE13BD7FF}"/>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29B7F29A-4748-40F4-B4C9-BE2729817106}"/>
    <cellStyle name="Currency 3 2 2 2 6 2 3" xfId="13540" xr:uid="{0391477C-21E0-490C-AE5E-7F2C3405FBC1}"/>
    <cellStyle name="Currency 3 2 2 2 6 3" xfId="6286" xr:uid="{00000000-0005-0000-0000-0000CE0A0000}"/>
    <cellStyle name="Currency 3 2 2 2 6 3 2" xfId="15612" xr:uid="{76A0BA49-4A57-4D57-8233-89994C75652D}"/>
    <cellStyle name="Currency 3 2 2 2 6 4" xfId="11395" xr:uid="{444F7A9F-8408-4281-B89C-CC3788C50A58}"/>
    <cellStyle name="Currency 3 2 2 2 7" xfId="2415" xr:uid="{00000000-0005-0000-0000-0000CF0A0000}"/>
    <cellStyle name="Currency 3 2 2 2 7 2" xfId="6699" xr:uid="{00000000-0005-0000-0000-0000D00A0000}"/>
    <cellStyle name="Currency 3 2 2 2 7 2 2" xfId="16025" xr:uid="{25221D7A-7F20-45A7-AA37-9101D54F9F58}"/>
    <cellStyle name="Currency 3 2 2 2 7 3" xfId="11808" xr:uid="{7ABA6F55-6F26-49E7-A4D6-C988DDA4DD16}"/>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4CAE89E3-7E92-45C6-B5AF-015D04927858}"/>
    <cellStyle name="Currency 3 2 2 2 9 3" xfId="12125" xr:uid="{7ABF98FA-4460-4648-A892-310A56D7477C}"/>
    <cellStyle name="Currency 3 2 2 3" xfId="181" xr:uid="{00000000-0005-0000-0000-0000D40A0000}"/>
    <cellStyle name="Currency 3 2 2 3 10" xfId="9015" xr:uid="{A1C3FAFC-6FB9-45C5-A279-C90E61794A63}"/>
    <cellStyle name="Currency 3 2 2 3 10 2" xfId="18339" xr:uid="{6B936738-2588-4DDE-B1F2-8A9E5057EB19}"/>
    <cellStyle name="Currency 3 2 2 3 11" xfId="9744" xr:uid="{006CFFA5-A375-44D3-82F1-6ADDC46CE64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97126BC9-442C-4B2A-AFC9-B62D2045A1B8}"/>
    <cellStyle name="Currency 3 2 2 3 2 2 3" xfId="12303" xr:uid="{C5C4CD38-8614-4CFD-B4E1-EA52DC1C4C13}"/>
    <cellStyle name="Currency 3 2 2 3 2 3" xfId="5049" xr:uid="{00000000-0005-0000-0000-0000D80A0000}"/>
    <cellStyle name="Currency 3 2 2 3 2 3 2" xfId="14375" xr:uid="{CE42E8D6-A20E-4B29-B8ED-248124F5AACE}"/>
    <cellStyle name="Currency 3 2 2 3 2 4" xfId="9440" xr:uid="{774D5512-BCA5-4224-A909-3336A63369C8}"/>
    <cellStyle name="Currency 3 2 2 3 2 4 2" xfId="18755" xr:uid="{C0923550-6AF1-4E4B-A751-2523B19E87CD}"/>
    <cellStyle name="Currency 3 2 2 3 2 5" xfId="10158" xr:uid="{EA045B88-F6CE-4E0C-9299-5B6371D9C363}"/>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D90E80C0-4E9F-4031-8822-C27A6CF0AD69}"/>
    <cellStyle name="Currency 3 2 2 3 3 2 3" xfId="12716" xr:uid="{E0B5D3D5-2365-44C8-8CC3-E694E608E14F}"/>
    <cellStyle name="Currency 3 2 2 3 3 3" xfId="5462" xr:uid="{00000000-0005-0000-0000-0000DC0A0000}"/>
    <cellStyle name="Currency 3 2 2 3 3 3 2" xfId="14788" xr:uid="{48C3A98C-86DC-4C9C-A7C7-7B090E955C48}"/>
    <cellStyle name="Currency 3 2 2 3 3 4" xfId="10571" xr:uid="{D847A470-ED59-406B-8233-4679F107C8D2}"/>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BB120D99-664E-4824-85A7-9AEE05F8DD0C}"/>
    <cellStyle name="Currency 3 2 2 3 4 2 3" xfId="13129" xr:uid="{953FD526-7DFD-4507-BCF1-E2C39A97C28A}"/>
    <cellStyle name="Currency 3 2 2 3 4 3" xfId="5875" xr:uid="{00000000-0005-0000-0000-0000E00A0000}"/>
    <cellStyle name="Currency 3 2 2 3 4 3 2" xfId="15201" xr:uid="{B8C0DF3E-48CE-4A28-A9CB-6CCCBA184CCE}"/>
    <cellStyle name="Currency 3 2 2 3 4 4" xfId="10984" xr:uid="{FCFDCEEB-824A-4962-B329-8B38358446B7}"/>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8FEC4288-287D-48B0-8743-2EDFD878CEA4}"/>
    <cellStyle name="Currency 3 2 2 3 5 2 3" xfId="13542" xr:uid="{D8994BD0-D0A5-4DD4-A468-6D80EE31CFC6}"/>
    <cellStyle name="Currency 3 2 2 3 5 3" xfId="6288" xr:uid="{00000000-0005-0000-0000-0000E40A0000}"/>
    <cellStyle name="Currency 3 2 2 3 5 3 2" xfId="15614" xr:uid="{F8F0AB0F-CE7C-450D-B408-909D8A6F7D20}"/>
    <cellStyle name="Currency 3 2 2 3 5 4" xfId="11397" xr:uid="{0C280547-DAC6-49DF-AD0D-A42EF6E052ED}"/>
    <cellStyle name="Currency 3 2 2 3 6" xfId="2417" xr:uid="{00000000-0005-0000-0000-0000E50A0000}"/>
    <cellStyle name="Currency 3 2 2 3 6 2" xfId="6701" xr:uid="{00000000-0005-0000-0000-0000E60A0000}"/>
    <cellStyle name="Currency 3 2 2 3 6 2 2" xfId="16027" xr:uid="{2260783A-7AAB-4CCB-81BB-1E32F4531596}"/>
    <cellStyle name="Currency 3 2 2 3 6 3" xfId="11810" xr:uid="{A294A73B-89E6-41C8-949D-C7E0A25CD524}"/>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F5B5863F-FDC2-4246-B0D5-A76A97C52103}"/>
    <cellStyle name="Currency 3 2 2 3 8 3" xfId="12127" xr:uid="{81C5264D-577E-47EF-9F05-66CF9EDA6994}"/>
    <cellStyle name="Currency 3 2 2 3 9" xfId="4635" xr:uid="{00000000-0005-0000-0000-0000EA0A0000}"/>
    <cellStyle name="Currency 3 2 2 3 9 2" xfId="13961" xr:uid="{345DB587-5A16-45F6-B32A-EA1630F2CB12}"/>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7DE5CFE2-89F2-4A6B-A795-C3BDBF60E079}"/>
    <cellStyle name="Currency 3 2 2 4 2 3" xfId="12300" xr:uid="{436E5F14-6D41-4BB2-A269-A763FF8A4B0A}"/>
    <cellStyle name="Currency 3 2 2 4 3" xfId="5046" xr:uid="{00000000-0005-0000-0000-0000EE0A0000}"/>
    <cellStyle name="Currency 3 2 2 4 3 2" xfId="14372" xr:uid="{1304FA08-9428-420D-AC23-3FE0FF363A17}"/>
    <cellStyle name="Currency 3 2 2 4 4" xfId="9233" xr:uid="{A90843BF-65B1-48E5-9C93-A2651D7B4B13}"/>
    <cellStyle name="Currency 3 2 2 4 4 2" xfId="18548" xr:uid="{CBE18846-E66D-49B8-9785-6AA26CC8F778}"/>
    <cellStyle name="Currency 3 2 2 4 5" xfId="10155" xr:uid="{EB5BAF1D-23D7-4262-945B-8E39BF4346BE}"/>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67BB627A-631E-4562-91E7-F7587747DAE8}"/>
    <cellStyle name="Currency 3 2 2 5 2 3" xfId="12713" xr:uid="{579BC8EE-792B-475C-863F-49B8485847A7}"/>
    <cellStyle name="Currency 3 2 2 5 3" xfId="5459" xr:uid="{00000000-0005-0000-0000-0000F20A0000}"/>
    <cellStyle name="Currency 3 2 2 5 3 2" xfId="14785" xr:uid="{8E8F88BF-E93B-4970-8462-176EB66A2AC0}"/>
    <cellStyle name="Currency 3 2 2 5 4" xfId="10568" xr:uid="{24F4A55C-2962-4E9E-BE2D-E92FE6CAA150}"/>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410FBA4C-5D4D-46E7-9C50-7C4C8632E4A5}"/>
    <cellStyle name="Currency 3 2 2 6 2 3" xfId="13126" xr:uid="{8B360C74-654A-4C8A-B985-9708861EA060}"/>
    <cellStyle name="Currency 3 2 2 6 3" xfId="5872" xr:uid="{00000000-0005-0000-0000-0000F60A0000}"/>
    <cellStyle name="Currency 3 2 2 6 3 2" xfId="15198" xr:uid="{4AB38886-129F-4C04-84F7-4C9BE0B85E8A}"/>
    <cellStyle name="Currency 3 2 2 6 4" xfId="10981" xr:uid="{E73D6B7C-01B1-4638-8A6E-D8B92A32CF4A}"/>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9999995D-26D2-493B-8C64-D4B2832A5AD5}"/>
    <cellStyle name="Currency 3 2 2 7 2 3" xfId="13539" xr:uid="{396FA273-CD00-4DDE-9D4F-9140C71D232B}"/>
    <cellStyle name="Currency 3 2 2 7 3" xfId="6285" xr:uid="{00000000-0005-0000-0000-0000FA0A0000}"/>
    <cellStyle name="Currency 3 2 2 7 3 2" xfId="15611" xr:uid="{64AC1E1B-156E-47C3-A60B-49517BC74645}"/>
    <cellStyle name="Currency 3 2 2 7 4" xfId="11394" xr:uid="{F9771567-7398-4E45-BF4B-D06CC3D7D81A}"/>
    <cellStyle name="Currency 3 2 2 8" xfId="2414" xr:uid="{00000000-0005-0000-0000-0000FB0A0000}"/>
    <cellStyle name="Currency 3 2 2 8 2" xfId="6698" xr:uid="{00000000-0005-0000-0000-0000FC0A0000}"/>
    <cellStyle name="Currency 3 2 2 8 2 2" xfId="16024" xr:uid="{77619C12-C3A8-4CFC-9EDE-FC3518EF1888}"/>
    <cellStyle name="Currency 3 2 2 8 3" xfId="11807" xr:uid="{4649F788-673E-4B75-8246-E4857478ED28}"/>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F3925A7B-BB4C-431F-B160-2AE64C9B6713}"/>
    <cellStyle name="Currency 3 2 3 11" xfId="8893" xr:uid="{8CE28714-D587-402C-9A17-1A08799662D4}"/>
    <cellStyle name="Currency 3 2 3 11 2" xfId="18217" xr:uid="{7B1DF7D8-A2C7-4495-BF66-281CEEA95146}"/>
    <cellStyle name="Currency 3 2 3 12" xfId="9745" xr:uid="{498836ED-C447-4AE7-A57B-5C0020FEE976}"/>
    <cellStyle name="Currency 3 2 3 2" xfId="183" xr:uid="{00000000-0005-0000-0000-0000000B0000}"/>
    <cellStyle name="Currency 3 2 3 2 10" xfId="9100" xr:uid="{CEBE1F40-0923-46C6-AB84-DD4DAB20CD81}"/>
    <cellStyle name="Currency 3 2 3 2 10 2" xfId="18424" xr:uid="{FD9E8D2C-57AD-4887-952B-141E848ADA0A}"/>
    <cellStyle name="Currency 3 2 3 2 11" xfId="9746" xr:uid="{A91B9315-C80D-4789-BA55-F54DBA05730C}"/>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4555DD22-2AE3-4793-A5B2-C90EA96AF3EE}"/>
    <cellStyle name="Currency 3 2 3 2 2 2 3" xfId="12305" xr:uid="{D6091584-462D-4252-9ACF-861334C4A926}"/>
    <cellStyle name="Currency 3 2 3 2 2 3" xfId="5051" xr:uid="{00000000-0005-0000-0000-0000040B0000}"/>
    <cellStyle name="Currency 3 2 3 2 2 3 2" xfId="14377" xr:uid="{EFD16292-23A8-4D55-884B-A1703C761C54}"/>
    <cellStyle name="Currency 3 2 3 2 2 4" xfId="9525" xr:uid="{759374BA-DDD8-4F33-9655-B300986F8700}"/>
    <cellStyle name="Currency 3 2 3 2 2 4 2" xfId="18840" xr:uid="{9D358C4D-A7CB-45BA-B0D5-5975B3268C4C}"/>
    <cellStyle name="Currency 3 2 3 2 2 5" xfId="10160" xr:uid="{D024B0F2-23CA-41C6-A1F1-A4041B61AD81}"/>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0BA5A638-B689-4ECC-80FE-CDFFE79DE44B}"/>
    <cellStyle name="Currency 3 2 3 2 3 2 3" xfId="12718" xr:uid="{C12D5ED5-5637-4716-84B3-DBD4F7544083}"/>
    <cellStyle name="Currency 3 2 3 2 3 3" xfId="5464" xr:uid="{00000000-0005-0000-0000-0000080B0000}"/>
    <cellStyle name="Currency 3 2 3 2 3 3 2" xfId="14790" xr:uid="{B05BA24C-751C-4AF5-A764-146A173F1494}"/>
    <cellStyle name="Currency 3 2 3 2 3 4" xfId="10573" xr:uid="{745AB838-0659-4145-AC55-F5FAAE2978FC}"/>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65D3D0B2-6998-44C1-8A0E-890FDFFC19B6}"/>
    <cellStyle name="Currency 3 2 3 2 4 2 3" xfId="13131" xr:uid="{5BEE5F67-B86C-4858-8107-212D8FA47090}"/>
    <cellStyle name="Currency 3 2 3 2 4 3" xfId="5877" xr:uid="{00000000-0005-0000-0000-00000C0B0000}"/>
    <cellStyle name="Currency 3 2 3 2 4 3 2" xfId="15203" xr:uid="{BDED4997-A08B-4B1F-BAD5-CA07FE2D2834}"/>
    <cellStyle name="Currency 3 2 3 2 4 4" xfId="10986" xr:uid="{B3242AE3-478A-4D60-B9CA-13C18575BF9A}"/>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44934121-44F4-42D0-9813-0EE12FD2179C}"/>
    <cellStyle name="Currency 3 2 3 2 5 2 3" xfId="13544" xr:uid="{D86AE8AD-3E86-4397-B7DB-FECBDF5BF9B1}"/>
    <cellStyle name="Currency 3 2 3 2 5 3" xfId="6290" xr:uid="{00000000-0005-0000-0000-0000100B0000}"/>
    <cellStyle name="Currency 3 2 3 2 5 3 2" xfId="15616" xr:uid="{37B098DD-E8E6-48DE-9F74-DF924369B215}"/>
    <cellStyle name="Currency 3 2 3 2 5 4" xfId="11399" xr:uid="{6FE5E2AF-2ACE-4428-B446-C36FDEC9AE26}"/>
    <cellStyle name="Currency 3 2 3 2 6" xfId="2419" xr:uid="{00000000-0005-0000-0000-0000110B0000}"/>
    <cellStyle name="Currency 3 2 3 2 6 2" xfId="6703" xr:uid="{00000000-0005-0000-0000-0000120B0000}"/>
    <cellStyle name="Currency 3 2 3 2 6 2 2" xfId="16029" xr:uid="{7D9045C4-5031-49D1-A19A-9A3F6B5A6149}"/>
    <cellStyle name="Currency 3 2 3 2 6 3" xfId="11812" xr:uid="{7239BD11-2020-4273-8388-B60358D63A39}"/>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F222A150-1791-4A37-9A2C-6D4E4BFD2932}"/>
    <cellStyle name="Currency 3 2 3 2 8 3" xfId="12129" xr:uid="{C00F6D6D-88B9-4EEB-A885-8FAC59C58E3F}"/>
    <cellStyle name="Currency 3 2 3 2 9" xfId="4637" xr:uid="{00000000-0005-0000-0000-0000160B0000}"/>
    <cellStyle name="Currency 3 2 3 2 9 2" xfId="13963" xr:uid="{EFFCC5FB-2CF9-4FDF-AFEF-33E5CAEA6A3A}"/>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D5587066-8591-4DB1-B5A2-CE8878FE9E7C}"/>
    <cellStyle name="Currency 3 2 3 3 2 3" xfId="12304" xr:uid="{0A347A14-67DE-4AF7-9D71-0AFE38A5DE24}"/>
    <cellStyle name="Currency 3 2 3 3 3" xfId="5050" xr:uid="{00000000-0005-0000-0000-00001A0B0000}"/>
    <cellStyle name="Currency 3 2 3 3 3 2" xfId="14376" xr:uid="{1A69E793-229D-4C17-8E90-69047C4DCE15}"/>
    <cellStyle name="Currency 3 2 3 3 4" xfId="9318" xr:uid="{AA73873E-8E72-4FDE-A22E-F5D80E2A87B1}"/>
    <cellStyle name="Currency 3 2 3 3 4 2" xfId="18633" xr:uid="{D94DFA49-8F5A-4DC1-A222-1F53925251D8}"/>
    <cellStyle name="Currency 3 2 3 3 5" xfId="10159" xr:uid="{540DECA8-E137-488A-99C0-E2D2C82BA2F7}"/>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2DDE258D-095D-47F8-BADA-10B6F1D5290F}"/>
    <cellStyle name="Currency 3 2 3 4 2 3" xfId="12717" xr:uid="{D5A80F7F-27C2-423F-B947-70CB52024523}"/>
    <cellStyle name="Currency 3 2 3 4 3" xfId="5463" xr:uid="{00000000-0005-0000-0000-00001E0B0000}"/>
    <cellStyle name="Currency 3 2 3 4 3 2" xfId="14789" xr:uid="{B6BDF038-888F-4AAA-BC0F-4C4D749396C9}"/>
    <cellStyle name="Currency 3 2 3 4 4" xfId="10572" xr:uid="{7776821F-1F5E-45E7-9159-7E5BA3CC6959}"/>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B53379AF-D48A-4929-9735-48F11CCDD960}"/>
    <cellStyle name="Currency 3 2 3 5 2 3" xfId="13130" xr:uid="{6253FE59-274A-4383-ABA4-5E77EF865185}"/>
    <cellStyle name="Currency 3 2 3 5 3" xfId="5876" xr:uid="{00000000-0005-0000-0000-0000220B0000}"/>
    <cellStyle name="Currency 3 2 3 5 3 2" xfId="15202" xr:uid="{5B885A55-CC44-48ED-881A-DDB0573F0EE3}"/>
    <cellStyle name="Currency 3 2 3 5 4" xfId="10985" xr:uid="{5BD0DBF2-CC5C-4F3F-983B-54F947A3E9B2}"/>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3C335408-5850-430A-A8EE-26EFC2B78F69}"/>
    <cellStyle name="Currency 3 2 3 6 2 3" xfId="13543" xr:uid="{315E018C-49DD-40C4-BE76-A00F4B63C8E9}"/>
    <cellStyle name="Currency 3 2 3 6 3" xfId="6289" xr:uid="{00000000-0005-0000-0000-0000260B0000}"/>
    <cellStyle name="Currency 3 2 3 6 3 2" xfId="15615" xr:uid="{53229055-1199-411D-9599-6F33B0CAAE6E}"/>
    <cellStyle name="Currency 3 2 3 6 4" xfId="11398" xr:uid="{0F20838A-4F36-434C-B539-741C9E731429}"/>
    <cellStyle name="Currency 3 2 3 7" xfId="2418" xr:uid="{00000000-0005-0000-0000-0000270B0000}"/>
    <cellStyle name="Currency 3 2 3 7 2" xfId="6702" xr:uid="{00000000-0005-0000-0000-0000280B0000}"/>
    <cellStyle name="Currency 3 2 3 7 2 2" xfId="16028" xr:uid="{9A809941-B33E-4415-9BE7-9844D492F6BB}"/>
    <cellStyle name="Currency 3 2 3 7 3" xfId="11811" xr:uid="{480BEBE2-1828-4336-8296-63617614452E}"/>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FB77017C-B70C-4568-8986-4F517FD08D96}"/>
    <cellStyle name="Currency 3 2 3 9 3" xfId="12128" xr:uid="{E9C9D6F8-DD93-4CF8-A5C2-B7C056E5ECB3}"/>
    <cellStyle name="Currency 3 2 4" xfId="184" xr:uid="{00000000-0005-0000-0000-00002C0B0000}"/>
    <cellStyle name="Currency 3 2 4 10" xfId="8997" xr:uid="{DF9FC022-A382-4135-990F-F43A472E13BA}"/>
    <cellStyle name="Currency 3 2 4 10 2" xfId="18321" xr:uid="{36D1350A-7B54-4969-8607-1448584848E3}"/>
    <cellStyle name="Currency 3 2 4 11" xfId="9747" xr:uid="{5ADA07CC-7B06-47D2-8712-49EE4DAC4E2B}"/>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56689A27-DE20-4670-871D-27E0FA110228}"/>
    <cellStyle name="Currency 3 2 4 2 2 3" xfId="12306" xr:uid="{C2053B69-1381-4FE3-B397-C7E7DE0F31E8}"/>
    <cellStyle name="Currency 3 2 4 2 3" xfId="5052" xr:uid="{00000000-0005-0000-0000-0000300B0000}"/>
    <cellStyle name="Currency 3 2 4 2 3 2" xfId="14378" xr:uid="{E618077C-41FF-4078-8841-7F0B7F0B1573}"/>
    <cellStyle name="Currency 3 2 4 2 4" xfId="9422" xr:uid="{3049B7CE-611E-437A-AD0B-2E3AA5E2E50D}"/>
    <cellStyle name="Currency 3 2 4 2 4 2" xfId="18737" xr:uid="{8B73EA18-593E-4B98-8B00-EF2472BB3766}"/>
    <cellStyle name="Currency 3 2 4 2 5" xfId="10161" xr:uid="{AA9973D8-86E4-43BC-A4E0-9B0175FBCBA1}"/>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67057100-46EA-4C8D-8AD5-605463FC3427}"/>
    <cellStyle name="Currency 3 2 4 3 2 3" xfId="12719" xr:uid="{AB2B147C-38C2-4215-845E-2D8B3789361C}"/>
    <cellStyle name="Currency 3 2 4 3 3" xfId="5465" xr:uid="{00000000-0005-0000-0000-0000340B0000}"/>
    <cellStyle name="Currency 3 2 4 3 3 2" xfId="14791" xr:uid="{C45CB52A-EE8A-4614-9367-D0B51B3DC51E}"/>
    <cellStyle name="Currency 3 2 4 3 4" xfId="10574" xr:uid="{39450B2D-6C19-4656-832B-FF69B36281C0}"/>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8AB57456-791F-49EF-B72A-C8B633B0C04D}"/>
    <cellStyle name="Currency 3 2 4 4 2 3" xfId="13132" xr:uid="{A3DE37E8-34CE-4ECB-AE4D-F7CED1E94672}"/>
    <cellStyle name="Currency 3 2 4 4 3" xfId="5878" xr:uid="{00000000-0005-0000-0000-0000380B0000}"/>
    <cellStyle name="Currency 3 2 4 4 3 2" xfId="15204" xr:uid="{76787527-92CB-44A9-8207-5D320A0A3942}"/>
    <cellStyle name="Currency 3 2 4 4 4" xfId="10987" xr:uid="{8C895A05-239F-4F9F-A20D-37A15BA99CFC}"/>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2A9043B5-45E4-42B0-ADDC-D04064DA2B3A}"/>
    <cellStyle name="Currency 3 2 4 5 2 3" xfId="13545" xr:uid="{EC22F7AB-F3FE-40B3-A624-B23EDA9BBCD7}"/>
    <cellStyle name="Currency 3 2 4 5 3" xfId="6291" xr:uid="{00000000-0005-0000-0000-00003C0B0000}"/>
    <cellStyle name="Currency 3 2 4 5 3 2" xfId="15617" xr:uid="{65B92E07-9B2B-4794-AEC9-6A56856A238B}"/>
    <cellStyle name="Currency 3 2 4 5 4" xfId="11400" xr:uid="{FAA283F0-F81B-4210-BBF2-D4737B0A7330}"/>
    <cellStyle name="Currency 3 2 4 6" xfId="2420" xr:uid="{00000000-0005-0000-0000-00003D0B0000}"/>
    <cellStyle name="Currency 3 2 4 6 2" xfId="6704" xr:uid="{00000000-0005-0000-0000-00003E0B0000}"/>
    <cellStyle name="Currency 3 2 4 6 2 2" xfId="16030" xr:uid="{70268AA7-1355-4116-801A-591285D57C17}"/>
    <cellStyle name="Currency 3 2 4 6 3" xfId="11813" xr:uid="{7E9C004D-FC26-4BEA-A8A0-58F9A3E14984}"/>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849EFCD5-F563-439C-BC47-4EA470AB7AAD}"/>
    <cellStyle name="Currency 3 2 4 8 3" xfId="12130" xr:uid="{12305E17-7ADE-45F1-8B86-2EB9D1A25A4C}"/>
    <cellStyle name="Currency 3 2 4 9" xfId="4638" xr:uid="{00000000-0005-0000-0000-0000420B0000}"/>
    <cellStyle name="Currency 3 2 4 9 2" xfId="13964" xr:uid="{F4FB2F7B-3407-4CA9-81E8-CA8EE500E2D7}"/>
    <cellStyle name="Currency 3 2 5" xfId="185" xr:uid="{00000000-0005-0000-0000-0000430B0000}"/>
    <cellStyle name="Currency 3 2 5 10" xfId="9214" xr:uid="{3D0A867F-0B9D-4759-A509-3EC1084E197B}"/>
    <cellStyle name="Currency 3 2 5 10 2" xfId="18530" xr:uid="{CF50E15A-B51E-487A-8686-D6C148B6BD94}"/>
    <cellStyle name="Currency 3 2 5 11" xfId="9748" xr:uid="{C7391C0D-9247-4CB7-AB6A-0B0377E76B7F}"/>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593C7E84-DBD7-4A34-8643-D31C2D6B39CF}"/>
    <cellStyle name="Currency 3 2 5 2 2 3" xfId="12307" xr:uid="{D1D9F84A-BAF7-479B-8EAB-4A4F9FEB8488}"/>
    <cellStyle name="Currency 3 2 5 2 3" xfId="5053" xr:uid="{00000000-0005-0000-0000-0000470B0000}"/>
    <cellStyle name="Currency 3 2 5 2 3 2" xfId="14379" xr:uid="{993DE58E-49C5-49E5-8992-FACBD02D5C19}"/>
    <cellStyle name="Currency 3 2 5 2 4" xfId="9597" xr:uid="{6E2F978E-96E4-4AD8-B4BD-1BE9D7E96A2F}"/>
    <cellStyle name="Currency 3 2 5 2 4 2" xfId="18901" xr:uid="{1A2302E2-8686-4232-9328-7A209183347F}"/>
    <cellStyle name="Currency 3 2 5 2 5" xfId="10162" xr:uid="{B38441D9-630C-44B6-B8C2-21DD94971CEE}"/>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29831093-47A9-4EF4-B7BC-6AB43E6EB1DD}"/>
    <cellStyle name="Currency 3 2 5 3 2 3" xfId="12720" xr:uid="{6419F8BB-2650-4226-A871-D09DCB16C490}"/>
    <cellStyle name="Currency 3 2 5 3 3" xfId="5466" xr:uid="{00000000-0005-0000-0000-00004B0B0000}"/>
    <cellStyle name="Currency 3 2 5 3 3 2" xfId="14792" xr:uid="{16A29D05-E7AB-477F-AACE-BD0CBB856AC2}"/>
    <cellStyle name="Currency 3 2 5 3 4" xfId="10575" xr:uid="{DDF6400D-B89D-4DCD-9A45-8ADDE7F2DE3F}"/>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B694CD32-A3D0-4A8A-94A2-5DF7ED8C5D42}"/>
    <cellStyle name="Currency 3 2 5 4 2 3" xfId="13133" xr:uid="{CB69B596-06D1-412B-B524-4BE2537A03EA}"/>
    <cellStyle name="Currency 3 2 5 4 3" xfId="5879" xr:uid="{00000000-0005-0000-0000-00004F0B0000}"/>
    <cellStyle name="Currency 3 2 5 4 3 2" xfId="15205" xr:uid="{B4E15072-346F-4EDC-8AC3-5295D5A68BFA}"/>
    <cellStyle name="Currency 3 2 5 4 4" xfId="10988" xr:uid="{6A3170B9-06F6-4924-81AC-F240C3BE8EF0}"/>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E43C1975-2DC4-4754-A804-6F697656EBA0}"/>
    <cellStyle name="Currency 3 2 5 5 2 3" xfId="13546" xr:uid="{513A8EE6-FCF4-41CF-B235-6AEEE3A9D74C}"/>
    <cellStyle name="Currency 3 2 5 5 3" xfId="6292" xr:uid="{00000000-0005-0000-0000-0000530B0000}"/>
    <cellStyle name="Currency 3 2 5 5 3 2" xfId="15618" xr:uid="{F9A2E0AB-AD85-4764-BCBF-64BDB3B24848}"/>
    <cellStyle name="Currency 3 2 5 5 4" xfId="11401" xr:uid="{1230DF68-3C02-46A1-804B-6F56DB3F233F}"/>
    <cellStyle name="Currency 3 2 5 6" xfId="2421" xr:uid="{00000000-0005-0000-0000-0000540B0000}"/>
    <cellStyle name="Currency 3 2 5 6 2" xfId="6705" xr:uid="{00000000-0005-0000-0000-0000550B0000}"/>
    <cellStyle name="Currency 3 2 5 6 2 2" xfId="16031" xr:uid="{516BD6A5-A62B-45C2-B31C-3B3AF3B62D58}"/>
    <cellStyle name="Currency 3 2 5 6 3" xfId="11814" xr:uid="{2AE202B8-6C5E-4106-8057-AD3F85956B25}"/>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14383E1C-22C4-4C39-B113-348605098C2F}"/>
    <cellStyle name="Currency 3 2 5 8 3" xfId="12131" xr:uid="{F060F6DB-8404-4DA7-B24B-59DEA5F42C26}"/>
    <cellStyle name="Currency 3 2 5 9" xfId="4639" xr:uid="{00000000-0005-0000-0000-0000590B0000}"/>
    <cellStyle name="Currency 3 2 5 9 2" xfId="13965" xr:uid="{A99013D7-0B89-48ED-A6DE-19C3B3998D3A}"/>
    <cellStyle name="Currency 3 2 6" xfId="9583" xr:uid="{653EC571-6DFB-4D44-8156-8097E74D2DD4}"/>
    <cellStyle name="Currency 3 2 7" xfId="8790" xr:uid="{4F16186C-C154-4E9A-B12A-0E13D64C3701}"/>
    <cellStyle name="Currency 3 2 7 2" xfId="18114" xr:uid="{56F1FC18-AA14-4A57-A6CF-F2E7723E126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B805C9B7-1D17-4E27-9858-2C2A868F3246}"/>
    <cellStyle name="Currency 5 2 2 2 10 3" xfId="12132" xr:uid="{32DEC18F-1A98-43F4-8D7F-D58637040677}"/>
    <cellStyle name="Currency 5 2 2 2 11" xfId="4640" xr:uid="{00000000-0005-0000-0000-00006C0B0000}"/>
    <cellStyle name="Currency 5 2 2 2 11 2" xfId="13966" xr:uid="{0771E873-684F-45CD-B32D-E045E1337DAC}"/>
    <cellStyle name="Currency 5 2 2 2 12" xfId="8809" xr:uid="{6E2B58BA-BC61-49BF-A0FE-5BC79A050654}"/>
    <cellStyle name="Currency 5 2 2 2 12 2" xfId="18133" xr:uid="{D79E361A-77B7-4D6C-A94A-A1B634BF5275}"/>
    <cellStyle name="Currency 5 2 2 2 13" xfId="9749" xr:uid="{8F7623A4-09FD-463D-B39E-4D5FA110526A}"/>
    <cellStyle name="Currency 5 2 2 2 2" xfId="197" xr:uid="{00000000-0005-0000-0000-00006D0B0000}"/>
    <cellStyle name="Currency 5 2 2 2 2 10" xfId="4641" xr:uid="{00000000-0005-0000-0000-00006E0B0000}"/>
    <cellStyle name="Currency 5 2 2 2 2 10 2" xfId="13967" xr:uid="{C30C50F0-C105-4452-BE55-9E3D755C22C7}"/>
    <cellStyle name="Currency 5 2 2 2 2 11" xfId="8912" xr:uid="{4079D27E-F98B-4445-AE20-FFD848158756}"/>
    <cellStyle name="Currency 5 2 2 2 2 11 2" xfId="18236" xr:uid="{BFA15762-D17F-450E-99F7-35BB985EE4DF}"/>
    <cellStyle name="Currency 5 2 2 2 2 12" xfId="9750" xr:uid="{0CD369A5-D2FB-4F67-9C69-548EF17EAFFD}"/>
    <cellStyle name="Currency 5 2 2 2 2 2" xfId="198" xr:uid="{00000000-0005-0000-0000-00006F0B0000}"/>
    <cellStyle name="Currency 5 2 2 2 2 2 10" xfId="9119" xr:uid="{2B97CFE9-E9FD-476D-A341-C695293642F3}"/>
    <cellStyle name="Currency 5 2 2 2 2 2 10 2" xfId="18443" xr:uid="{C41A9AE5-EAD0-40C2-BE78-69BF69A42C96}"/>
    <cellStyle name="Currency 5 2 2 2 2 2 11" xfId="9751" xr:uid="{D9534A39-B889-41DE-A4F4-281C8DB5F7EB}"/>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4CA806F4-74AB-4E3B-998D-0B086278226B}"/>
    <cellStyle name="Currency 5 2 2 2 2 2 2 2 3" xfId="12310" xr:uid="{23F7160F-21E7-4CF4-A001-C19CFAC0C25B}"/>
    <cellStyle name="Currency 5 2 2 2 2 2 2 3" xfId="5056" xr:uid="{00000000-0005-0000-0000-0000730B0000}"/>
    <cellStyle name="Currency 5 2 2 2 2 2 2 3 2" xfId="14382" xr:uid="{F7949328-BC92-4866-A301-0DFACE475263}"/>
    <cellStyle name="Currency 5 2 2 2 2 2 2 4" xfId="9544" xr:uid="{77881B28-843C-4677-B92C-D2A5804BDB97}"/>
    <cellStyle name="Currency 5 2 2 2 2 2 2 4 2" xfId="18859" xr:uid="{94A29BBF-7DD9-47DC-91AA-12C8449CA0DD}"/>
    <cellStyle name="Currency 5 2 2 2 2 2 2 5" xfId="10165" xr:uid="{7928D2BA-8EF9-4194-8DE6-0514D5394F8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4619B190-579E-4315-A2DC-60BAA28B119C}"/>
    <cellStyle name="Currency 5 2 2 2 2 2 3 2 3" xfId="12723" xr:uid="{470526C5-CA34-44D1-950C-7D4ED60C79E1}"/>
    <cellStyle name="Currency 5 2 2 2 2 2 3 3" xfId="5469" xr:uid="{00000000-0005-0000-0000-0000770B0000}"/>
    <cellStyle name="Currency 5 2 2 2 2 2 3 3 2" xfId="14795" xr:uid="{60F82F26-41F0-4B2E-82FB-6F8748939387}"/>
    <cellStyle name="Currency 5 2 2 2 2 2 3 4" xfId="10578" xr:uid="{3E08203C-FA5D-4639-AF49-EECBCECCEDC6}"/>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8DE32F2D-5027-47B0-A53B-BDD163DC1A03}"/>
    <cellStyle name="Currency 5 2 2 2 2 2 4 2 3" xfId="13136" xr:uid="{F6E72884-9ABB-420F-A5C7-6A7F8646B5AB}"/>
    <cellStyle name="Currency 5 2 2 2 2 2 4 3" xfId="5882" xr:uid="{00000000-0005-0000-0000-00007B0B0000}"/>
    <cellStyle name="Currency 5 2 2 2 2 2 4 3 2" xfId="15208" xr:uid="{73116163-809D-4DD9-AE65-024A1C391FE7}"/>
    <cellStyle name="Currency 5 2 2 2 2 2 4 4" xfId="10991" xr:uid="{C6983B28-9EED-49DC-8287-4A131DA112F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AE5E57AF-11D1-47C3-BCAC-76A141B528FD}"/>
    <cellStyle name="Currency 5 2 2 2 2 2 5 2 3" xfId="13549" xr:uid="{81E2F2A5-53D5-4F3C-A5CF-AEC480B76506}"/>
    <cellStyle name="Currency 5 2 2 2 2 2 5 3" xfId="6295" xr:uid="{00000000-0005-0000-0000-00007F0B0000}"/>
    <cellStyle name="Currency 5 2 2 2 2 2 5 3 2" xfId="15621" xr:uid="{58190E2B-AE49-4026-BB75-FCD50EDFA04E}"/>
    <cellStyle name="Currency 5 2 2 2 2 2 5 4" xfId="11404" xr:uid="{64B9AB9D-B49A-4B62-9A69-48BF3FFD7C0A}"/>
    <cellStyle name="Currency 5 2 2 2 2 2 6" xfId="2424" xr:uid="{00000000-0005-0000-0000-0000800B0000}"/>
    <cellStyle name="Currency 5 2 2 2 2 2 6 2" xfId="6708" xr:uid="{00000000-0005-0000-0000-0000810B0000}"/>
    <cellStyle name="Currency 5 2 2 2 2 2 6 2 2" xfId="16034" xr:uid="{8E22DD0F-6ED7-4857-ACF2-0F108FFB3F1B}"/>
    <cellStyle name="Currency 5 2 2 2 2 2 6 3" xfId="11817" xr:uid="{948E6BF6-91DF-4201-836F-ABA29C1D2D3B}"/>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F5754E5C-53FD-4D36-B4CC-6751EF8C9540}"/>
    <cellStyle name="Currency 5 2 2 2 2 2 8 3" xfId="12134" xr:uid="{3165B876-78D6-4358-B0C4-7FDE4D293430}"/>
    <cellStyle name="Currency 5 2 2 2 2 2 9" xfId="4642" xr:uid="{00000000-0005-0000-0000-0000850B0000}"/>
    <cellStyle name="Currency 5 2 2 2 2 2 9 2" xfId="13968" xr:uid="{BBD7392C-24D5-40EC-B3D7-9D20734F9DC5}"/>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49465304-527C-4CEA-90CB-53A90DAEF2B3}"/>
    <cellStyle name="Currency 5 2 2 2 2 3 2 3" xfId="12309" xr:uid="{D1F8FDF0-E170-4F14-8497-EF8AF7222203}"/>
    <cellStyle name="Currency 5 2 2 2 2 3 3" xfId="5055" xr:uid="{00000000-0005-0000-0000-0000890B0000}"/>
    <cellStyle name="Currency 5 2 2 2 2 3 3 2" xfId="14381" xr:uid="{05969690-5E3C-4F1E-862E-A21958D28565}"/>
    <cellStyle name="Currency 5 2 2 2 2 3 4" xfId="9337" xr:uid="{A1FF44B9-A8E0-4A4E-9BE9-DA7FD7E326AE}"/>
    <cellStyle name="Currency 5 2 2 2 2 3 4 2" xfId="18652" xr:uid="{93B137B6-5872-4795-8B7E-7C2E294A00F3}"/>
    <cellStyle name="Currency 5 2 2 2 2 3 5" xfId="10164" xr:uid="{EB1700B6-B077-46CD-AB63-700CC31B1F77}"/>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26620929-8729-4E27-AADB-704B291F708C}"/>
    <cellStyle name="Currency 5 2 2 2 2 4 2 3" xfId="12722" xr:uid="{C6C0A7E4-1B0D-4B2E-8CC1-41CBCFF22C78}"/>
    <cellStyle name="Currency 5 2 2 2 2 4 3" xfId="5468" xr:uid="{00000000-0005-0000-0000-00008D0B0000}"/>
    <cellStyle name="Currency 5 2 2 2 2 4 3 2" xfId="14794" xr:uid="{8439804B-DD3E-4FC4-9F4F-F33EC2520ADE}"/>
    <cellStyle name="Currency 5 2 2 2 2 4 4" xfId="10577" xr:uid="{9FA83507-B352-45F8-96EE-AC6FF5888689}"/>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01EC5F48-90B0-4345-816E-C874E311DFF8}"/>
    <cellStyle name="Currency 5 2 2 2 2 5 2 3" xfId="13135" xr:uid="{7F344047-D7B6-478D-9531-9E126A0AB8C0}"/>
    <cellStyle name="Currency 5 2 2 2 2 5 3" xfId="5881" xr:uid="{00000000-0005-0000-0000-0000910B0000}"/>
    <cellStyle name="Currency 5 2 2 2 2 5 3 2" xfId="15207" xr:uid="{85CFEA7A-DB75-4E89-AD83-8E9C02CAB74B}"/>
    <cellStyle name="Currency 5 2 2 2 2 5 4" xfId="10990" xr:uid="{BBA8E27F-A99C-4028-B1BF-EB6706158218}"/>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9E873ADF-A802-4A7C-897E-750130AD35E3}"/>
    <cellStyle name="Currency 5 2 2 2 2 6 2 3" xfId="13548" xr:uid="{150C0F44-9EF2-4BA7-B8DA-AA59D714A1DA}"/>
    <cellStyle name="Currency 5 2 2 2 2 6 3" xfId="6294" xr:uid="{00000000-0005-0000-0000-0000950B0000}"/>
    <cellStyle name="Currency 5 2 2 2 2 6 3 2" xfId="15620" xr:uid="{85C0D152-F9BF-4D6D-B6D0-1B3D53707979}"/>
    <cellStyle name="Currency 5 2 2 2 2 6 4" xfId="11403" xr:uid="{6D1D0085-B046-47CA-ACDE-C18587CA0F39}"/>
    <cellStyle name="Currency 5 2 2 2 2 7" xfId="2423" xr:uid="{00000000-0005-0000-0000-0000960B0000}"/>
    <cellStyle name="Currency 5 2 2 2 2 7 2" xfId="6707" xr:uid="{00000000-0005-0000-0000-0000970B0000}"/>
    <cellStyle name="Currency 5 2 2 2 2 7 2 2" xfId="16033" xr:uid="{28611C4A-C9B4-4638-9D76-B328F534643D}"/>
    <cellStyle name="Currency 5 2 2 2 2 7 3" xfId="11816" xr:uid="{05425D61-118E-4496-A392-8DDAC830FED9}"/>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1AD92CD4-AC43-4762-B5F1-80C949F4BB3C}"/>
    <cellStyle name="Currency 5 2 2 2 2 9 3" xfId="12133" xr:uid="{F0EC89E4-D36D-49C0-A20F-0802F79B7C8A}"/>
    <cellStyle name="Currency 5 2 2 2 3" xfId="199" xr:uid="{00000000-0005-0000-0000-00009B0B0000}"/>
    <cellStyle name="Currency 5 2 2 2 3 10" xfId="9016" xr:uid="{706F9706-E49D-4995-B402-A842C879DBC8}"/>
    <cellStyle name="Currency 5 2 2 2 3 10 2" xfId="18340" xr:uid="{99899C3C-77C4-4E63-AC18-C56DCC0DE8A2}"/>
    <cellStyle name="Currency 5 2 2 2 3 11" xfId="9752" xr:uid="{9849FE3B-0929-485A-B083-A41EBE038F24}"/>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C6E7A5FE-BB01-458A-BC41-5364797C015F}"/>
    <cellStyle name="Currency 5 2 2 2 3 2 2 3" xfId="12311" xr:uid="{1D6CC33C-4683-451F-A5CF-18B709770A64}"/>
    <cellStyle name="Currency 5 2 2 2 3 2 3" xfId="5057" xr:uid="{00000000-0005-0000-0000-00009F0B0000}"/>
    <cellStyle name="Currency 5 2 2 2 3 2 3 2" xfId="14383" xr:uid="{FE3C180D-299F-495A-8CFA-90248DD5D105}"/>
    <cellStyle name="Currency 5 2 2 2 3 2 4" xfId="9441" xr:uid="{B7048274-E02F-4E6A-9C9A-FAD4299F19B1}"/>
    <cellStyle name="Currency 5 2 2 2 3 2 4 2" xfId="18756" xr:uid="{FD020B92-B205-4C20-9BBC-136797B634D0}"/>
    <cellStyle name="Currency 5 2 2 2 3 2 5" xfId="10166" xr:uid="{5F339B6F-B214-4B64-ABEB-BF0CAF934C6F}"/>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C56D8987-C824-4C55-80A6-FA30CBA51472}"/>
    <cellStyle name="Currency 5 2 2 2 3 3 2 3" xfId="12724" xr:uid="{F17A1EE6-CC9B-4718-8559-BF72D3790662}"/>
    <cellStyle name="Currency 5 2 2 2 3 3 3" xfId="5470" xr:uid="{00000000-0005-0000-0000-0000A30B0000}"/>
    <cellStyle name="Currency 5 2 2 2 3 3 3 2" xfId="14796" xr:uid="{384EF49C-D1A5-4081-97D3-9DB4FD8A11D9}"/>
    <cellStyle name="Currency 5 2 2 2 3 3 4" xfId="10579" xr:uid="{F26258AF-6E23-4CFA-93D5-872A39B69E97}"/>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AB00D2AC-9CCE-4AF7-8FA1-7239FDF60B35}"/>
    <cellStyle name="Currency 5 2 2 2 3 4 2 3" xfId="13137" xr:uid="{FB5F49B1-906A-4683-A222-ABE2E1BB4945}"/>
    <cellStyle name="Currency 5 2 2 2 3 4 3" xfId="5883" xr:uid="{00000000-0005-0000-0000-0000A70B0000}"/>
    <cellStyle name="Currency 5 2 2 2 3 4 3 2" xfId="15209" xr:uid="{1818B18C-3146-41E7-B60A-481A76A71C89}"/>
    <cellStyle name="Currency 5 2 2 2 3 4 4" xfId="10992" xr:uid="{013638B0-A15F-4FF2-ABE9-DE8D45970A71}"/>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47BE12C8-A11C-4094-AF78-5251D86AE8F4}"/>
    <cellStyle name="Currency 5 2 2 2 3 5 2 3" xfId="13550" xr:uid="{AEA3EB10-A0CC-4FAA-8020-F2B0C0B34993}"/>
    <cellStyle name="Currency 5 2 2 2 3 5 3" xfId="6296" xr:uid="{00000000-0005-0000-0000-0000AB0B0000}"/>
    <cellStyle name="Currency 5 2 2 2 3 5 3 2" xfId="15622" xr:uid="{22657982-7BD7-4325-B1E6-60DDA9A616E4}"/>
    <cellStyle name="Currency 5 2 2 2 3 5 4" xfId="11405" xr:uid="{6EBEA45C-EF79-4BED-A8D3-43E48CF17204}"/>
    <cellStyle name="Currency 5 2 2 2 3 6" xfId="2425" xr:uid="{00000000-0005-0000-0000-0000AC0B0000}"/>
    <cellStyle name="Currency 5 2 2 2 3 6 2" xfId="6709" xr:uid="{00000000-0005-0000-0000-0000AD0B0000}"/>
    <cellStyle name="Currency 5 2 2 2 3 6 2 2" xfId="16035" xr:uid="{701C29CA-2BD4-457F-BDCD-C1C1DC83E65D}"/>
    <cellStyle name="Currency 5 2 2 2 3 6 3" xfId="11818" xr:uid="{120A5438-4E54-4D3A-BD1B-645F10FC0FB1}"/>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06743A12-00E6-4C51-977B-A6A2A078F649}"/>
    <cellStyle name="Currency 5 2 2 2 3 8 3" xfId="12135" xr:uid="{F98DB94D-E0C6-474A-8B88-49A5CA56B612}"/>
    <cellStyle name="Currency 5 2 2 2 3 9" xfId="4643" xr:uid="{00000000-0005-0000-0000-0000B10B0000}"/>
    <cellStyle name="Currency 5 2 2 2 3 9 2" xfId="13969" xr:uid="{346DA6AA-C24C-45CF-A1DA-957E0F45255C}"/>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ABADBEC5-5958-48DF-A383-C38E3BB66DA7}"/>
    <cellStyle name="Currency 5 2 2 2 4 2 3" xfId="12308" xr:uid="{E7429A1F-C2C8-4810-952B-63CFF404EFCB}"/>
    <cellStyle name="Currency 5 2 2 2 4 3" xfId="5054" xr:uid="{00000000-0005-0000-0000-0000B50B0000}"/>
    <cellStyle name="Currency 5 2 2 2 4 3 2" xfId="14380" xr:uid="{CEFDA576-65D9-40CE-911D-2737029304A1}"/>
    <cellStyle name="Currency 5 2 2 2 4 4" xfId="9234" xr:uid="{AAF147FE-13D8-48BD-A722-062B96166D61}"/>
    <cellStyle name="Currency 5 2 2 2 4 4 2" xfId="18549" xr:uid="{AF7E0BD0-3225-4987-A876-A7F32A944E02}"/>
    <cellStyle name="Currency 5 2 2 2 4 5" xfId="10163" xr:uid="{92BF0F27-A281-4474-BC57-8F0123AAB5BD}"/>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F4C3964E-455B-49D5-9010-4120040A16B2}"/>
    <cellStyle name="Currency 5 2 2 2 5 2 3" xfId="12721" xr:uid="{1E701D32-D540-4EC4-A297-33786427D3D9}"/>
    <cellStyle name="Currency 5 2 2 2 5 3" xfId="5467" xr:uid="{00000000-0005-0000-0000-0000B90B0000}"/>
    <cellStyle name="Currency 5 2 2 2 5 3 2" xfId="14793" xr:uid="{30C58C6B-B5BB-4C85-937F-CA52BAFCF2ED}"/>
    <cellStyle name="Currency 5 2 2 2 5 4" xfId="10576" xr:uid="{62DCF638-CB75-47E2-975D-9912D2233611}"/>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65643BB8-ED6D-44EF-BD4D-943B15BA595B}"/>
    <cellStyle name="Currency 5 2 2 2 6 2 3" xfId="13134" xr:uid="{9642F62D-94B1-4CDA-A867-E9DEE204CB4D}"/>
    <cellStyle name="Currency 5 2 2 2 6 3" xfId="5880" xr:uid="{00000000-0005-0000-0000-0000BD0B0000}"/>
    <cellStyle name="Currency 5 2 2 2 6 3 2" xfId="15206" xr:uid="{E0E73E75-E1B6-4AC4-B2FB-52A125974733}"/>
    <cellStyle name="Currency 5 2 2 2 6 4" xfId="10989" xr:uid="{350C2FC7-46C1-4B46-9DEB-94B1B4A7480C}"/>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E0DEF8F9-0641-49B0-8673-A5587230CA71}"/>
    <cellStyle name="Currency 5 2 2 2 7 2 3" xfId="13547" xr:uid="{9A51CF2D-10B1-450B-B7B8-F270224A7DFF}"/>
    <cellStyle name="Currency 5 2 2 2 7 3" xfId="6293" xr:uid="{00000000-0005-0000-0000-0000C10B0000}"/>
    <cellStyle name="Currency 5 2 2 2 7 3 2" xfId="15619" xr:uid="{700B7C0D-D985-40EB-BBF2-7A03210CEFC9}"/>
    <cellStyle name="Currency 5 2 2 2 7 4" xfId="11402" xr:uid="{B8C8E23F-6523-4967-B838-0BF061EC1D34}"/>
    <cellStyle name="Currency 5 2 2 2 8" xfId="2422" xr:uid="{00000000-0005-0000-0000-0000C20B0000}"/>
    <cellStyle name="Currency 5 2 2 2 8 2" xfId="6706" xr:uid="{00000000-0005-0000-0000-0000C30B0000}"/>
    <cellStyle name="Currency 5 2 2 2 8 2 2" xfId="16032" xr:uid="{4A3634BB-20C6-4036-9880-4196F1044192}"/>
    <cellStyle name="Currency 5 2 2 2 8 3" xfId="11815" xr:uid="{263BE824-3A63-4AC4-A05E-ED0EC9CDD76E}"/>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8E8767BE-CA98-4A1C-9C19-EFAF6DC80516}"/>
    <cellStyle name="Currency 5 2 2 3 11" xfId="8890" xr:uid="{F313D4EC-7666-4BAA-9452-39176957C213}"/>
    <cellStyle name="Currency 5 2 2 3 11 2" xfId="18214" xr:uid="{EC819F91-1E1F-4CC1-834A-209102517566}"/>
    <cellStyle name="Currency 5 2 2 3 12" xfId="9753" xr:uid="{ACDEAE9B-E1F1-4232-87C2-872B2A0851F8}"/>
    <cellStyle name="Currency 5 2 2 3 2" xfId="201" xr:uid="{00000000-0005-0000-0000-0000C70B0000}"/>
    <cellStyle name="Currency 5 2 2 3 2 10" xfId="9097" xr:uid="{74199D2F-F17A-42DD-AC8B-D958FBFFCA8B}"/>
    <cellStyle name="Currency 5 2 2 3 2 10 2" xfId="18421" xr:uid="{A5E7E93B-C4AD-4C98-AD62-CE2F801C19CD}"/>
    <cellStyle name="Currency 5 2 2 3 2 11" xfId="9754" xr:uid="{F83330A7-AA1C-485D-9D65-33E10417F6E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AC7F69B4-627B-48CB-96A4-6203287AFFE5}"/>
    <cellStyle name="Currency 5 2 2 3 2 2 2 3" xfId="12313" xr:uid="{5E9A7A06-67DD-4D6D-8064-D30A5E9132B5}"/>
    <cellStyle name="Currency 5 2 2 3 2 2 3" xfId="5059" xr:uid="{00000000-0005-0000-0000-0000CB0B0000}"/>
    <cellStyle name="Currency 5 2 2 3 2 2 3 2" xfId="14385" xr:uid="{811ED0B5-DEAF-4F9D-93A0-15C64E75F237}"/>
    <cellStyle name="Currency 5 2 2 3 2 2 4" xfId="9522" xr:uid="{58EAFCD4-DA5B-47CB-A637-29DA003AA3FD}"/>
    <cellStyle name="Currency 5 2 2 3 2 2 4 2" xfId="18837" xr:uid="{528D793C-D58C-471D-8F58-7A35106A119F}"/>
    <cellStyle name="Currency 5 2 2 3 2 2 5" xfId="10168" xr:uid="{A78AD2D8-2A06-48A6-8563-2928017E46D5}"/>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E7284C66-5B85-4BC9-8078-40E5F44EF0EB}"/>
    <cellStyle name="Currency 5 2 2 3 2 3 2 3" xfId="12726" xr:uid="{74E62A34-CF59-480E-8CDC-D80AA3650B76}"/>
    <cellStyle name="Currency 5 2 2 3 2 3 3" xfId="5472" xr:uid="{00000000-0005-0000-0000-0000CF0B0000}"/>
    <cellStyle name="Currency 5 2 2 3 2 3 3 2" xfId="14798" xr:uid="{AFDAC9A3-BAC3-45A6-BEBF-6BF2DFE3B5EA}"/>
    <cellStyle name="Currency 5 2 2 3 2 3 4" xfId="10581" xr:uid="{A3B7DF04-80FA-412D-95BC-AD09CD553526}"/>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189AC564-8AA1-4B84-AA3F-C34A3D09B0E5}"/>
    <cellStyle name="Currency 5 2 2 3 2 4 2 3" xfId="13139" xr:uid="{80C8D3E3-E88B-44A5-8824-3A39E16F8BFA}"/>
    <cellStyle name="Currency 5 2 2 3 2 4 3" xfId="5885" xr:uid="{00000000-0005-0000-0000-0000D30B0000}"/>
    <cellStyle name="Currency 5 2 2 3 2 4 3 2" xfId="15211" xr:uid="{E755D009-1485-412C-83F9-D3BE9816D2F8}"/>
    <cellStyle name="Currency 5 2 2 3 2 4 4" xfId="10994" xr:uid="{DADA8F0A-0680-47AC-8811-45A4571E8D4D}"/>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5A233C46-F21A-4937-94DE-A0398002B83F}"/>
    <cellStyle name="Currency 5 2 2 3 2 5 2 3" xfId="13552" xr:uid="{550CC7F4-8865-4BFF-B577-8F9B1900062E}"/>
    <cellStyle name="Currency 5 2 2 3 2 5 3" xfId="6298" xr:uid="{00000000-0005-0000-0000-0000D70B0000}"/>
    <cellStyle name="Currency 5 2 2 3 2 5 3 2" xfId="15624" xr:uid="{F8198F68-8C76-44BA-8AC8-41536B90C709}"/>
    <cellStyle name="Currency 5 2 2 3 2 5 4" xfId="11407" xr:uid="{EB77176E-5B5D-4A3F-8779-BBBD65C94DDB}"/>
    <cellStyle name="Currency 5 2 2 3 2 6" xfId="2427" xr:uid="{00000000-0005-0000-0000-0000D80B0000}"/>
    <cellStyle name="Currency 5 2 2 3 2 6 2" xfId="6711" xr:uid="{00000000-0005-0000-0000-0000D90B0000}"/>
    <cellStyle name="Currency 5 2 2 3 2 6 2 2" xfId="16037" xr:uid="{76A61467-B931-4A42-AC51-CBE7D06E7259}"/>
    <cellStyle name="Currency 5 2 2 3 2 6 3" xfId="11820" xr:uid="{62423366-5433-4764-8959-EF0FD64C916B}"/>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C2F9744F-A1C3-41C0-8FF7-DE9069C3D72F}"/>
    <cellStyle name="Currency 5 2 2 3 2 8 3" xfId="12137" xr:uid="{8E326B1A-E927-4A57-86C8-1675786E9254}"/>
    <cellStyle name="Currency 5 2 2 3 2 9" xfId="4645" xr:uid="{00000000-0005-0000-0000-0000DD0B0000}"/>
    <cellStyle name="Currency 5 2 2 3 2 9 2" xfId="13971" xr:uid="{1993DA0A-69FC-4A57-9C19-3AC55F6DFD9B}"/>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E63634B9-66A4-477F-B8FA-BBB8A82F5848}"/>
    <cellStyle name="Currency 5 2 2 3 3 2 3" xfId="12312" xr:uid="{CF165516-10E4-4509-B3CC-84B7D339C8BA}"/>
    <cellStyle name="Currency 5 2 2 3 3 3" xfId="5058" xr:uid="{00000000-0005-0000-0000-0000E10B0000}"/>
    <cellStyle name="Currency 5 2 2 3 3 3 2" xfId="14384" xr:uid="{20FCADA2-574F-4AFE-9C18-809F2EA4C716}"/>
    <cellStyle name="Currency 5 2 2 3 3 4" xfId="9315" xr:uid="{A76EC348-1CDB-41C1-B9B8-9215FF30C619}"/>
    <cellStyle name="Currency 5 2 2 3 3 4 2" xfId="18630" xr:uid="{6E04D9CB-8FB1-4D23-AD2E-7B8643A2809B}"/>
    <cellStyle name="Currency 5 2 2 3 3 5" xfId="10167" xr:uid="{4708428A-8C9B-488A-AC7E-CA4CAD6DBB0C}"/>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BD6EB2F1-4F7A-4C9C-95EE-3E14404D30E9}"/>
    <cellStyle name="Currency 5 2 2 3 4 2 3" xfId="12725" xr:uid="{580320DA-3948-4B30-8AFC-EF9C99DB2269}"/>
    <cellStyle name="Currency 5 2 2 3 4 3" xfId="5471" xr:uid="{00000000-0005-0000-0000-0000E50B0000}"/>
    <cellStyle name="Currency 5 2 2 3 4 3 2" xfId="14797" xr:uid="{AD361A31-F546-44DD-8A67-A3469F25DE8D}"/>
    <cellStyle name="Currency 5 2 2 3 4 4" xfId="10580" xr:uid="{EBB79278-7386-4464-BAC7-BA9FCD5D481E}"/>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7C33D36C-8D0B-4F5D-9831-F11BC2992E36}"/>
    <cellStyle name="Currency 5 2 2 3 5 2 3" xfId="13138" xr:uid="{9915B0DF-FD8D-4F44-AB81-00ACB55F6BBF}"/>
    <cellStyle name="Currency 5 2 2 3 5 3" xfId="5884" xr:uid="{00000000-0005-0000-0000-0000E90B0000}"/>
    <cellStyle name="Currency 5 2 2 3 5 3 2" xfId="15210" xr:uid="{3E1DBABC-904E-493D-BB70-CF5195219FAE}"/>
    <cellStyle name="Currency 5 2 2 3 5 4" xfId="10993" xr:uid="{259B8E3C-499E-4F0E-99EA-F9BE22872918}"/>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202AFC80-59AE-4297-A3D3-9A0D93BE87BA}"/>
    <cellStyle name="Currency 5 2 2 3 6 2 3" xfId="13551" xr:uid="{6EB6C178-673C-443E-B744-24F3BBBFE9AC}"/>
    <cellStyle name="Currency 5 2 2 3 6 3" xfId="6297" xr:uid="{00000000-0005-0000-0000-0000ED0B0000}"/>
    <cellStyle name="Currency 5 2 2 3 6 3 2" xfId="15623" xr:uid="{8E0DEBF8-AEA2-4F0F-B142-D35247045C02}"/>
    <cellStyle name="Currency 5 2 2 3 6 4" xfId="11406" xr:uid="{5C47EEEE-FBBA-417C-9EE9-DC09BF1E4652}"/>
    <cellStyle name="Currency 5 2 2 3 7" xfId="2426" xr:uid="{00000000-0005-0000-0000-0000EE0B0000}"/>
    <cellStyle name="Currency 5 2 2 3 7 2" xfId="6710" xr:uid="{00000000-0005-0000-0000-0000EF0B0000}"/>
    <cellStyle name="Currency 5 2 2 3 7 2 2" xfId="16036" xr:uid="{D388E092-1277-4F62-A010-BC7D7F013C87}"/>
    <cellStyle name="Currency 5 2 2 3 7 3" xfId="11819" xr:uid="{16265B2A-B5DC-4E0B-8673-4CF0FE899F94}"/>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31E63F75-67D8-4E83-8406-DCFA1E2E1327}"/>
    <cellStyle name="Currency 5 2 2 3 9 3" xfId="12136" xr:uid="{D7321044-3433-4B01-9D93-4787F60202AA}"/>
    <cellStyle name="Currency 5 2 2 4" xfId="202" xr:uid="{00000000-0005-0000-0000-0000F30B0000}"/>
    <cellStyle name="Currency 5 2 2 4 10" xfId="8994" xr:uid="{484CCE7A-1288-4C7F-ABD6-C45948DC4EC0}"/>
    <cellStyle name="Currency 5 2 2 4 10 2" xfId="18318" xr:uid="{ACA724F3-685C-4679-9A5A-FE2808C7700D}"/>
    <cellStyle name="Currency 5 2 2 4 11" xfId="9755" xr:uid="{8757E602-F239-41E1-80C1-64BB3C1BD089}"/>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14383C90-FE4B-49A7-B942-6A40795B133D}"/>
    <cellStyle name="Currency 5 2 2 4 2 2 3" xfId="12314" xr:uid="{46E6A576-E610-461F-982C-670CAEBC59D6}"/>
    <cellStyle name="Currency 5 2 2 4 2 3" xfId="5060" xr:uid="{00000000-0005-0000-0000-0000F70B0000}"/>
    <cellStyle name="Currency 5 2 2 4 2 3 2" xfId="14386" xr:uid="{4F6F8CF0-1CE9-4AA5-A282-00408787E827}"/>
    <cellStyle name="Currency 5 2 2 4 2 4" xfId="9419" xr:uid="{F03E4D2E-3BA9-4D5B-9C35-959DB128CBAE}"/>
    <cellStyle name="Currency 5 2 2 4 2 4 2" xfId="18734" xr:uid="{F30FBA8D-79AD-4907-820E-EDF97886880F}"/>
    <cellStyle name="Currency 5 2 2 4 2 5" xfId="10169" xr:uid="{7D10BA49-1341-4527-B443-BB7DCD423FEF}"/>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32D9E324-3D4E-4B66-ACAA-94ED77179D29}"/>
    <cellStyle name="Currency 5 2 2 4 3 2 3" xfId="12727" xr:uid="{C0B4EDC7-E6AD-499F-8808-E0F5DD168E89}"/>
    <cellStyle name="Currency 5 2 2 4 3 3" xfId="5473" xr:uid="{00000000-0005-0000-0000-0000FB0B0000}"/>
    <cellStyle name="Currency 5 2 2 4 3 3 2" xfId="14799" xr:uid="{DBBC91D7-BEC5-40B9-BD41-749C1669D708}"/>
    <cellStyle name="Currency 5 2 2 4 3 4" xfId="10582" xr:uid="{ED566D29-9338-4D54-9DD3-73A4F248A7DD}"/>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77CB98AF-EC0B-4D63-8C04-6229EA5F8BF1}"/>
    <cellStyle name="Currency 5 2 2 4 4 2 3" xfId="13140" xr:uid="{D439A2A3-B1FC-4D70-9C6D-C020ACCCE7E8}"/>
    <cellStyle name="Currency 5 2 2 4 4 3" xfId="5886" xr:uid="{00000000-0005-0000-0000-0000FF0B0000}"/>
    <cellStyle name="Currency 5 2 2 4 4 3 2" xfId="15212" xr:uid="{D89678EE-08F6-4CC4-B995-A2F2EAC5D341}"/>
    <cellStyle name="Currency 5 2 2 4 4 4" xfId="10995" xr:uid="{033F9C31-5AD3-48EA-9AD6-D4CE7C9D45D2}"/>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D308120A-A2E4-48CC-9D9E-79737264903A}"/>
    <cellStyle name="Currency 5 2 2 4 5 2 3" xfId="13553" xr:uid="{E4B3E5E5-6B77-4C91-A34C-B2C3793C3BF9}"/>
    <cellStyle name="Currency 5 2 2 4 5 3" xfId="6299" xr:uid="{00000000-0005-0000-0000-0000030C0000}"/>
    <cellStyle name="Currency 5 2 2 4 5 3 2" xfId="15625" xr:uid="{9EAA91B0-0CE5-4CC4-8D58-1968C43E7EB5}"/>
    <cellStyle name="Currency 5 2 2 4 5 4" xfId="11408" xr:uid="{0AD5C550-284B-4427-AF43-BDF359FAF89D}"/>
    <cellStyle name="Currency 5 2 2 4 6" xfId="2428" xr:uid="{00000000-0005-0000-0000-0000040C0000}"/>
    <cellStyle name="Currency 5 2 2 4 6 2" xfId="6712" xr:uid="{00000000-0005-0000-0000-0000050C0000}"/>
    <cellStyle name="Currency 5 2 2 4 6 2 2" xfId="16038" xr:uid="{4A0979CB-98E7-4C66-AEE9-FB94D9A061CC}"/>
    <cellStyle name="Currency 5 2 2 4 6 3" xfId="11821" xr:uid="{DEF6415D-2640-4CA4-AD25-317108D67C40}"/>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698AFA70-DA1C-4DAB-9D05-0284A7AEDCAF}"/>
    <cellStyle name="Currency 5 2 2 4 8 3" xfId="12138" xr:uid="{A949F07F-B696-4A2F-A3AC-8D567BCB30A1}"/>
    <cellStyle name="Currency 5 2 2 4 9" xfId="4646" xr:uid="{00000000-0005-0000-0000-0000090C0000}"/>
    <cellStyle name="Currency 5 2 2 4 9 2" xfId="13972" xr:uid="{89B0077C-5B7A-4ACB-8C54-D97C87DE8B79}"/>
    <cellStyle name="Currency 5 2 2 5" xfId="203" xr:uid="{00000000-0005-0000-0000-00000A0C0000}"/>
    <cellStyle name="Currency 5 2 2 5 10" xfId="9211" xr:uid="{586E1D8D-A72F-44A2-BAB5-A0BAD4827F6D}"/>
    <cellStyle name="Currency 5 2 2 5 10 2" xfId="18527" xr:uid="{84BEC09A-2584-48FA-92A9-E42D96387208}"/>
    <cellStyle name="Currency 5 2 2 5 11" xfId="9756" xr:uid="{B17F21A9-7D7D-48EE-94C7-7934D407004B}"/>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9315B77C-9256-4315-A013-DDFD2063FD4C}"/>
    <cellStyle name="Currency 5 2 2 5 2 2 3" xfId="12315" xr:uid="{B17C6ADB-B565-4C5A-A128-2C7DEBB967E8}"/>
    <cellStyle name="Currency 5 2 2 5 2 3" xfId="5061" xr:uid="{00000000-0005-0000-0000-00000E0C0000}"/>
    <cellStyle name="Currency 5 2 2 5 2 3 2" xfId="14387" xr:uid="{D9123F70-6DB6-4BAA-8C00-226BB9F3EAE0}"/>
    <cellStyle name="Currency 5 2 2 5 2 4" xfId="9598" xr:uid="{EBD3270B-608E-49E1-8A20-C5ADF81FBC1B}"/>
    <cellStyle name="Currency 5 2 2 5 2 4 2" xfId="18902" xr:uid="{116E3875-44EC-4729-93D4-8EDDBA71ABF3}"/>
    <cellStyle name="Currency 5 2 2 5 2 5" xfId="10170" xr:uid="{F5E5866C-12DE-4A7E-95DC-C8D517576A8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06CCC952-EF31-4CA3-95F5-1989D0AEAB9E}"/>
    <cellStyle name="Currency 5 2 2 5 3 2 3" xfId="12728" xr:uid="{6B9297B0-157C-4B1C-9881-DBFF624A72F5}"/>
    <cellStyle name="Currency 5 2 2 5 3 3" xfId="5474" xr:uid="{00000000-0005-0000-0000-0000120C0000}"/>
    <cellStyle name="Currency 5 2 2 5 3 3 2" xfId="14800" xr:uid="{09DDF450-7C82-4A77-8163-341D2D95A815}"/>
    <cellStyle name="Currency 5 2 2 5 3 4" xfId="10583" xr:uid="{DE37B1CC-3DEB-49CE-B236-86A87B23A1B9}"/>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4DD9A27F-7B8C-4012-BD61-A42A8D1D2FC5}"/>
    <cellStyle name="Currency 5 2 2 5 4 2 3" xfId="13141" xr:uid="{AD98BAE1-3D90-4AC3-B210-25B9947B34DC}"/>
    <cellStyle name="Currency 5 2 2 5 4 3" xfId="5887" xr:uid="{00000000-0005-0000-0000-0000160C0000}"/>
    <cellStyle name="Currency 5 2 2 5 4 3 2" xfId="15213" xr:uid="{83CD027D-E1FF-46F3-A569-9B3DF45B28C1}"/>
    <cellStyle name="Currency 5 2 2 5 4 4" xfId="10996" xr:uid="{6D9898DC-316D-41CF-8EC7-0C7B31F0A5AC}"/>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4B9A1EB2-3D42-434F-A879-4A32D667DCA1}"/>
    <cellStyle name="Currency 5 2 2 5 5 2 3" xfId="13554" xr:uid="{AE73B6F4-5E4E-499B-BA3B-77A417322DF5}"/>
    <cellStyle name="Currency 5 2 2 5 5 3" xfId="6300" xr:uid="{00000000-0005-0000-0000-00001A0C0000}"/>
    <cellStyle name="Currency 5 2 2 5 5 3 2" xfId="15626" xr:uid="{6B32B823-DA5D-4FAC-BBF7-E7B8514A837A}"/>
    <cellStyle name="Currency 5 2 2 5 5 4" xfId="11409" xr:uid="{78413FF4-405B-446B-AB37-EED01271BCDE}"/>
    <cellStyle name="Currency 5 2 2 5 6" xfId="2429" xr:uid="{00000000-0005-0000-0000-00001B0C0000}"/>
    <cellStyle name="Currency 5 2 2 5 6 2" xfId="6713" xr:uid="{00000000-0005-0000-0000-00001C0C0000}"/>
    <cellStyle name="Currency 5 2 2 5 6 2 2" xfId="16039" xr:uid="{EE1727AA-05F8-4959-A013-13C31D1DC785}"/>
    <cellStyle name="Currency 5 2 2 5 6 3" xfId="11822" xr:uid="{BFCAD5C0-0E6B-4B6D-A437-87F9986D798F}"/>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167FE8CF-C269-441B-B1E7-90EC7133F446}"/>
    <cellStyle name="Currency 5 2 2 5 8 3" xfId="12139" xr:uid="{50F8DE2E-1CB4-44F2-8652-2C1715612D26}"/>
    <cellStyle name="Currency 5 2 2 5 9" xfId="4647" xr:uid="{00000000-0005-0000-0000-0000200C0000}"/>
    <cellStyle name="Currency 5 2 2 5 9 2" xfId="13973" xr:uid="{B081D37C-BD7F-4BDE-8F02-D35D1C167C61}"/>
    <cellStyle name="Currency 5 2 2 6" xfId="9584" xr:uid="{DC5749FB-A314-4F8C-B61F-309C27A570F5}"/>
    <cellStyle name="Currency 5 2 2 7" xfId="8787" xr:uid="{822EE7D8-70A6-49D7-843D-E84C848DC397}"/>
    <cellStyle name="Currency 5 2 2 7 2" xfId="18111" xr:uid="{9B86F8AF-BD39-4E4B-A4EB-CE8E84480D41}"/>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A01641A5-BE78-4BEB-9435-F5F578DC2964}"/>
    <cellStyle name="Currency 5 2 4 11" xfId="8859" xr:uid="{D3A5F8AD-5F4E-4BEA-A9B4-9A705A015524}"/>
    <cellStyle name="Currency 5 2 4 11 2" xfId="18183" xr:uid="{943195E2-1DA9-456A-8987-AC6CD508CA73}"/>
    <cellStyle name="Currency 5 2 4 12" xfId="9757" xr:uid="{8FF0C33B-D6C3-45E8-BD2A-75EAFDA2F4F2}"/>
    <cellStyle name="Currency 5 2 4 2" xfId="206" xr:uid="{00000000-0005-0000-0000-0000250C0000}"/>
    <cellStyle name="Currency 5 2 4 2 10" xfId="9066" xr:uid="{2F7A28AF-2120-4AAF-A58B-33C2E07F597D}"/>
    <cellStyle name="Currency 5 2 4 2 10 2" xfId="18390" xr:uid="{B5E380AD-5AEB-4F9C-BFBF-91B8D27AD61A}"/>
    <cellStyle name="Currency 5 2 4 2 11" xfId="9758" xr:uid="{E01658EB-1DF8-4C2A-8AEF-27E54EACD165}"/>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2842B25A-7578-40E2-A36A-E94BFF01DCF5}"/>
    <cellStyle name="Currency 5 2 4 2 2 2 3" xfId="12317" xr:uid="{2DD96799-48AA-4EBE-809B-DB184B8A4E5D}"/>
    <cellStyle name="Currency 5 2 4 2 2 3" xfId="5063" xr:uid="{00000000-0005-0000-0000-0000290C0000}"/>
    <cellStyle name="Currency 5 2 4 2 2 3 2" xfId="14389" xr:uid="{1B78FD3E-F222-4EDD-B178-5619363BF8E0}"/>
    <cellStyle name="Currency 5 2 4 2 2 4" xfId="9491" xr:uid="{64B868C7-9024-4970-9E74-7DF82417BD7A}"/>
    <cellStyle name="Currency 5 2 4 2 2 4 2" xfId="18806" xr:uid="{5DC7994A-3519-40F1-8298-E01EE4313242}"/>
    <cellStyle name="Currency 5 2 4 2 2 5" xfId="10172" xr:uid="{74294A71-651D-4C72-BD7F-26DBA00620C4}"/>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4BEBF2E4-B18E-4D2C-9E06-E911F7614C72}"/>
    <cellStyle name="Currency 5 2 4 2 3 2 3" xfId="12730" xr:uid="{E5DB1E45-9B5D-4B4A-AD86-991BA61AA75E}"/>
    <cellStyle name="Currency 5 2 4 2 3 3" xfId="5476" xr:uid="{00000000-0005-0000-0000-00002D0C0000}"/>
    <cellStyle name="Currency 5 2 4 2 3 3 2" xfId="14802" xr:uid="{1760DE48-9148-471F-B652-BAF7F328830B}"/>
    <cellStyle name="Currency 5 2 4 2 3 4" xfId="10585" xr:uid="{27A36880-41E0-4AAC-AB8B-CE2BB0641C1B}"/>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8078D19D-20C8-482D-A1B8-A373FF04B4D3}"/>
    <cellStyle name="Currency 5 2 4 2 4 2 3" xfId="13143" xr:uid="{982AE792-4976-46B4-84B1-07BC9A8ACCEB}"/>
    <cellStyle name="Currency 5 2 4 2 4 3" xfId="5889" xr:uid="{00000000-0005-0000-0000-0000310C0000}"/>
    <cellStyle name="Currency 5 2 4 2 4 3 2" xfId="15215" xr:uid="{6430DF63-A18C-4871-9731-3B5D02346D21}"/>
    <cellStyle name="Currency 5 2 4 2 4 4" xfId="10998" xr:uid="{50C9DF5A-04CA-47AB-AE59-3277C1993156}"/>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221816CF-DD96-47FC-B04E-DF6DAA36A56A}"/>
    <cellStyle name="Currency 5 2 4 2 5 2 3" xfId="13556" xr:uid="{AA2594A1-AE4B-4386-8CBB-4D0D1563CF43}"/>
    <cellStyle name="Currency 5 2 4 2 5 3" xfId="6302" xr:uid="{00000000-0005-0000-0000-0000350C0000}"/>
    <cellStyle name="Currency 5 2 4 2 5 3 2" xfId="15628" xr:uid="{517561D7-1EF4-48A5-B492-5D4629666702}"/>
    <cellStyle name="Currency 5 2 4 2 5 4" xfId="11411" xr:uid="{2FA8AE08-6D10-4B71-9E93-ACB9491478DB}"/>
    <cellStyle name="Currency 5 2 4 2 6" xfId="2431" xr:uid="{00000000-0005-0000-0000-0000360C0000}"/>
    <cellStyle name="Currency 5 2 4 2 6 2" xfId="6715" xr:uid="{00000000-0005-0000-0000-0000370C0000}"/>
    <cellStyle name="Currency 5 2 4 2 6 2 2" xfId="16041" xr:uid="{FE1CD7D3-7B7D-476D-A4B5-09343B45B17E}"/>
    <cellStyle name="Currency 5 2 4 2 6 3" xfId="11824" xr:uid="{2A7CC4F1-3F2A-46F1-A6CE-21A13C8F7FF0}"/>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550D786C-BEAC-464C-AABD-BED25B1D8DC9}"/>
    <cellStyle name="Currency 5 2 4 2 8 3" xfId="12141" xr:uid="{94665300-1AC6-4089-B41F-CAD979E030F3}"/>
    <cellStyle name="Currency 5 2 4 2 9" xfId="4649" xr:uid="{00000000-0005-0000-0000-00003B0C0000}"/>
    <cellStyle name="Currency 5 2 4 2 9 2" xfId="13975" xr:uid="{F6D0D4C7-6030-44D8-91C5-75A3462E265F}"/>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86324A79-88CC-4F6C-AF1F-CD65BF1600CF}"/>
    <cellStyle name="Currency 5 2 4 3 2 3" xfId="12316" xr:uid="{24037B80-6651-4139-BA63-CF7427B3A7F5}"/>
    <cellStyle name="Currency 5 2 4 3 3" xfId="5062" xr:uid="{00000000-0005-0000-0000-00003F0C0000}"/>
    <cellStyle name="Currency 5 2 4 3 3 2" xfId="14388" xr:uid="{96532D1F-FD2C-40CD-A514-59466A905921}"/>
    <cellStyle name="Currency 5 2 4 3 4" xfId="9284" xr:uid="{1D0B72AC-AFAC-428F-8BF0-6DFF9565613D}"/>
    <cellStyle name="Currency 5 2 4 3 4 2" xfId="18599" xr:uid="{27058E3F-DD0D-4350-AD60-EA2F73C5D48E}"/>
    <cellStyle name="Currency 5 2 4 3 5" xfId="10171" xr:uid="{6E218D5F-14C9-450C-B775-816BD081DF8E}"/>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DFA23AB9-521B-4D7C-B79B-DF56CDC1DD85}"/>
    <cellStyle name="Currency 5 2 4 4 2 3" xfId="12729" xr:uid="{AEC3025B-8908-40CB-81EA-0FAB47EF9F78}"/>
    <cellStyle name="Currency 5 2 4 4 3" xfId="5475" xr:uid="{00000000-0005-0000-0000-0000430C0000}"/>
    <cellStyle name="Currency 5 2 4 4 3 2" xfId="14801" xr:uid="{E2601603-CD1D-4D72-80B5-D0F98D7457A9}"/>
    <cellStyle name="Currency 5 2 4 4 4" xfId="10584" xr:uid="{F20D5708-1AB3-42AB-BE18-F4A8EBE3E023}"/>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94842076-A18C-43BB-8332-5CCBD420E7EB}"/>
    <cellStyle name="Currency 5 2 4 5 2 3" xfId="13142" xr:uid="{EA898F7D-9C37-4EEF-8282-0BEFADEAF265}"/>
    <cellStyle name="Currency 5 2 4 5 3" xfId="5888" xr:uid="{00000000-0005-0000-0000-0000470C0000}"/>
    <cellStyle name="Currency 5 2 4 5 3 2" xfId="15214" xr:uid="{02027601-5286-4936-8331-3279451A57CC}"/>
    <cellStyle name="Currency 5 2 4 5 4" xfId="10997" xr:uid="{ED3C082D-4E25-4227-B492-FDBA5356A5C7}"/>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71AAC010-DE33-4ADD-9309-17668507C869}"/>
    <cellStyle name="Currency 5 2 4 6 2 3" xfId="13555" xr:uid="{AA3957F4-3D84-40DC-A861-8BCB56119FB0}"/>
    <cellStyle name="Currency 5 2 4 6 3" xfId="6301" xr:uid="{00000000-0005-0000-0000-00004B0C0000}"/>
    <cellStyle name="Currency 5 2 4 6 3 2" xfId="15627" xr:uid="{D3226B53-D872-4C83-9374-DD556B20B778}"/>
    <cellStyle name="Currency 5 2 4 6 4" xfId="11410" xr:uid="{EA9B26FF-F900-497D-B300-33CF761EF754}"/>
    <cellStyle name="Currency 5 2 4 7" xfId="2430" xr:uid="{00000000-0005-0000-0000-00004C0C0000}"/>
    <cellStyle name="Currency 5 2 4 7 2" xfId="6714" xr:uid="{00000000-0005-0000-0000-00004D0C0000}"/>
    <cellStyle name="Currency 5 2 4 7 2 2" xfId="16040" xr:uid="{036BD0A7-B8BE-46BA-B78F-F3196895FE89}"/>
    <cellStyle name="Currency 5 2 4 7 3" xfId="11823" xr:uid="{A68FD417-0B8F-4F49-B822-1C5BB3D69BFC}"/>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7AD90020-F06B-40C5-9C6B-CA4A50396A4F}"/>
    <cellStyle name="Currency 5 2 4 9 3" xfId="12140" xr:uid="{CC8FC3B6-CE9C-4942-A11C-4F0D0650A214}"/>
    <cellStyle name="Currency 5 2 5" xfId="207" xr:uid="{00000000-0005-0000-0000-0000510C0000}"/>
    <cellStyle name="Currency 5 2 5 10" xfId="8975" xr:uid="{3422EC31-C47F-46E0-A50C-FE05B1979387}"/>
    <cellStyle name="Currency 5 2 5 10 2" xfId="18299" xr:uid="{C88217A2-9E67-4837-B6ED-E639E8110D6F}"/>
    <cellStyle name="Currency 5 2 5 11" xfId="9759" xr:uid="{1A45FBD2-6F05-4C78-8985-5869FD9347FF}"/>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D3B91F47-9212-4663-8A51-E43BCDA94EBB}"/>
    <cellStyle name="Currency 5 2 5 2 2 3" xfId="12318" xr:uid="{52A7072E-EA22-4855-9254-DF6D1EC9FE29}"/>
    <cellStyle name="Currency 5 2 5 2 3" xfId="5064" xr:uid="{00000000-0005-0000-0000-0000550C0000}"/>
    <cellStyle name="Currency 5 2 5 2 3 2" xfId="14390" xr:uid="{7D0D1A08-B60A-42AE-9F2B-1EC0BD82D23A}"/>
    <cellStyle name="Currency 5 2 5 2 4" xfId="9400" xr:uid="{6620DDCD-05C0-4AFD-8A83-F1190101CCB3}"/>
    <cellStyle name="Currency 5 2 5 2 4 2" xfId="18715" xr:uid="{30D804DE-A923-426D-BFC8-F0ED93CCC160}"/>
    <cellStyle name="Currency 5 2 5 2 5" xfId="10173" xr:uid="{B7D59899-C400-411F-8BA9-D4F79AD75C4F}"/>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E65A6FBD-41C8-4492-AA40-E88F3AB2E4DE}"/>
    <cellStyle name="Currency 5 2 5 3 2 3" xfId="12731" xr:uid="{50EAEB2B-2E5A-4968-B80B-EB7E37F80972}"/>
    <cellStyle name="Currency 5 2 5 3 3" xfId="5477" xr:uid="{00000000-0005-0000-0000-0000590C0000}"/>
    <cellStyle name="Currency 5 2 5 3 3 2" xfId="14803" xr:uid="{C6D5E124-7672-4CB5-8F1D-0D1FEE68E9F7}"/>
    <cellStyle name="Currency 5 2 5 3 4" xfId="10586" xr:uid="{C0C504D9-0051-48FD-B3B2-67732C290B47}"/>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EF01B493-3FE4-4C36-A4E3-C3CB7A15EC07}"/>
    <cellStyle name="Currency 5 2 5 4 2 3" xfId="13144" xr:uid="{063FD150-EAD7-4BF7-9846-FBC1B6E1C8B8}"/>
    <cellStyle name="Currency 5 2 5 4 3" xfId="5890" xr:uid="{00000000-0005-0000-0000-00005D0C0000}"/>
    <cellStyle name="Currency 5 2 5 4 3 2" xfId="15216" xr:uid="{466F8DEA-1635-407A-A804-FD6C9AAA52BA}"/>
    <cellStyle name="Currency 5 2 5 4 4" xfId="10999" xr:uid="{A6340240-9245-4700-9ED2-5E3F3E30827B}"/>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D8E97F1E-B8FF-4DC5-9557-3B7C933A17DC}"/>
    <cellStyle name="Currency 5 2 5 5 2 3" xfId="13557" xr:uid="{653C79D9-A16A-4389-8600-064270B5626A}"/>
    <cellStyle name="Currency 5 2 5 5 3" xfId="6303" xr:uid="{00000000-0005-0000-0000-0000610C0000}"/>
    <cellStyle name="Currency 5 2 5 5 3 2" xfId="15629" xr:uid="{EB1365EC-7C2F-45BE-86D5-F98DA9116A67}"/>
    <cellStyle name="Currency 5 2 5 5 4" xfId="11412" xr:uid="{BF492442-B681-4307-850B-8D43FF9FDA43}"/>
    <cellStyle name="Currency 5 2 5 6" xfId="2432" xr:uid="{00000000-0005-0000-0000-0000620C0000}"/>
    <cellStyle name="Currency 5 2 5 6 2" xfId="6716" xr:uid="{00000000-0005-0000-0000-0000630C0000}"/>
    <cellStyle name="Currency 5 2 5 6 2 2" xfId="16042" xr:uid="{E0F096EF-BCA9-49AB-9C33-D30CC87D3C77}"/>
    <cellStyle name="Currency 5 2 5 6 3" xfId="11825" xr:uid="{1370C98D-730C-4249-9D0D-03DA14D92B46}"/>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41DBF78E-B6A0-4903-963C-96BDF054075B}"/>
    <cellStyle name="Currency 5 2 5 8 3" xfId="12142" xr:uid="{3A8EE23B-4759-477B-A3A4-E9B0BC383630}"/>
    <cellStyle name="Currency 5 2 5 9" xfId="4650" xr:uid="{00000000-0005-0000-0000-0000670C0000}"/>
    <cellStyle name="Currency 5 2 5 9 2" xfId="13976" xr:uid="{1A5AF1A1-9150-4752-9E5D-11A11DC8A604}"/>
    <cellStyle name="Currency 5 2 6" xfId="208" xr:uid="{00000000-0005-0000-0000-0000680C0000}"/>
    <cellStyle name="Currency 5 2 6 10" xfId="9178" xr:uid="{19F6D70E-88E4-4E39-A1A9-3FF3D840E2F9}"/>
    <cellStyle name="Currency 5 2 6 10 2" xfId="18496" xr:uid="{600AC0EF-AF72-4EBD-9C17-666589088DF5}"/>
    <cellStyle name="Currency 5 2 6 11" xfId="9760" xr:uid="{4F54B008-5323-48F7-AC22-57FB0D4EE751}"/>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6BA40E87-31E7-492E-BD07-C892C7BC40F0}"/>
    <cellStyle name="Currency 5 2 6 2 2 3" xfId="12319" xr:uid="{7B2F679D-5A17-4770-A919-99AAF5153A93}"/>
    <cellStyle name="Currency 5 2 6 2 3" xfId="5065" xr:uid="{00000000-0005-0000-0000-00006C0C0000}"/>
    <cellStyle name="Currency 5 2 6 2 3 2" xfId="14391" xr:uid="{E0B53293-EF78-4940-919B-B4CF83274524}"/>
    <cellStyle name="Currency 5 2 6 2 4" xfId="9599" xr:uid="{C2EE182C-D73D-4E6C-9671-0484CB4E8D68}"/>
    <cellStyle name="Currency 5 2 6 2 4 2" xfId="18903" xr:uid="{A17A0426-1EB6-44F5-B437-154CF0C9409C}"/>
    <cellStyle name="Currency 5 2 6 2 5" xfId="10174" xr:uid="{653F0FE9-36B9-4B7C-814A-D1095725BEB0}"/>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43B64DD6-FFFE-4174-9A63-5FBFEDD7A820}"/>
    <cellStyle name="Currency 5 2 6 3 2 3" xfId="12732" xr:uid="{27E0E940-BC6E-4D64-817D-C64C4C8BFA23}"/>
    <cellStyle name="Currency 5 2 6 3 3" xfId="5478" xr:uid="{00000000-0005-0000-0000-0000700C0000}"/>
    <cellStyle name="Currency 5 2 6 3 3 2" xfId="14804" xr:uid="{B4DCE317-034C-4AF9-B23C-B38F8984EA6F}"/>
    <cellStyle name="Currency 5 2 6 3 4" xfId="10587" xr:uid="{438C0526-23FD-4B13-9B2A-8593D1D3D03C}"/>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C6F95D18-D64E-4C7B-A2CA-A30E89CEF4AE}"/>
    <cellStyle name="Currency 5 2 6 4 2 3" xfId="13145" xr:uid="{09B57FAC-213C-4A57-BBC2-E4ADCA421B79}"/>
    <cellStyle name="Currency 5 2 6 4 3" xfId="5891" xr:uid="{00000000-0005-0000-0000-0000740C0000}"/>
    <cellStyle name="Currency 5 2 6 4 3 2" xfId="15217" xr:uid="{8A59B92E-9745-4528-AAE8-626684BF6B12}"/>
    <cellStyle name="Currency 5 2 6 4 4" xfId="11000" xr:uid="{B0C8695D-1945-46D9-9521-F3B2B8D0F329}"/>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A6CDC559-23CF-4522-A90C-EA9BBC41CF16}"/>
    <cellStyle name="Currency 5 2 6 5 2 3" xfId="13558" xr:uid="{02778681-E20A-4296-82AC-C012BA3122C7}"/>
    <cellStyle name="Currency 5 2 6 5 3" xfId="6304" xr:uid="{00000000-0005-0000-0000-0000780C0000}"/>
    <cellStyle name="Currency 5 2 6 5 3 2" xfId="15630" xr:uid="{0C8B21A4-C3EC-4973-85D3-67131E2E76A9}"/>
    <cellStyle name="Currency 5 2 6 5 4" xfId="11413" xr:uid="{DF08C664-29CA-4CC4-844C-0DC16351BFCA}"/>
    <cellStyle name="Currency 5 2 6 6" xfId="2433" xr:uid="{00000000-0005-0000-0000-0000790C0000}"/>
    <cellStyle name="Currency 5 2 6 6 2" xfId="6717" xr:uid="{00000000-0005-0000-0000-00007A0C0000}"/>
    <cellStyle name="Currency 5 2 6 6 2 2" xfId="16043" xr:uid="{0DBE5FE1-80FB-4C0B-A131-B02320611680}"/>
    <cellStyle name="Currency 5 2 6 6 3" xfId="11826" xr:uid="{52C99360-D126-449B-8EFD-B18160D4054F}"/>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E2918D54-21A0-4902-B6B2-2563A38BD626}"/>
    <cellStyle name="Currency 5 2 6 8 3" xfId="12143" xr:uid="{8D3B6777-425C-4A5F-BFCF-220487B5E094}"/>
    <cellStyle name="Currency 5 2 6 9" xfId="4651" xr:uid="{00000000-0005-0000-0000-00007E0C0000}"/>
    <cellStyle name="Currency 5 2 6 9 2" xfId="13977" xr:uid="{7964AECB-A009-47AE-849A-735652FE9C26}"/>
    <cellStyle name="Currency 5 2 7" xfId="722" xr:uid="{00000000-0005-0000-0000-00007F0C0000}"/>
    <cellStyle name="Currency 5 2 8" xfId="8756" xr:uid="{D16196A2-D0A3-46A2-9B14-6B017B4CC82F}"/>
    <cellStyle name="Currency 5 2 8 2" xfId="18080" xr:uid="{4EA3620A-C52C-484F-9214-F3F293134F9C}"/>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72DC36A2-2DCC-4D0C-8B34-E1ED9B6FF857}"/>
    <cellStyle name="Currency 5 3 2 10 3" xfId="12144" xr:uid="{D178201B-8CE8-40E9-8D37-46C3CB2AECE5}"/>
    <cellStyle name="Currency 5 3 2 11" xfId="4652" xr:uid="{00000000-0005-0000-0000-0000840C0000}"/>
    <cellStyle name="Currency 5 3 2 11 2" xfId="13978" xr:uid="{766A77E7-D178-4F87-A9E6-0336171E4A84}"/>
    <cellStyle name="Currency 5 3 2 12" xfId="8810" xr:uid="{C5234FF9-D509-4CD8-ADA1-D3604CCF3D1F}"/>
    <cellStyle name="Currency 5 3 2 12 2" xfId="18134" xr:uid="{F73242CB-3203-48FD-BC3C-1C2D66D1A27F}"/>
    <cellStyle name="Currency 5 3 2 13" xfId="9761" xr:uid="{BB006AE3-B675-410D-B87C-61E462BE6F04}"/>
    <cellStyle name="Currency 5 3 2 2" xfId="211" xr:uid="{00000000-0005-0000-0000-0000850C0000}"/>
    <cellStyle name="Currency 5 3 2 2 10" xfId="4653" xr:uid="{00000000-0005-0000-0000-0000860C0000}"/>
    <cellStyle name="Currency 5 3 2 2 10 2" xfId="13979" xr:uid="{56D9AAA8-F84E-4BB5-BD40-BEEEE8B1C7F2}"/>
    <cellStyle name="Currency 5 3 2 2 11" xfId="8913" xr:uid="{FE033F82-2F16-4925-9899-F927AB9AA612}"/>
    <cellStyle name="Currency 5 3 2 2 11 2" xfId="18237" xr:uid="{489E6224-B90A-4BFF-9D0D-322C32C45F17}"/>
    <cellStyle name="Currency 5 3 2 2 12" xfId="9762" xr:uid="{79D2F96C-CA79-46B6-B6EE-20806C5C1CA0}"/>
    <cellStyle name="Currency 5 3 2 2 2" xfId="212" xr:uid="{00000000-0005-0000-0000-0000870C0000}"/>
    <cellStyle name="Currency 5 3 2 2 2 10" xfId="9120" xr:uid="{D5536A1F-8418-4CB5-B1E0-470AD716374A}"/>
    <cellStyle name="Currency 5 3 2 2 2 10 2" xfId="18444" xr:uid="{D8B3936E-0E83-4AC9-AFE4-23B94DD65B48}"/>
    <cellStyle name="Currency 5 3 2 2 2 11" xfId="9763" xr:uid="{8EE84EAB-2352-4E6D-A061-9AD8845D8CC3}"/>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5BAE07BA-947B-445B-99AF-3A5EDA6B89FB}"/>
    <cellStyle name="Currency 5 3 2 2 2 2 2 3" xfId="12322" xr:uid="{83A904B4-8B57-4DA6-9C0C-00AB4C33B1EC}"/>
    <cellStyle name="Currency 5 3 2 2 2 2 3" xfId="5068" xr:uid="{00000000-0005-0000-0000-00008B0C0000}"/>
    <cellStyle name="Currency 5 3 2 2 2 2 3 2" xfId="14394" xr:uid="{CDAA3BA8-8E12-4962-9BC7-E2C30E8AB2BC}"/>
    <cellStyle name="Currency 5 3 2 2 2 2 4" xfId="9545" xr:uid="{F6C268D6-0334-42F7-AE4F-535ADD09B625}"/>
    <cellStyle name="Currency 5 3 2 2 2 2 4 2" xfId="18860" xr:uid="{C7DCF9E5-5F98-4E43-8DD1-452D0E08CD2F}"/>
    <cellStyle name="Currency 5 3 2 2 2 2 5" xfId="10177" xr:uid="{12B69978-404F-4674-878C-F2B4D2F52162}"/>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F0A1A1D1-1426-4E0A-818C-7872CD1D29A3}"/>
    <cellStyle name="Currency 5 3 2 2 2 3 2 3" xfId="12735" xr:uid="{3A81355E-DAF1-41E2-96FA-18A9FDFB04B7}"/>
    <cellStyle name="Currency 5 3 2 2 2 3 3" xfId="5481" xr:uid="{00000000-0005-0000-0000-00008F0C0000}"/>
    <cellStyle name="Currency 5 3 2 2 2 3 3 2" xfId="14807" xr:uid="{7402595A-0C34-4B24-8E4C-7E2B55718A39}"/>
    <cellStyle name="Currency 5 3 2 2 2 3 4" xfId="10590" xr:uid="{A5169472-ECB0-47C2-B7BA-1BCC2DAA9316}"/>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FB069EE1-90AD-461C-8BFD-37E542A010AD}"/>
    <cellStyle name="Currency 5 3 2 2 2 4 2 3" xfId="13148" xr:uid="{2C3B5701-7C76-4C39-85E4-EDA1E7219DE7}"/>
    <cellStyle name="Currency 5 3 2 2 2 4 3" xfId="5894" xr:uid="{00000000-0005-0000-0000-0000930C0000}"/>
    <cellStyle name="Currency 5 3 2 2 2 4 3 2" xfId="15220" xr:uid="{B24F7D0E-5D87-4F3D-8F17-8CF87D642E13}"/>
    <cellStyle name="Currency 5 3 2 2 2 4 4" xfId="11003" xr:uid="{3E3A3691-A740-4DE0-A1FA-65EF761E168F}"/>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34414F3E-3D16-4316-9F40-9B32F7B95AAF}"/>
    <cellStyle name="Currency 5 3 2 2 2 5 2 3" xfId="13561" xr:uid="{9A7BA509-7A52-419E-8018-A94A0DE5B842}"/>
    <cellStyle name="Currency 5 3 2 2 2 5 3" xfId="6307" xr:uid="{00000000-0005-0000-0000-0000970C0000}"/>
    <cellStyle name="Currency 5 3 2 2 2 5 3 2" xfId="15633" xr:uid="{CE870344-1FD6-4317-BE88-0F87E345F59D}"/>
    <cellStyle name="Currency 5 3 2 2 2 5 4" xfId="11416" xr:uid="{7958756B-2D78-4620-8D9C-ADFB858B87FF}"/>
    <cellStyle name="Currency 5 3 2 2 2 6" xfId="2436" xr:uid="{00000000-0005-0000-0000-0000980C0000}"/>
    <cellStyle name="Currency 5 3 2 2 2 6 2" xfId="6720" xr:uid="{00000000-0005-0000-0000-0000990C0000}"/>
    <cellStyle name="Currency 5 3 2 2 2 6 2 2" xfId="16046" xr:uid="{366EC2B2-3386-4779-8E8C-D7E5C17DC6F3}"/>
    <cellStyle name="Currency 5 3 2 2 2 6 3" xfId="11829" xr:uid="{CD61DED4-EC05-4474-9FFB-D5D2BDFE49D2}"/>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C1C5047D-A879-485C-A600-2B180C60E560}"/>
    <cellStyle name="Currency 5 3 2 2 2 8 3" xfId="12146" xr:uid="{C43F5CB7-28D3-49D3-BCB8-4C0A238BA811}"/>
    <cellStyle name="Currency 5 3 2 2 2 9" xfId="4654" xr:uid="{00000000-0005-0000-0000-00009D0C0000}"/>
    <cellStyle name="Currency 5 3 2 2 2 9 2" xfId="13980" xr:uid="{12A7E1C5-5D76-49F3-8658-B8E655F1D455}"/>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571BDEF5-D350-4174-B876-2654B3A1AC77}"/>
    <cellStyle name="Currency 5 3 2 2 3 2 3" xfId="12321" xr:uid="{6EFC6821-DFB3-4440-A6C5-E9BFCAF26AFF}"/>
    <cellStyle name="Currency 5 3 2 2 3 3" xfId="5067" xr:uid="{00000000-0005-0000-0000-0000A10C0000}"/>
    <cellStyle name="Currency 5 3 2 2 3 3 2" xfId="14393" xr:uid="{6C7FC292-F92B-42AF-B807-40840DD2E12B}"/>
    <cellStyle name="Currency 5 3 2 2 3 4" xfId="9338" xr:uid="{E79296CA-9516-4DDA-84B2-A3B13AAA9D9D}"/>
    <cellStyle name="Currency 5 3 2 2 3 4 2" xfId="18653" xr:uid="{B4B7AF55-3912-4259-9FB7-527C140F0F56}"/>
    <cellStyle name="Currency 5 3 2 2 3 5" xfId="10176" xr:uid="{419A6014-8D41-4908-A72D-DDB161292F75}"/>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CE01B95B-DC35-4E5A-BE7E-213795063BAB}"/>
    <cellStyle name="Currency 5 3 2 2 4 2 3" xfId="12734" xr:uid="{9A47FC8D-0EED-4637-9D8A-3CF7418D0745}"/>
    <cellStyle name="Currency 5 3 2 2 4 3" xfId="5480" xr:uid="{00000000-0005-0000-0000-0000A50C0000}"/>
    <cellStyle name="Currency 5 3 2 2 4 3 2" xfId="14806" xr:uid="{F667F6CA-EB9E-40DE-B769-9C1E20A7186A}"/>
    <cellStyle name="Currency 5 3 2 2 4 4" xfId="10589" xr:uid="{B7A7FB1D-C2E9-41B8-9AB9-3CE7B586E102}"/>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BE80737E-3243-429D-A675-CE23A68B8F62}"/>
    <cellStyle name="Currency 5 3 2 2 5 2 3" xfId="13147" xr:uid="{64BFAFC8-F60E-437B-9F87-435C5D8C6F03}"/>
    <cellStyle name="Currency 5 3 2 2 5 3" xfId="5893" xr:uid="{00000000-0005-0000-0000-0000A90C0000}"/>
    <cellStyle name="Currency 5 3 2 2 5 3 2" xfId="15219" xr:uid="{579F88DB-0823-4377-9D38-7E374F1090DF}"/>
    <cellStyle name="Currency 5 3 2 2 5 4" xfId="11002" xr:uid="{613D42FA-0DEA-4224-A1A8-5C2278F1E02D}"/>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0A6C4E42-2E57-439A-AC25-4ADB1B03F73D}"/>
    <cellStyle name="Currency 5 3 2 2 6 2 3" xfId="13560" xr:uid="{C0052B0B-F9B1-4E8F-B53E-6D772B001D75}"/>
    <cellStyle name="Currency 5 3 2 2 6 3" xfId="6306" xr:uid="{00000000-0005-0000-0000-0000AD0C0000}"/>
    <cellStyle name="Currency 5 3 2 2 6 3 2" xfId="15632" xr:uid="{0A7D1A9A-F933-463F-B806-C9C2AF83820B}"/>
    <cellStyle name="Currency 5 3 2 2 6 4" xfId="11415" xr:uid="{5E7D05C4-47CD-402C-9879-68765FB51A12}"/>
    <cellStyle name="Currency 5 3 2 2 7" xfId="2435" xr:uid="{00000000-0005-0000-0000-0000AE0C0000}"/>
    <cellStyle name="Currency 5 3 2 2 7 2" xfId="6719" xr:uid="{00000000-0005-0000-0000-0000AF0C0000}"/>
    <cellStyle name="Currency 5 3 2 2 7 2 2" xfId="16045" xr:uid="{4C8EE28C-56C2-47D8-B01A-D305BA5A3ADF}"/>
    <cellStyle name="Currency 5 3 2 2 7 3" xfId="11828" xr:uid="{40A767C1-4FF7-4C8B-BAF2-64B08911A027}"/>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7379AC38-9AC5-486D-82B3-10B050594C0F}"/>
    <cellStyle name="Currency 5 3 2 2 9 3" xfId="12145" xr:uid="{2F14C0E7-6BF0-4908-B6A1-5F7A63719659}"/>
    <cellStyle name="Currency 5 3 2 3" xfId="213" xr:uid="{00000000-0005-0000-0000-0000B30C0000}"/>
    <cellStyle name="Currency 5 3 2 3 10" xfId="9017" xr:uid="{A6213F8D-EE09-4095-B9BE-99C55DEE210F}"/>
    <cellStyle name="Currency 5 3 2 3 10 2" xfId="18341" xr:uid="{34FEF392-63E6-45DA-8AA3-FC57530A62BE}"/>
    <cellStyle name="Currency 5 3 2 3 11" xfId="9764" xr:uid="{C294EC19-77DB-41C8-B5E1-F8C436CC7FD5}"/>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47DAEC1E-BFF9-418E-A622-72763AD0A714}"/>
    <cellStyle name="Currency 5 3 2 3 2 2 3" xfId="12323" xr:uid="{E8078CE6-231E-4686-AC54-27216F27E747}"/>
    <cellStyle name="Currency 5 3 2 3 2 3" xfId="5069" xr:uid="{00000000-0005-0000-0000-0000B70C0000}"/>
    <cellStyle name="Currency 5 3 2 3 2 3 2" xfId="14395" xr:uid="{31F02EEB-B1F4-48C4-A248-2F99928819D6}"/>
    <cellStyle name="Currency 5 3 2 3 2 4" xfId="9442" xr:uid="{AE48BD1F-B5DA-4007-BBEE-128FE2FE74D7}"/>
    <cellStyle name="Currency 5 3 2 3 2 4 2" xfId="18757" xr:uid="{BDE90CDB-8769-440C-9276-52EE76F8A8CA}"/>
    <cellStyle name="Currency 5 3 2 3 2 5" xfId="10178" xr:uid="{D54AAE40-A37F-467D-BF9A-F0AA8F2C4B2D}"/>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DA4A6CC8-15DA-4073-87FB-7EA402491E72}"/>
    <cellStyle name="Currency 5 3 2 3 3 2 3" xfId="12736" xr:uid="{C84081D8-7E46-4925-96F2-E40321BAAE91}"/>
    <cellStyle name="Currency 5 3 2 3 3 3" xfId="5482" xr:uid="{00000000-0005-0000-0000-0000BB0C0000}"/>
    <cellStyle name="Currency 5 3 2 3 3 3 2" xfId="14808" xr:uid="{591B1B5A-4981-43BE-95C9-F79209660E91}"/>
    <cellStyle name="Currency 5 3 2 3 3 4" xfId="10591" xr:uid="{81CE3496-6FF0-4C42-A26F-DE0D7DC0C33C}"/>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87029B20-E47D-4676-9360-2C58CE593FCD}"/>
    <cellStyle name="Currency 5 3 2 3 4 2 3" xfId="13149" xr:uid="{FB57E98F-9199-4587-B7EF-A69328D6DBBF}"/>
    <cellStyle name="Currency 5 3 2 3 4 3" xfId="5895" xr:uid="{00000000-0005-0000-0000-0000BF0C0000}"/>
    <cellStyle name="Currency 5 3 2 3 4 3 2" xfId="15221" xr:uid="{2C89BBDF-F260-445C-965E-813B213773D3}"/>
    <cellStyle name="Currency 5 3 2 3 4 4" xfId="11004" xr:uid="{06D8CF56-B62F-4C87-8CE1-6F767946C6F1}"/>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DA3976F0-521D-419F-8B27-9FF16804B835}"/>
    <cellStyle name="Currency 5 3 2 3 5 2 3" xfId="13562" xr:uid="{0D293463-1812-4323-AD90-95F3679BDC80}"/>
    <cellStyle name="Currency 5 3 2 3 5 3" xfId="6308" xr:uid="{00000000-0005-0000-0000-0000C30C0000}"/>
    <cellStyle name="Currency 5 3 2 3 5 3 2" xfId="15634" xr:uid="{037B96DF-3808-410A-99F2-8B9FAB0EBB5B}"/>
    <cellStyle name="Currency 5 3 2 3 5 4" xfId="11417" xr:uid="{3F2B1D96-ECA9-4CDF-A0AC-0365F0D3E826}"/>
    <cellStyle name="Currency 5 3 2 3 6" xfId="2437" xr:uid="{00000000-0005-0000-0000-0000C40C0000}"/>
    <cellStyle name="Currency 5 3 2 3 6 2" xfId="6721" xr:uid="{00000000-0005-0000-0000-0000C50C0000}"/>
    <cellStyle name="Currency 5 3 2 3 6 2 2" xfId="16047" xr:uid="{90A04218-662A-4011-A8F1-E7D12A037F00}"/>
    <cellStyle name="Currency 5 3 2 3 6 3" xfId="11830" xr:uid="{91DCAE45-0526-4C0B-ADD8-FC4032F77278}"/>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6C63A031-EFC9-4BFF-865F-32AE679DDDEE}"/>
    <cellStyle name="Currency 5 3 2 3 8 3" xfId="12147" xr:uid="{ED5BABC6-2B33-4BA2-9DBD-384915145D49}"/>
    <cellStyle name="Currency 5 3 2 3 9" xfId="4655" xr:uid="{00000000-0005-0000-0000-0000C90C0000}"/>
    <cellStyle name="Currency 5 3 2 3 9 2" xfId="13981" xr:uid="{9F04BD2B-D3F1-4481-AD31-5D421BF0D5CA}"/>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8EE18015-D713-4B06-A2D4-FC1B80740CC0}"/>
    <cellStyle name="Currency 5 3 2 4 2 3" xfId="12320" xr:uid="{7967D0B8-C425-4191-8EBF-76C8ECCEE5F9}"/>
    <cellStyle name="Currency 5 3 2 4 3" xfId="5066" xr:uid="{00000000-0005-0000-0000-0000CD0C0000}"/>
    <cellStyle name="Currency 5 3 2 4 3 2" xfId="14392" xr:uid="{0AFA8F31-1442-4DA7-A8FA-7CDC351D8A65}"/>
    <cellStyle name="Currency 5 3 2 4 4" xfId="9235" xr:uid="{F2FD4117-6EF1-4663-964A-AB5B57E6F469}"/>
    <cellStyle name="Currency 5 3 2 4 4 2" xfId="18550" xr:uid="{5F9F91DC-C6B2-4FC5-9A82-04D0E9E960E2}"/>
    <cellStyle name="Currency 5 3 2 4 5" xfId="10175" xr:uid="{15AA5520-CE94-438C-97C0-009D386DA27B}"/>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1EBE6A5D-1A4D-488F-A808-57167BD1D760}"/>
    <cellStyle name="Currency 5 3 2 5 2 3" xfId="12733" xr:uid="{9082F84B-4662-4B68-820C-BF3BAB48FFB3}"/>
    <cellStyle name="Currency 5 3 2 5 3" xfId="5479" xr:uid="{00000000-0005-0000-0000-0000D10C0000}"/>
    <cellStyle name="Currency 5 3 2 5 3 2" xfId="14805" xr:uid="{837BA612-B888-4211-B1B6-05F85AAC6FAF}"/>
    <cellStyle name="Currency 5 3 2 5 4" xfId="10588" xr:uid="{1F4EE4A7-3793-4A24-A4C1-0C372405A669}"/>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4DDF9357-F958-4409-AEB6-D10F5CA39E82}"/>
    <cellStyle name="Currency 5 3 2 6 2 3" xfId="13146" xr:uid="{20AE8CAC-4A70-46C9-B1DB-7381290E0676}"/>
    <cellStyle name="Currency 5 3 2 6 3" xfId="5892" xr:uid="{00000000-0005-0000-0000-0000D50C0000}"/>
    <cellStyle name="Currency 5 3 2 6 3 2" xfId="15218" xr:uid="{66CB433F-4442-4F8F-93B3-F35F8CB773C9}"/>
    <cellStyle name="Currency 5 3 2 6 4" xfId="11001" xr:uid="{0A7DC70C-2880-4C46-B7AC-9D0F1445AB72}"/>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562B5102-4F7E-47C0-A8A5-8458EB63CAA6}"/>
    <cellStyle name="Currency 5 3 2 7 2 3" xfId="13559" xr:uid="{C5A2B333-7D16-4C1D-8CCA-6CDB120460A4}"/>
    <cellStyle name="Currency 5 3 2 7 3" xfId="6305" xr:uid="{00000000-0005-0000-0000-0000D90C0000}"/>
    <cellStyle name="Currency 5 3 2 7 3 2" xfId="15631" xr:uid="{C4914ABE-2172-4C01-A92A-E74CEBBC7BAD}"/>
    <cellStyle name="Currency 5 3 2 7 4" xfId="11414" xr:uid="{E9593C22-B5D8-4D90-B8B9-B5BD25E3F9D1}"/>
    <cellStyle name="Currency 5 3 2 8" xfId="2434" xr:uid="{00000000-0005-0000-0000-0000DA0C0000}"/>
    <cellStyle name="Currency 5 3 2 8 2" xfId="6718" xr:uid="{00000000-0005-0000-0000-0000DB0C0000}"/>
    <cellStyle name="Currency 5 3 2 8 2 2" xfId="16044" xr:uid="{DBCEAEEB-C100-4EC3-BB80-9959DEECEAF8}"/>
    <cellStyle name="Currency 5 3 2 8 3" xfId="11827" xr:uid="{B101F7BD-B485-4CF4-898A-61E43E7A2A0F}"/>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FD68ACE1-5144-42D1-A1EE-FE0FED507BC4}"/>
    <cellStyle name="Currency 5 3 3 11" xfId="8882" xr:uid="{A86B3ED4-B552-42F3-9E77-C6763F86EEE6}"/>
    <cellStyle name="Currency 5 3 3 11 2" xfId="18206" xr:uid="{3AED09E1-7B4F-484B-9AA7-9540522576E4}"/>
    <cellStyle name="Currency 5 3 3 12" xfId="9765" xr:uid="{BDF1653C-F2DD-4848-A2DA-5BFDDF683E7E}"/>
    <cellStyle name="Currency 5 3 3 2" xfId="215" xr:uid="{00000000-0005-0000-0000-0000DF0C0000}"/>
    <cellStyle name="Currency 5 3 3 2 10" xfId="9089" xr:uid="{7CFB8DCC-02AE-4CC5-8E10-3D33399ECECE}"/>
    <cellStyle name="Currency 5 3 3 2 10 2" xfId="18413" xr:uid="{0EA3C3D0-ED45-4002-A314-27E9FFB48998}"/>
    <cellStyle name="Currency 5 3 3 2 11" xfId="9766" xr:uid="{4F97DB19-FCB5-4752-B6CF-AAD60365DB92}"/>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FC72CBA0-BEDA-43AC-ADAB-A3092072C414}"/>
    <cellStyle name="Currency 5 3 3 2 2 2 3" xfId="12325" xr:uid="{39F891F7-B805-463B-8BB3-8BC3D08634CC}"/>
    <cellStyle name="Currency 5 3 3 2 2 3" xfId="5071" xr:uid="{00000000-0005-0000-0000-0000E30C0000}"/>
    <cellStyle name="Currency 5 3 3 2 2 3 2" xfId="14397" xr:uid="{11606439-F4FC-4FB2-9F11-BFA780F5B006}"/>
    <cellStyle name="Currency 5 3 3 2 2 4" xfId="9514" xr:uid="{9A504F43-6423-4200-B7AF-F17B65B2005C}"/>
    <cellStyle name="Currency 5 3 3 2 2 4 2" xfId="18829" xr:uid="{A261066D-39F9-49F9-B97A-9FD498D50B5C}"/>
    <cellStyle name="Currency 5 3 3 2 2 5" xfId="10180" xr:uid="{11E24185-2702-435A-A6AB-04F1EB01AF63}"/>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88504299-BBA9-49C2-B7B2-9FE1D6371BF5}"/>
    <cellStyle name="Currency 5 3 3 2 3 2 3" xfId="12738" xr:uid="{F703E673-C900-4C86-BBF4-591CA66BA09B}"/>
    <cellStyle name="Currency 5 3 3 2 3 3" xfId="5484" xr:uid="{00000000-0005-0000-0000-0000E70C0000}"/>
    <cellStyle name="Currency 5 3 3 2 3 3 2" xfId="14810" xr:uid="{7B6516C2-01D1-49D6-9765-C64F13676325}"/>
    <cellStyle name="Currency 5 3 3 2 3 4" xfId="10593" xr:uid="{AD37E74C-3FE8-43EF-B058-AFF3A5669BFC}"/>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39C00925-4642-4FAF-8561-F6B940DCB870}"/>
    <cellStyle name="Currency 5 3 3 2 4 2 3" xfId="13151" xr:uid="{526F353F-E9AF-4582-AF4D-FC5EEF1FC676}"/>
    <cellStyle name="Currency 5 3 3 2 4 3" xfId="5897" xr:uid="{00000000-0005-0000-0000-0000EB0C0000}"/>
    <cellStyle name="Currency 5 3 3 2 4 3 2" xfId="15223" xr:uid="{784B8CB4-D1F6-4F77-B226-B691E5AE0305}"/>
    <cellStyle name="Currency 5 3 3 2 4 4" xfId="11006" xr:uid="{99A9EBA6-6DC4-4167-92CA-BC642186E74B}"/>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D2009821-D602-4509-AA03-C0EAE0D537E9}"/>
    <cellStyle name="Currency 5 3 3 2 5 2 3" xfId="13564" xr:uid="{F8AA84E8-1A0F-4BF7-B6E1-218A71B61036}"/>
    <cellStyle name="Currency 5 3 3 2 5 3" xfId="6310" xr:uid="{00000000-0005-0000-0000-0000EF0C0000}"/>
    <cellStyle name="Currency 5 3 3 2 5 3 2" xfId="15636" xr:uid="{B8B81970-DA16-495C-80A2-EBA11C821316}"/>
    <cellStyle name="Currency 5 3 3 2 5 4" xfId="11419" xr:uid="{FE09B91C-1F98-4C50-A1C6-E4ACB208964A}"/>
    <cellStyle name="Currency 5 3 3 2 6" xfId="2439" xr:uid="{00000000-0005-0000-0000-0000F00C0000}"/>
    <cellStyle name="Currency 5 3 3 2 6 2" xfId="6723" xr:uid="{00000000-0005-0000-0000-0000F10C0000}"/>
    <cellStyle name="Currency 5 3 3 2 6 2 2" xfId="16049" xr:uid="{48DD3C96-E240-4CEF-B1E6-C771AF473BB4}"/>
    <cellStyle name="Currency 5 3 3 2 6 3" xfId="11832" xr:uid="{AB4215A8-600E-47EA-A918-E997E345EE95}"/>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43374FDD-9C9F-4F3A-9BE9-6A5419A2B2F3}"/>
    <cellStyle name="Currency 5 3 3 2 8 3" xfId="12149" xr:uid="{D936E94A-BF38-421F-A20A-21519660A354}"/>
    <cellStyle name="Currency 5 3 3 2 9" xfId="4657" xr:uid="{00000000-0005-0000-0000-0000F50C0000}"/>
    <cellStyle name="Currency 5 3 3 2 9 2" xfId="13983" xr:uid="{E70EEFD0-3C50-42F7-A43F-6E558CEF810D}"/>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5949E2C3-61B9-4ED8-9305-3FD4F7085A01}"/>
    <cellStyle name="Currency 5 3 3 3 2 3" xfId="12324" xr:uid="{273C91AB-240A-468E-AA1F-86D1575A5A85}"/>
    <cellStyle name="Currency 5 3 3 3 3" xfId="5070" xr:uid="{00000000-0005-0000-0000-0000F90C0000}"/>
    <cellStyle name="Currency 5 3 3 3 3 2" xfId="14396" xr:uid="{A89EAE82-EBF6-4E8E-BF50-0670F6FC894A}"/>
    <cellStyle name="Currency 5 3 3 3 4" xfId="9307" xr:uid="{3F0512A0-B779-46E4-A963-62E327C6AC5F}"/>
    <cellStyle name="Currency 5 3 3 3 4 2" xfId="18622" xr:uid="{E0C6E1AA-0F82-4A32-828D-40A82C14EAC9}"/>
    <cellStyle name="Currency 5 3 3 3 5" xfId="10179" xr:uid="{1BA366DA-7E18-4D37-A73E-2788C9DD1BD9}"/>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0987105A-B4C0-4E28-AE22-BEE03632606D}"/>
    <cellStyle name="Currency 5 3 3 4 2 3" xfId="12737" xr:uid="{3B98C807-1424-4E65-8658-40875DF51658}"/>
    <cellStyle name="Currency 5 3 3 4 3" xfId="5483" xr:uid="{00000000-0005-0000-0000-0000FD0C0000}"/>
    <cellStyle name="Currency 5 3 3 4 3 2" xfId="14809" xr:uid="{E7F5D474-72F5-493C-AE34-B900433AE1E9}"/>
    <cellStyle name="Currency 5 3 3 4 4" xfId="10592" xr:uid="{9DD20615-1D68-4A53-929A-9257B01F87BC}"/>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BE211F3A-6C98-4ABC-9145-B7367540530C}"/>
    <cellStyle name="Currency 5 3 3 5 2 3" xfId="13150" xr:uid="{00E111DB-20FB-4AAF-B36A-8BA78EB4BC51}"/>
    <cellStyle name="Currency 5 3 3 5 3" xfId="5896" xr:uid="{00000000-0005-0000-0000-0000010D0000}"/>
    <cellStyle name="Currency 5 3 3 5 3 2" xfId="15222" xr:uid="{EEE6FF7D-E48F-4083-84B2-B5420084358B}"/>
    <cellStyle name="Currency 5 3 3 5 4" xfId="11005" xr:uid="{5FB64959-4865-4D58-A37E-716BDC1A9A15}"/>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6F7D65A0-0E33-4B27-94DF-193497FE41B1}"/>
    <cellStyle name="Currency 5 3 3 6 2 3" xfId="13563" xr:uid="{28BB0CA9-40FB-415C-9F28-EC79BF142B7B}"/>
    <cellStyle name="Currency 5 3 3 6 3" xfId="6309" xr:uid="{00000000-0005-0000-0000-0000050D0000}"/>
    <cellStyle name="Currency 5 3 3 6 3 2" xfId="15635" xr:uid="{15D43DB5-B6A1-456B-97B8-46E798562E63}"/>
    <cellStyle name="Currency 5 3 3 6 4" xfId="11418" xr:uid="{D5D23741-F670-41F9-B9C6-EA6B47CA6897}"/>
    <cellStyle name="Currency 5 3 3 7" xfId="2438" xr:uid="{00000000-0005-0000-0000-0000060D0000}"/>
    <cellStyle name="Currency 5 3 3 7 2" xfId="6722" xr:uid="{00000000-0005-0000-0000-0000070D0000}"/>
    <cellStyle name="Currency 5 3 3 7 2 2" xfId="16048" xr:uid="{E5650169-86FB-46A1-8DE6-B042914CA267}"/>
    <cellStyle name="Currency 5 3 3 7 3" xfId="11831" xr:uid="{6836EFBD-133F-4FFC-B5E3-32451917C180}"/>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944A8431-CBF7-4461-A74C-2F36B7DB7780}"/>
    <cellStyle name="Currency 5 3 3 9 3" xfId="12148" xr:uid="{F2D4B2A2-01C2-4F9B-89C8-B5EF615E4401}"/>
    <cellStyle name="Currency 5 3 4" xfId="216" xr:uid="{00000000-0005-0000-0000-00000B0D0000}"/>
    <cellStyle name="Currency 5 3 4 10" xfId="8986" xr:uid="{4F6CFA4A-F10A-4043-AD92-C0A3F7F06459}"/>
    <cellStyle name="Currency 5 3 4 10 2" xfId="18310" xr:uid="{EAEA972D-32EF-4879-952A-E281C827399C}"/>
    <cellStyle name="Currency 5 3 4 11" xfId="9767" xr:uid="{38997CB4-B8D1-4D49-820B-477824A26B3D}"/>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11EED780-15E0-44B6-AA2F-2E300A291A0F}"/>
    <cellStyle name="Currency 5 3 4 2 2 3" xfId="12326" xr:uid="{FC8D1F48-1196-4554-AC61-97E4EF49B1BD}"/>
    <cellStyle name="Currency 5 3 4 2 3" xfId="5072" xr:uid="{00000000-0005-0000-0000-00000F0D0000}"/>
    <cellStyle name="Currency 5 3 4 2 3 2" xfId="14398" xr:uid="{61FFD759-593E-45C9-A244-63011D101932}"/>
    <cellStyle name="Currency 5 3 4 2 4" xfId="9411" xr:uid="{2729DEB6-408B-463E-B468-91D932C31FD7}"/>
    <cellStyle name="Currency 5 3 4 2 4 2" xfId="18726" xr:uid="{4F4BFAD2-904D-4BFC-AE4D-D3CA59CECAFC}"/>
    <cellStyle name="Currency 5 3 4 2 5" xfId="10181" xr:uid="{4E0337C5-36DE-4004-98FC-46EA3EA0533D}"/>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35B0FD5B-E04D-4AA7-AA48-078F27334B75}"/>
    <cellStyle name="Currency 5 3 4 3 2 3" xfId="12739" xr:uid="{5FF1EF2C-2D82-488D-B3F0-88659539D6B5}"/>
    <cellStyle name="Currency 5 3 4 3 3" xfId="5485" xr:uid="{00000000-0005-0000-0000-0000130D0000}"/>
    <cellStyle name="Currency 5 3 4 3 3 2" xfId="14811" xr:uid="{8E82CBD5-D35B-40A5-9CB6-E9F6E88FE422}"/>
    <cellStyle name="Currency 5 3 4 3 4" xfId="10594" xr:uid="{0F875213-E655-431D-B88D-71A5FAD3D5DB}"/>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75143198-DEFC-4095-BAAF-7705AF044228}"/>
    <cellStyle name="Currency 5 3 4 4 2 3" xfId="13152" xr:uid="{3757656A-1F74-485F-8DF4-BA21AD84CB93}"/>
    <cellStyle name="Currency 5 3 4 4 3" xfId="5898" xr:uid="{00000000-0005-0000-0000-0000170D0000}"/>
    <cellStyle name="Currency 5 3 4 4 3 2" xfId="15224" xr:uid="{28A0A420-2CD1-40E8-9939-146F6FA78A52}"/>
    <cellStyle name="Currency 5 3 4 4 4" xfId="11007" xr:uid="{854618CB-E8F0-4ADF-84E7-9F78D69BC3C1}"/>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6B5989BE-053F-4C41-ADDF-3B1E4D866D7A}"/>
    <cellStyle name="Currency 5 3 4 5 2 3" xfId="13565" xr:uid="{09A51A6F-20DF-4141-AA78-0A0BC3442513}"/>
    <cellStyle name="Currency 5 3 4 5 3" xfId="6311" xr:uid="{00000000-0005-0000-0000-00001B0D0000}"/>
    <cellStyle name="Currency 5 3 4 5 3 2" xfId="15637" xr:uid="{3499D467-C41E-4526-9336-2696EA583C06}"/>
    <cellStyle name="Currency 5 3 4 5 4" xfId="11420" xr:uid="{C978C7F3-01D5-47F4-89D5-7B7CF6708143}"/>
    <cellStyle name="Currency 5 3 4 6" xfId="2440" xr:uid="{00000000-0005-0000-0000-00001C0D0000}"/>
    <cellStyle name="Currency 5 3 4 6 2" xfId="6724" xr:uid="{00000000-0005-0000-0000-00001D0D0000}"/>
    <cellStyle name="Currency 5 3 4 6 2 2" xfId="16050" xr:uid="{35929D9C-C584-470F-9027-27196492B5AF}"/>
    <cellStyle name="Currency 5 3 4 6 3" xfId="11833" xr:uid="{DE72E1EB-CB61-41BC-843D-92A40FD7E6CE}"/>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FADFF1BB-4740-4B66-AFD0-D3F618AC3C49}"/>
    <cellStyle name="Currency 5 3 4 8 3" xfId="12150" xr:uid="{783E8555-5B45-434F-A279-C234CF093F16}"/>
    <cellStyle name="Currency 5 3 4 9" xfId="4658" xr:uid="{00000000-0005-0000-0000-0000210D0000}"/>
    <cellStyle name="Currency 5 3 4 9 2" xfId="13984" xr:uid="{3ADC97B3-806D-48CB-86F2-BB3EA4918A60}"/>
    <cellStyle name="Currency 5 3 5" xfId="217" xr:uid="{00000000-0005-0000-0000-0000220D0000}"/>
    <cellStyle name="Currency 5 3 5 10" xfId="9203" xr:uid="{6167CBBD-227C-4457-B6B6-18EF5C089771}"/>
    <cellStyle name="Currency 5 3 5 10 2" xfId="18519" xr:uid="{A464223D-21D6-4ED6-BD45-7B71B7316F45}"/>
    <cellStyle name="Currency 5 3 5 11" xfId="9768" xr:uid="{A327FE45-6B5A-4F82-B402-29A5630FD87D}"/>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806C3DAF-3ABC-4A5C-B686-C5F1C651E536}"/>
    <cellStyle name="Currency 5 3 5 2 2 3" xfId="12327" xr:uid="{671A9A62-C87F-4F48-8851-81B94A0DE015}"/>
    <cellStyle name="Currency 5 3 5 2 3" xfId="5073" xr:uid="{00000000-0005-0000-0000-0000260D0000}"/>
    <cellStyle name="Currency 5 3 5 2 3 2" xfId="14399" xr:uid="{AA34407E-75DC-432D-AB6C-9307F30E8968}"/>
    <cellStyle name="Currency 5 3 5 2 4" xfId="9600" xr:uid="{650A4058-48FE-4F3E-8845-8F52DF332026}"/>
    <cellStyle name="Currency 5 3 5 2 4 2" xfId="18904" xr:uid="{A954831D-5A52-481F-8D52-019B7FF6704D}"/>
    <cellStyle name="Currency 5 3 5 2 5" xfId="10182" xr:uid="{DF9572A5-FF72-45FF-947F-A26CE57F158C}"/>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1A7F1F6F-5EE2-40A5-A1C0-63221916A294}"/>
    <cellStyle name="Currency 5 3 5 3 2 3" xfId="12740" xr:uid="{423773D7-A696-4BA8-91C2-BC6E903D2D53}"/>
    <cellStyle name="Currency 5 3 5 3 3" xfId="5486" xr:uid="{00000000-0005-0000-0000-00002A0D0000}"/>
    <cellStyle name="Currency 5 3 5 3 3 2" xfId="14812" xr:uid="{57417475-F99B-4BA0-8575-503AB3CF720F}"/>
    <cellStyle name="Currency 5 3 5 3 4" xfId="10595" xr:uid="{68C512EC-2EC6-4908-888E-AF3C2F98CD56}"/>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3E85D851-1D38-4979-BB9E-326F2C068343}"/>
    <cellStyle name="Currency 5 3 5 4 2 3" xfId="13153" xr:uid="{ED1CA355-4883-4BDF-9685-8A474B00F7D2}"/>
    <cellStyle name="Currency 5 3 5 4 3" xfId="5899" xr:uid="{00000000-0005-0000-0000-00002E0D0000}"/>
    <cellStyle name="Currency 5 3 5 4 3 2" xfId="15225" xr:uid="{298A9F9D-7261-4C12-85F4-60FD20BAB861}"/>
    <cellStyle name="Currency 5 3 5 4 4" xfId="11008" xr:uid="{1E3FCD52-D399-4FC1-8B03-747DC5097183}"/>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DD9F4F61-0139-4268-B4B9-970226BB3E62}"/>
    <cellStyle name="Currency 5 3 5 5 2 3" xfId="13566" xr:uid="{FD1F2026-6E4A-4FB5-97AE-AB20AE1775D6}"/>
    <cellStyle name="Currency 5 3 5 5 3" xfId="6312" xr:uid="{00000000-0005-0000-0000-0000320D0000}"/>
    <cellStyle name="Currency 5 3 5 5 3 2" xfId="15638" xr:uid="{949D7555-4C85-4083-A9B8-7AD1003A59C3}"/>
    <cellStyle name="Currency 5 3 5 5 4" xfId="11421" xr:uid="{700500FB-C9E2-4048-84BF-B2C695A9693E}"/>
    <cellStyle name="Currency 5 3 5 6" xfId="2441" xr:uid="{00000000-0005-0000-0000-0000330D0000}"/>
    <cellStyle name="Currency 5 3 5 6 2" xfId="6725" xr:uid="{00000000-0005-0000-0000-0000340D0000}"/>
    <cellStyle name="Currency 5 3 5 6 2 2" xfId="16051" xr:uid="{6C364CC2-B436-4B01-8572-55DE93F4E0C9}"/>
    <cellStyle name="Currency 5 3 5 6 3" xfId="11834" xr:uid="{DD8D0965-7BE7-47D4-8EEA-C8F0E3298EA7}"/>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B40FD72A-9A36-4981-A1C5-DDD386606AE2}"/>
    <cellStyle name="Currency 5 3 5 8 3" xfId="12151" xr:uid="{99A18D6E-EEF2-49E3-9DB6-5FBC2ED07060}"/>
    <cellStyle name="Currency 5 3 5 9" xfId="4659" xr:uid="{00000000-0005-0000-0000-0000380D0000}"/>
    <cellStyle name="Currency 5 3 5 9 2" xfId="13985" xr:uid="{51FD8CD7-86D8-44BD-8099-855E9C659459}"/>
    <cellStyle name="Currency 5 3 6" xfId="9585" xr:uid="{F259418A-5AC0-4C4E-A98C-07B5BEE6D673}"/>
    <cellStyle name="Currency 5 3 7" xfId="8779" xr:uid="{856D4C12-E347-4E8F-9200-2EC71AC3E0CB}"/>
    <cellStyle name="Currency 5 3 7 2" xfId="18103" xr:uid="{5EE80B45-11EA-488A-AF2D-2D1C104B656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5B2BA9A1-7401-4D91-8F16-4C203D608A7D}"/>
    <cellStyle name="Currency 5 5 11" xfId="8850" xr:uid="{8F129173-F323-478F-8B06-1E2599EB26C1}"/>
    <cellStyle name="Currency 5 5 11 2" xfId="18174" xr:uid="{A9A05197-39F4-4026-956D-8F1E10AFFF83}"/>
    <cellStyle name="Currency 5 5 12" xfId="9769" xr:uid="{78CDA74C-8B40-48D7-AE68-B1A5019FD1F6}"/>
    <cellStyle name="Currency 5 5 2" xfId="220" xr:uid="{00000000-0005-0000-0000-00003D0D0000}"/>
    <cellStyle name="Currency 5 5 2 10" xfId="9057" xr:uid="{90E61E49-0971-4EC1-90D8-E015846E4FB2}"/>
    <cellStyle name="Currency 5 5 2 10 2" xfId="18381" xr:uid="{4CC0F176-4FFC-4E7F-9782-6B4B5B4C96D9}"/>
    <cellStyle name="Currency 5 5 2 11" xfId="9770" xr:uid="{E48A27F7-0287-41D8-95B8-40137457A2AE}"/>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DA11F6FB-35E5-4CA9-A7B8-3345006AF1FA}"/>
    <cellStyle name="Currency 5 5 2 2 2 3" xfId="12329" xr:uid="{0DA8181A-37A4-45AB-8D90-A9BBA0D731EC}"/>
    <cellStyle name="Currency 5 5 2 2 3" xfId="5075" xr:uid="{00000000-0005-0000-0000-0000410D0000}"/>
    <cellStyle name="Currency 5 5 2 2 3 2" xfId="14401" xr:uid="{BD96095C-921B-4C97-946C-F1597E3082BA}"/>
    <cellStyle name="Currency 5 5 2 2 4" xfId="9482" xr:uid="{ECEE3E7C-42CD-4A2D-A90F-D54FFBA7E41F}"/>
    <cellStyle name="Currency 5 5 2 2 4 2" xfId="18797" xr:uid="{AAF69151-6212-425D-8CB9-A9C9DFBE31CE}"/>
    <cellStyle name="Currency 5 5 2 2 5" xfId="10184" xr:uid="{1B8A055A-00B9-42DF-B116-CF42D6115441}"/>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AB0A290D-2585-40D5-8608-CA27952B446C}"/>
    <cellStyle name="Currency 5 5 2 3 2 3" xfId="12742" xr:uid="{72A6AD2F-8DAD-4E25-88BE-248CC1DA4F82}"/>
    <cellStyle name="Currency 5 5 2 3 3" xfId="5488" xr:uid="{00000000-0005-0000-0000-0000450D0000}"/>
    <cellStyle name="Currency 5 5 2 3 3 2" xfId="14814" xr:uid="{4578F28B-7921-44DD-8EEA-C9E2F4EE03E2}"/>
    <cellStyle name="Currency 5 5 2 3 4" xfId="10597" xr:uid="{A9970864-96C2-4FA2-96E8-A894AB14281E}"/>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0716ADEE-FEFA-458A-AA1C-7B5C828BC58C}"/>
    <cellStyle name="Currency 5 5 2 4 2 3" xfId="13155" xr:uid="{2C64581D-EFBC-426F-B4E4-EC8DF36ADB1A}"/>
    <cellStyle name="Currency 5 5 2 4 3" xfId="5901" xr:uid="{00000000-0005-0000-0000-0000490D0000}"/>
    <cellStyle name="Currency 5 5 2 4 3 2" xfId="15227" xr:uid="{7E6B4756-967A-45CF-9B8B-9DD5314693F4}"/>
    <cellStyle name="Currency 5 5 2 4 4" xfId="11010" xr:uid="{FFEEDBD6-8B86-4BDB-80CD-7D9325BBCD09}"/>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803D7385-9F7D-4C96-A4FF-C3CE612BE850}"/>
    <cellStyle name="Currency 5 5 2 5 2 3" xfId="13568" xr:uid="{171F02A7-3020-4C80-B09E-8449E1027E39}"/>
    <cellStyle name="Currency 5 5 2 5 3" xfId="6314" xr:uid="{00000000-0005-0000-0000-00004D0D0000}"/>
    <cellStyle name="Currency 5 5 2 5 3 2" xfId="15640" xr:uid="{61D0E452-7A1D-4F58-BAF9-16ABD7DB7EA2}"/>
    <cellStyle name="Currency 5 5 2 5 4" xfId="11423" xr:uid="{DB831565-A3BC-41DC-BC51-4D12092DE79D}"/>
    <cellStyle name="Currency 5 5 2 6" xfId="2443" xr:uid="{00000000-0005-0000-0000-00004E0D0000}"/>
    <cellStyle name="Currency 5 5 2 6 2" xfId="6727" xr:uid="{00000000-0005-0000-0000-00004F0D0000}"/>
    <cellStyle name="Currency 5 5 2 6 2 2" xfId="16053" xr:uid="{9AA2EE30-346F-4582-899E-CBEA7A4BAB99}"/>
    <cellStyle name="Currency 5 5 2 6 3" xfId="11836" xr:uid="{FD6A518C-E97B-4517-A2B1-14E64D4FAFC6}"/>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0430CAA1-1887-4769-BEAA-BFA1157AAF6D}"/>
    <cellStyle name="Currency 5 5 2 8 3" xfId="12153" xr:uid="{1A5D39F9-B5EA-4541-915A-F1109E3B9075}"/>
    <cellStyle name="Currency 5 5 2 9" xfId="4661" xr:uid="{00000000-0005-0000-0000-0000530D0000}"/>
    <cellStyle name="Currency 5 5 2 9 2" xfId="13987" xr:uid="{A0C16D95-166E-49E4-AC7B-F51C51EBE2C7}"/>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3E133E08-E985-4181-967B-338573E2E9EA}"/>
    <cellStyle name="Currency 5 5 3 2 3" xfId="12328" xr:uid="{BAAF6148-F6C7-4218-AE5F-7DBFBFDC2174}"/>
    <cellStyle name="Currency 5 5 3 3" xfId="5074" xr:uid="{00000000-0005-0000-0000-0000570D0000}"/>
    <cellStyle name="Currency 5 5 3 3 2" xfId="14400" xr:uid="{9FB061F9-3800-4DBD-8A5F-781EB8D677D6}"/>
    <cellStyle name="Currency 5 5 3 4" xfId="9275" xr:uid="{54783F20-34E5-4A58-80AE-EC7CC69A89C9}"/>
    <cellStyle name="Currency 5 5 3 4 2" xfId="18590" xr:uid="{D769B147-38E7-4E23-ACD2-D17BC03721B2}"/>
    <cellStyle name="Currency 5 5 3 5" xfId="10183" xr:uid="{F21147D4-FB32-4DA0-93DC-E5CAC592F79F}"/>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AB177702-133C-4534-BA6B-47E5C2082625}"/>
    <cellStyle name="Currency 5 5 4 2 3" xfId="12741" xr:uid="{AD1A5EA9-DF5D-4664-B8F3-E33E158E9FEE}"/>
    <cellStyle name="Currency 5 5 4 3" xfId="5487" xr:uid="{00000000-0005-0000-0000-00005B0D0000}"/>
    <cellStyle name="Currency 5 5 4 3 2" xfId="14813" xr:uid="{E4D08436-B3B0-4996-98A1-3AB9418FCEE7}"/>
    <cellStyle name="Currency 5 5 4 4" xfId="10596" xr:uid="{D3D76F68-E2F5-4A43-80FE-62B24B38E1C3}"/>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32AFD27D-A947-4E20-8838-EFD6FC54667C}"/>
    <cellStyle name="Currency 5 5 5 2 3" xfId="13154" xr:uid="{0AA3868C-63A6-44B7-9E3A-4745954170A9}"/>
    <cellStyle name="Currency 5 5 5 3" xfId="5900" xr:uid="{00000000-0005-0000-0000-00005F0D0000}"/>
    <cellStyle name="Currency 5 5 5 3 2" xfId="15226" xr:uid="{71EC2123-035F-405A-880D-3E2847C84921}"/>
    <cellStyle name="Currency 5 5 5 4" xfId="11009" xr:uid="{17F1CE73-79B3-41E2-B522-769BB6B42D7A}"/>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5432FF88-CA4B-4501-A530-9ECB02FB1151}"/>
    <cellStyle name="Currency 5 5 6 2 3" xfId="13567" xr:uid="{BCC7C463-23E9-491C-9C27-21C9DFEB8385}"/>
    <cellStyle name="Currency 5 5 6 3" xfId="6313" xr:uid="{00000000-0005-0000-0000-0000630D0000}"/>
    <cellStyle name="Currency 5 5 6 3 2" xfId="15639" xr:uid="{6C5EAE9F-8268-4A81-B122-DDF19EDC39B0}"/>
    <cellStyle name="Currency 5 5 6 4" xfId="11422" xr:uid="{6CA6A855-A534-418F-B4C8-41C46B882060}"/>
    <cellStyle name="Currency 5 5 7" xfId="2442" xr:uid="{00000000-0005-0000-0000-0000640D0000}"/>
    <cellStyle name="Currency 5 5 7 2" xfId="6726" xr:uid="{00000000-0005-0000-0000-0000650D0000}"/>
    <cellStyle name="Currency 5 5 7 2 2" xfId="16052" xr:uid="{B1FD9034-0202-4110-B3C3-290FBD5FBE23}"/>
    <cellStyle name="Currency 5 5 7 3" xfId="11835" xr:uid="{D376AD95-0C24-46A8-8026-9BF376726EC6}"/>
    <cellStyle name="Currency 5 5 8" xfId="2739" xr:uid="{00000000-0005-0000-0000-0000660D0000}"/>
    <cellStyle name="Currency 5 5 9" xfId="2820" xr:uid="{00000000-0005-0000-0000-0000670D0000}"/>
    <cellStyle name="Currency 5 5 9 2" xfId="7043" xr:uid="{00000000-0005-0000-0000-0000680D0000}"/>
    <cellStyle name="Currency 5 5 9 2 2" xfId="16369" xr:uid="{1CA5AFC8-8580-4D7F-BF7E-319E99BF5F7D}"/>
    <cellStyle name="Currency 5 5 9 3" xfId="12152" xr:uid="{780E484E-4220-4C3A-8FAA-B66C205265AD}"/>
    <cellStyle name="Currency 5 6" xfId="221" xr:uid="{00000000-0005-0000-0000-0000690D0000}"/>
    <cellStyle name="Currency 5 6 10" xfId="8966" xr:uid="{EC95BD1E-EAA8-4043-BDA7-06F3BBDBC3D5}"/>
    <cellStyle name="Currency 5 6 10 2" xfId="18290" xr:uid="{D032CCDE-B925-425B-9A3B-37E084E17064}"/>
    <cellStyle name="Currency 5 6 11" xfId="9771" xr:uid="{12B65EE8-ACAF-45A5-A4F5-B005A8C4C1FC}"/>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87792CBB-A8E2-49B3-BC92-258A81846972}"/>
    <cellStyle name="Currency 5 6 2 2 3" xfId="12330" xr:uid="{EECAF333-C4AA-402F-AFAE-D3C8366CEC24}"/>
    <cellStyle name="Currency 5 6 2 3" xfId="5076" xr:uid="{00000000-0005-0000-0000-00006D0D0000}"/>
    <cellStyle name="Currency 5 6 2 3 2" xfId="14402" xr:uid="{85218F45-EDC3-4DB6-92CD-F758974955AF}"/>
    <cellStyle name="Currency 5 6 2 4" xfId="9391" xr:uid="{8CBF3F74-51EC-4402-B96A-0759E6537FC7}"/>
    <cellStyle name="Currency 5 6 2 4 2" xfId="18706" xr:uid="{4E9F8BA4-1614-44B2-9FCF-90E0AD62FB17}"/>
    <cellStyle name="Currency 5 6 2 5" xfId="10185" xr:uid="{0087DAA6-6114-4888-8B74-598CDCE75A8E}"/>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A036C210-4BFE-43DE-80FE-CAFD103B0CC1}"/>
    <cellStyle name="Currency 5 6 3 2 3" xfId="12743" xr:uid="{CD5EFBEE-052F-48A1-8372-275E2B75FC37}"/>
    <cellStyle name="Currency 5 6 3 3" xfId="5489" xr:uid="{00000000-0005-0000-0000-0000710D0000}"/>
    <cellStyle name="Currency 5 6 3 3 2" xfId="14815" xr:uid="{6C5ED795-BD81-42BE-824C-7A7D0D06149C}"/>
    <cellStyle name="Currency 5 6 3 4" xfId="10598" xr:uid="{886EAAFD-E757-4053-9B92-358C375521F0}"/>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4D79BFC3-D4B2-43C9-9F2C-4C7E04472C68}"/>
    <cellStyle name="Currency 5 6 4 2 3" xfId="13156" xr:uid="{20D922D6-F3CA-4435-9DAB-3608920AE651}"/>
    <cellStyle name="Currency 5 6 4 3" xfId="5902" xr:uid="{00000000-0005-0000-0000-0000750D0000}"/>
    <cellStyle name="Currency 5 6 4 3 2" xfId="15228" xr:uid="{4DDBB9A5-8070-4D89-8086-BD2D3A6FB19C}"/>
    <cellStyle name="Currency 5 6 4 4" xfId="11011" xr:uid="{FA3774C3-C6CB-4E77-871D-D59AF615CD1C}"/>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E6122E70-26D6-454B-982D-8C71DC8A3564}"/>
    <cellStyle name="Currency 5 6 5 2 3" xfId="13569" xr:uid="{710D6FAA-03F4-4CF5-9EAF-36084560C502}"/>
    <cellStyle name="Currency 5 6 5 3" xfId="6315" xr:uid="{00000000-0005-0000-0000-0000790D0000}"/>
    <cellStyle name="Currency 5 6 5 3 2" xfId="15641" xr:uid="{270ABB32-E82C-4FAB-9908-AA8A73424563}"/>
    <cellStyle name="Currency 5 6 5 4" xfId="11424" xr:uid="{DF8341CA-E1CC-49B1-AF6A-92FE71C2E246}"/>
    <cellStyle name="Currency 5 6 6" xfId="2444" xr:uid="{00000000-0005-0000-0000-00007A0D0000}"/>
    <cellStyle name="Currency 5 6 6 2" xfId="6728" xr:uid="{00000000-0005-0000-0000-00007B0D0000}"/>
    <cellStyle name="Currency 5 6 6 2 2" xfId="16054" xr:uid="{CE640015-C6A2-46E4-97A9-35370814657B}"/>
    <cellStyle name="Currency 5 6 6 3" xfId="11837" xr:uid="{41718D1B-A565-401F-8278-55A25316E0AF}"/>
    <cellStyle name="Currency 5 6 7" xfId="2741" xr:uid="{00000000-0005-0000-0000-00007C0D0000}"/>
    <cellStyle name="Currency 5 6 8" xfId="2822" xr:uid="{00000000-0005-0000-0000-00007D0D0000}"/>
    <cellStyle name="Currency 5 6 8 2" xfId="7045" xr:uid="{00000000-0005-0000-0000-00007E0D0000}"/>
    <cellStyle name="Currency 5 6 8 2 2" xfId="16371" xr:uid="{90BC71EE-451E-4BB5-887C-E632578E4D64}"/>
    <cellStyle name="Currency 5 6 8 3" xfId="12154" xr:uid="{EB21A2C0-7A36-448D-ADB0-8A7521BC15C2}"/>
    <cellStyle name="Currency 5 6 9" xfId="4662" xr:uid="{00000000-0005-0000-0000-00007F0D0000}"/>
    <cellStyle name="Currency 5 6 9 2" xfId="13988" xr:uid="{00CC5E8C-4212-493E-80EF-95F84CD6C99A}"/>
    <cellStyle name="Currency 5 7" xfId="222" xr:uid="{00000000-0005-0000-0000-0000800D0000}"/>
    <cellStyle name="Currency 5 7 10" xfId="9169" xr:uid="{7A886DE7-136A-429E-90E2-A7C712D111D8}"/>
    <cellStyle name="Currency 5 7 10 2" xfId="18487" xr:uid="{BB1D3B96-0096-4FB5-9197-703FB4C7DB4F}"/>
    <cellStyle name="Currency 5 7 11" xfId="9772" xr:uid="{3B0600F3-743C-455D-8D60-534AC26B54DB}"/>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9A5BCFE8-3948-4656-81FE-BC0560711B96}"/>
    <cellStyle name="Currency 5 7 2 2 3" xfId="12331" xr:uid="{50B71C8F-A956-4A6C-983F-17030CB05082}"/>
    <cellStyle name="Currency 5 7 2 3" xfId="5077" xr:uid="{00000000-0005-0000-0000-0000840D0000}"/>
    <cellStyle name="Currency 5 7 2 3 2" xfId="14403" xr:uid="{78E2DA62-09A8-4B1A-9688-8468AE7C9184}"/>
    <cellStyle name="Currency 5 7 2 4" xfId="9601" xr:uid="{DC93A830-0AF1-4EC4-B764-C728922F3FEF}"/>
    <cellStyle name="Currency 5 7 2 4 2" xfId="18905" xr:uid="{E4393390-47C9-4C5B-896A-8B288D382F43}"/>
    <cellStyle name="Currency 5 7 2 5" xfId="10186" xr:uid="{25703B15-5789-476A-8413-5F99CAA9D24F}"/>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07811D14-47F7-4DD2-9E31-4FF663743506}"/>
    <cellStyle name="Currency 5 7 3 2 3" xfId="12744" xr:uid="{333F7D2F-2091-4471-893E-FC668C337F36}"/>
    <cellStyle name="Currency 5 7 3 3" xfId="5490" xr:uid="{00000000-0005-0000-0000-0000880D0000}"/>
    <cellStyle name="Currency 5 7 3 3 2" xfId="14816" xr:uid="{7FA8D851-20B0-425C-9B09-19152D140226}"/>
    <cellStyle name="Currency 5 7 3 4" xfId="10599" xr:uid="{D9E83637-079A-427E-9773-63818E735951}"/>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065079E5-4221-4DF2-9141-8F2BEC931A62}"/>
    <cellStyle name="Currency 5 7 4 2 3" xfId="13157" xr:uid="{F62DB7F9-7CB5-47AA-89CE-AB3581B5FC63}"/>
    <cellStyle name="Currency 5 7 4 3" xfId="5903" xr:uid="{00000000-0005-0000-0000-00008C0D0000}"/>
    <cellStyle name="Currency 5 7 4 3 2" xfId="15229" xr:uid="{A7FE39EC-A53F-4613-A8E5-0072F0E2EF34}"/>
    <cellStyle name="Currency 5 7 4 4" xfId="11012" xr:uid="{99C5D0A8-7D19-451D-8DAB-17B296A00F01}"/>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091FB178-1FBD-4FE7-B9A8-A0767074F898}"/>
    <cellStyle name="Currency 5 7 5 2 3" xfId="13570" xr:uid="{A27CF795-E381-4EB4-A7E7-A27972993C26}"/>
    <cellStyle name="Currency 5 7 5 3" xfId="6316" xr:uid="{00000000-0005-0000-0000-0000900D0000}"/>
    <cellStyle name="Currency 5 7 5 3 2" xfId="15642" xr:uid="{F3600660-D26F-43B8-9DE8-E35C71E0728D}"/>
    <cellStyle name="Currency 5 7 5 4" xfId="11425" xr:uid="{F1781BB8-3DEA-4F7E-A258-27CB561E4ABE}"/>
    <cellStyle name="Currency 5 7 6" xfId="2445" xr:uid="{00000000-0005-0000-0000-0000910D0000}"/>
    <cellStyle name="Currency 5 7 6 2" xfId="6729" xr:uid="{00000000-0005-0000-0000-0000920D0000}"/>
    <cellStyle name="Currency 5 7 6 2 2" xfId="16055" xr:uid="{9B215AD9-6320-4D1B-8D39-E28810223F01}"/>
    <cellStyle name="Currency 5 7 6 3" xfId="11838" xr:uid="{1E0A4C30-6273-49B9-929D-859ECD58FBE8}"/>
    <cellStyle name="Currency 5 7 7" xfId="2742" xr:uid="{00000000-0005-0000-0000-0000930D0000}"/>
    <cellStyle name="Currency 5 7 8" xfId="2823" xr:uid="{00000000-0005-0000-0000-0000940D0000}"/>
    <cellStyle name="Currency 5 7 8 2" xfId="7046" xr:uid="{00000000-0005-0000-0000-0000950D0000}"/>
    <cellStyle name="Currency 5 7 8 2 2" xfId="16372" xr:uid="{9FE27895-5541-454A-9D9F-ED5D6139BB24}"/>
    <cellStyle name="Currency 5 7 8 3" xfId="12155" xr:uid="{2735D559-587B-48A6-8D52-0142D37E9724}"/>
    <cellStyle name="Currency 5 7 9" xfId="4663" xr:uid="{00000000-0005-0000-0000-0000960D0000}"/>
    <cellStyle name="Currency 5 7 9 2" xfId="13989" xr:uid="{E91E3147-271C-487B-B725-56E480B83E08}"/>
    <cellStyle name="Currency 5 8" xfId="721" xr:uid="{00000000-0005-0000-0000-0000970D0000}"/>
    <cellStyle name="Currency 5 9" xfId="8747" xr:uid="{CCFF1C6E-BA46-44B7-A8DD-B170160D04FF}"/>
    <cellStyle name="Currency 5 9 2" xfId="18071" xr:uid="{5E7BDE2D-E342-4348-825C-F87DCFBB7579}"/>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86E03181-C8A7-4005-9C7A-560BCA354DC7}"/>
    <cellStyle name="Normal 12 10 3" xfId="11839" xr:uid="{53CAB764-0477-40D2-9215-5C5FCC9395BA}"/>
    <cellStyle name="Normal 12 11" xfId="4664" xr:uid="{00000000-0005-0000-0000-0000CC0D0000}"/>
    <cellStyle name="Normal 12 11 2" xfId="13990" xr:uid="{6D44EED4-081C-43AF-B8C9-F41CE91221BF}"/>
    <cellStyle name="Normal 12 12" xfId="8770" xr:uid="{16E7F001-A88D-4413-825E-78352A31064A}"/>
    <cellStyle name="Normal 12 12 2" xfId="18094" xr:uid="{5D453793-99CE-49B0-A53E-25B820A76F62}"/>
    <cellStyle name="Normal 12 13" xfId="9773" xr:uid="{BB72F37F-703B-458C-BF4C-FCB72AA624FA}"/>
    <cellStyle name="Normal 12 2" xfId="260" xr:uid="{00000000-0005-0000-0000-0000CD0D0000}"/>
    <cellStyle name="Normal 12 2 10" xfId="8811" xr:uid="{C610EFA7-DF28-475D-A7AA-61B6675A083B}"/>
    <cellStyle name="Normal 12 2 10 2" xfId="18135" xr:uid="{357445DC-D19B-426B-836A-5042D1727A29}"/>
    <cellStyle name="Normal 12 2 11" xfId="9774" xr:uid="{849E95CA-D921-4770-AAA9-C764C84C908C}"/>
    <cellStyle name="Normal 12 2 2" xfId="261" xr:uid="{00000000-0005-0000-0000-0000CE0D0000}"/>
    <cellStyle name="Normal 12 2 2 10" xfId="9775" xr:uid="{8FF72F12-233A-4B8C-9CA3-690961F1BEF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E5D0AFCA-1789-4070-80B7-D397E4911907}"/>
    <cellStyle name="Normal 12 2 2 2 2 2 3" xfId="12335" xr:uid="{9E068553-DDCF-4474-BC4D-C6FF77EE5812}"/>
    <cellStyle name="Normal 12 2 2 2 2 3" xfId="5081" xr:uid="{00000000-0005-0000-0000-0000D30D0000}"/>
    <cellStyle name="Normal 12 2 2 2 2 3 2" xfId="14407" xr:uid="{FAFC0FE4-02D7-4940-A853-F424226812CF}"/>
    <cellStyle name="Normal 12 2 2 2 2 4" xfId="9546" xr:uid="{609DE280-4DA3-4355-9F1C-9E01708347EA}"/>
    <cellStyle name="Normal 12 2 2 2 2 4 2" xfId="18861" xr:uid="{14A18450-E94F-4E54-B34D-B07D6480AB48}"/>
    <cellStyle name="Normal 12 2 2 2 2 5" xfId="10190" xr:uid="{B916BF5C-4A36-4C29-B123-4BFEE2170A2D}"/>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6FEE5BF9-2E5C-421D-A654-1643050FFA44}"/>
    <cellStyle name="Normal 12 2 2 2 3 2 3" xfId="12748" xr:uid="{561FDCB0-C2C3-4DFC-8540-1264A8256813}"/>
    <cellStyle name="Normal 12 2 2 2 3 3" xfId="5494" xr:uid="{00000000-0005-0000-0000-0000D70D0000}"/>
    <cellStyle name="Normal 12 2 2 2 3 3 2" xfId="14820" xr:uid="{1FF1F368-CF85-44DC-B4C7-DB2332D673C7}"/>
    <cellStyle name="Normal 12 2 2 2 3 4" xfId="10603" xr:uid="{91B4DEC3-797F-4849-9DB7-69F1A775DF86}"/>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34BC4A1B-5D4C-4D24-84D2-ECD6869EDAE6}"/>
    <cellStyle name="Normal 12 2 2 2 4 2 3" xfId="13161" xr:uid="{F0B668FC-384B-4907-BDAD-6AC7FD7B5794}"/>
    <cellStyle name="Normal 12 2 2 2 4 3" xfId="5907" xr:uid="{00000000-0005-0000-0000-0000DB0D0000}"/>
    <cellStyle name="Normal 12 2 2 2 4 3 2" xfId="15233" xr:uid="{9B9799D0-4071-4D78-B367-F9D64AFBECBC}"/>
    <cellStyle name="Normal 12 2 2 2 4 4" xfId="11016" xr:uid="{3912A360-C4D5-4618-996C-C6C2A9B8261D}"/>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CECE51E4-309C-464C-A5D0-9A28900A1990}"/>
    <cellStyle name="Normal 12 2 2 2 5 2 3" xfId="13574" xr:uid="{B07C506A-8ED6-4210-8A71-0B99FD2F9F5F}"/>
    <cellStyle name="Normal 12 2 2 2 5 3" xfId="6320" xr:uid="{00000000-0005-0000-0000-0000DF0D0000}"/>
    <cellStyle name="Normal 12 2 2 2 5 3 2" xfId="15646" xr:uid="{74CB05F1-5D1F-4D33-B1DC-F1BE14B6A4D9}"/>
    <cellStyle name="Normal 12 2 2 2 5 4" xfId="11429" xr:uid="{4B8AC4A0-CB28-49FC-A716-ADBE36B805F7}"/>
    <cellStyle name="Normal 12 2 2 2 6" xfId="2450" xr:uid="{00000000-0005-0000-0000-0000E00D0000}"/>
    <cellStyle name="Normal 12 2 2 2 6 2" xfId="6733" xr:uid="{00000000-0005-0000-0000-0000E10D0000}"/>
    <cellStyle name="Normal 12 2 2 2 6 2 2" xfId="16059" xr:uid="{E464134A-D5D9-472F-AB15-06D28FC05A33}"/>
    <cellStyle name="Normal 12 2 2 2 6 3" xfId="11842" xr:uid="{59BE3F52-A186-49F4-B5D2-B5186DE8292A}"/>
    <cellStyle name="Normal 12 2 2 2 7" xfId="4667" xr:uid="{00000000-0005-0000-0000-0000E20D0000}"/>
    <cellStyle name="Normal 12 2 2 2 7 2" xfId="13993" xr:uid="{2CB39243-DDAE-4447-BCDF-C36939464590}"/>
    <cellStyle name="Normal 12 2 2 2 8" xfId="9121" xr:uid="{527C15BB-BE4D-46AB-9317-CC8E6838C91D}"/>
    <cellStyle name="Normal 12 2 2 2 8 2" xfId="18445" xr:uid="{537F4774-8C9F-4999-A6D3-D9F3FD3F4AE9}"/>
    <cellStyle name="Normal 12 2 2 2 9" xfId="9776" xr:uid="{DB5D5D61-EC95-41F7-8A9A-48218200778B}"/>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7FC24805-4AC5-440A-AB9E-AF11A1C6AEDE}"/>
    <cellStyle name="Normal 12 2 2 3 2 3" xfId="12334" xr:uid="{89828D5B-3B5B-4F24-880E-1440FBB91AB7}"/>
    <cellStyle name="Normal 12 2 2 3 3" xfId="5080" xr:uid="{00000000-0005-0000-0000-0000E60D0000}"/>
    <cellStyle name="Normal 12 2 2 3 3 2" xfId="14406" xr:uid="{80C50F8B-78A9-4E8A-944F-B24A75827386}"/>
    <cellStyle name="Normal 12 2 2 3 4" xfId="9339" xr:uid="{F3F800C1-92DF-4F1F-A561-C3F3C7F8BAD1}"/>
    <cellStyle name="Normal 12 2 2 3 4 2" xfId="18654" xr:uid="{A616BDAD-0177-4F92-A4F3-4AB38820CA91}"/>
    <cellStyle name="Normal 12 2 2 3 5" xfId="10189" xr:uid="{5499797E-221F-4A90-BBE1-912B4BEC81B7}"/>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3D78BE4E-5830-4F98-8005-5BEAA4B9A64E}"/>
    <cellStyle name="Normal 12 2 2 4 2 3" xfId="12747" xr:uid="{0CE70528-D2C4-4C9B-8CA3-01F238A91741}"/>
    <cellStyle name="Normal 12 2 2 4 3" xfId="5493" xr:uid="{00000000-0005-0000-0000-0000EA0D0000}"/>
    <cellStyle name="Normal 12 2 2 4 3 2" xfId="14819" xr:uid="{2369E833-4F78-4D12-963E-F439662ED88F}"/>
    <cellStyle name="Normal 12 2 2 4 4" xfId="10602" xr:uid="{35941EF3-C58A-4F64-AB37-2674AC1510F1}"/>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0172F80B-3242-45FA-9F4E-A6B80E359201}"/>
    <cellStyle name="Normal 12 2 2 5 2 3" xfId="13160" xr:uid="{F2D31CD9-FE78-41FA-8001-A1F47CD3192E}"/>
    <cellStyle name="Normal 12 2 2 5 3" xfId="5906" xr:uid="{00000000-0005-0000-0000-0000EE0D0000}"/>
    <cellStyle name="Normal 12 2 2 5 3 2" xfId="15232" xr:uid="{3E45DD1A-B7DB-4D70-B135-3828417243C2}"/>
    <cellStyle name="Normal 12 2 2 5 4" xfId="11015" xr:uid="{65B80301-3F8F-4CB3-B460-FBFC6F3F5D28}"/>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91A2FF7E-68E3-4416-A678-B5850BD50092}"/>
    <cellStyle name="Normal 12 2 2 6 2 3" xfId="13573" xr:uid="{9FFAB7C7-94FA-4E0C-AB01-07BEC22FEC01}"/>
    <cellStyle name="Normal 12 2 2 6 3" xfId="6319" xr:uid="{00000000-0005-0000-0000-0000F20D0000}"/>
    <cellStyle name="Normal 12 2 2 6 3 2" xfId="15645" xr:uid="{C619772D-527A-4A88-BA36-4F37B9C8FD6A}"/>
    <cellStyle name="Normal 12 2 2 6 4" xfId="11428" xr:uid="{63C0D52E-02E2-415E-BAE8-26AA4788AFEF}"/>
    <cellStyle name="Normal 12 2 2 7" xfId="2449" xr:uid="{00000000-0005-0000-0000-0000F30D0000}"/>
    <cellStyle name="Normal 12 2 2 7 2" xfId="6732" xr:uid="{00000000-0005-0000-0000-0000F40D0000}"/>
    <cellStyle name="Normal 12 2 2 7 2 2" xfId="16058" xr:uid="{FC54E578-AF0F-4216-9FAE-D65C36C6717B}"/>
    <cellStyle name="Normal 12 2 2 7 3" xfId="11841" xr:uid="{4DAD9562-4518-487C-A0B9-9915F4D3B378}"/>
    <cellStyle name="Normal 12 2 2 8" xfId="4666" xr:uid="{00000000-0005-0000-0000-0000F50D0000}"/>
    <cellStyle name="Normal 12 2 2 8 2" xfId="13992" xr:uid="{6E42DC0E-DFD9-4DDF-929B-55A6FD6A2314}"/>
    <cellStyle name="Normal 12 2 2 9" xfId="8914" xr:uid="{85903DBC-FA0A-4A9D-9FB4-BA36A4B6F510}"/>
    <cellStyle name="Normal 12 2 2 9 2" xfId="18238" xr:uid="{54A9E0D2-A766-4260-ACE8-AFD27B9E3CC2}"/>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C0396D4A-9FA2-4D4E-830F-96D11DAAD6EB}"/>
    <cellStyle name="Normal 12 2 3 2 2 3" xfId="12336" xr:uid="{A9D799AC-18D7-42E8-9697-2F851EE1A288}"/>
    <cellStyle name="Normal 12 2 3 2 3" xfId="5082" xr:uid="{00000000-0005-0000-0000-0000FA0D0000}"/>
    <cellStyle name="Normal 12 2 3 2 3 2" xfId="14408" xr:uid="{37AD586E-4B2F-454A-B5E9-1CFD9F040356}"/>
    <cellStyle name="Normal 12 2 3 2 4" xfId="9443" xr:uid="{61F0A971-1285-4215-8170-49D07520551A}"/>
    <cellStyle name="Normal 12 2 3 2 4 2" xfId="18758" xr:uid="{2FB1FCE8-18AB-4E27-ADDD-114C7B07D8D0}"/>
    <cellStyle name="Normal 12 2 3 2 5" xfId="10191" xr:uid="{AEB6020A-0285-422F-A2C5-CC4C5CC466FF}"/>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5FD8D865-D1C4-4F8A-96BB-E647B23C3EAD}"/>
    <cellStyle name="Normal 12 2 3 3 2 3" xfId="12749" xr:uid="{8C3587D1-D938-43D0-A02F-0A075212400A}"/>
    <cellStyle name="Normal 12 2 3 3 3" xfId="5495" xr:uid="{00000000-0005-0000-0000-0000FE0D0000}"/>
    <cellStyle name="Normal 12 2 3 3 3 2" xfId="14821" xr:uid="{19C13DB8-BDD5-4D72-9428-06C23DD54404}"/>
    <cellStyle name="Normal 12 2 3 3 4" xfId="10604" xr:uid="{E91FF293-0764-4D74-8622-F154753AEABD}"/>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A50070D3-DCCF-4194-8D10-64EE4A87B970}"/>
    <cellStyle name="Normal 12 2 3 4 2 3" xfId="13162" xr:uid="{88FE7DF2-27BA-4E5D-A3A7-732435A43548}"/>
    <cellStyle name="Normal 12 2 3 4 3" xfId="5908" xr:uid="{00000000-0005-0000-0000-0000020E0000}"/>
    <cellStyle name="Normal 12 2 3 4 3 2" xfId="15234" xr:uid="{FA78C4D2-9769-4259-967D-C7FB17A66AFD}"/>
    <cellStyle name="Normal 12 2 3 4 4" xfId="11017" xr:uid="{9BD7AD52-058E-4307-B8CA-28DE05FF311F}"/>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3111C524-3286-466B-9EC7-6B14C6032C91}"/>
    <cellStyle name="Normal 12 2 3 5 2 3" xfId="13575" xr:uid="{B5A8CE3E-7ADE-4B32-BC96-30F759D4942E}"/>
    <cellStyle name="Normal 12 2 3 5 3" xfId="6321" xr:uid="{00000000-0005-0000-0000-0000060E0000}"/>
    <cellStyle name="Normal 12 2 3 5 3 2" xfId="15647" xr:uid="{71F5B7A1-B8C1-4A6B-A39C-96A07A6D48A9}"/>
    <cellStyle name="Normal 12 2 3 5 4" xfId="11430" xr:uid="{BFD952C7-2EAD-4203-95E0-1CC1F20941A5}"/>
    <cellStyle name="Normal 12 2 3 6" xfId="2451" xr:uid="{00000000-0005-0000-0000-0000070E0000}"/>
    <cellStyle name="Normal 12 2 3 6 2" xfId="6734" xr:uid="{00000000-0005-0000-0000-0000080E0000}"/>
    <cellStyle name="Normal 12 2 3 6 2 2" xfId="16060" xr:uid="{6F6DB6B9-1B11-445C-9576-62AB8A61454C}"/>
    <cellStyle name="Normal 12 2 3 6 3" xfId="11843" xr:uid="{A1A5D842-81F6-4BF3-9922-33A6C7783172}"/>
    <cellStyle name="Normal 12 2 3 7" xfId="4668" xr:uid="{00000000-0005-0000-0000-0000090E0000}"/>
    <cellStyle name="Normal 12 2 3 7 2" xfId="13994" xr:uid="{F4BA92AB-7E09-4D0D-93A5-4BE6E8026AEC}"/>
    <cellStyle name="Normal 12 2 3 8" xfId="9018" xr:uid="{C3F41DC6-3A80-4145-A68D-169ABB54B6D0}"/>
    <cellStyle name="Normal 12 2 3 8 2" xfId="18342" xr:uid="{C8CCFBDA-6001-4F77-AD67-6267E7A919B9}"/>
    <cellStyle name="Normal 12 2 3 9" xfId="9777" xr:uid="{CA02D677-2BE7-42E0-86D5-B8BDAA90F5CA}"/>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981CE472-725E-4C26-AED3-B11E7BCB5400}"/>
    <cellStyle name="Normal 12 2 4 2 3" xfId="12333" xr:uid="{4FAAF713-D829-4893-B56A-03852BF3333D}"/>
    <cellStyle name="Normal 12 2 4 3" xfId="5079" xr:uid="{00000000-0005-0000-0000-00000D0E0000}"/>
    <cellStyle name="Normal 12 2 4 3 2" xfId="14405" xr:uid="{E9ACBD0A-152F-4C45-968C-6F3092E12E70}"/>
    <cellStyle name="Normal 12 2 4 4" xfId="9236" xr:uid="{C3D0196D-4BB3-4870-9762-A3CF40E5B45B}"/>
    <cellStyle name="Normal 12 2 4 4 2" xfId="18551" xr:uid="{0A8B0891-529C-40D6-A792-61967B9A0F1E}"/>
    <cellStyle name="Normal 12 2 4 5" xfId="10188" xr:uid="{1F369593-894B-4C3A-9FB7-58FEAE02A6D4}"/>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95566EB0-3670-4413-A4C5-213D5C8A661D}"/>
    <cellStyle name="Normal 12 2 5 2 3" xfId="12746" xr:uid="{4F5208E0-3940-4DC3-B8EF-82316CBB37B2}"/>
    <cellStyle name="Normal 12 2 5 3" xfId="5492" xr:uid="{00000000-0005-0000-0000-0000110E0000}"/>
    <cellStyle name="Normal 12 2 5 3 2" xfId="14818" xr:uid="{457AF7E1-94AD-46A4-BF67-F5CEF8135528}"/>
    <cellStyle name="Normal 12 2 5 4" xfId="10601" xr:uid="{FC4D5058-A9DE-468A-89F1-2788E13A1B79}"/>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94C8751D-8DFC-4BFC-833D-1001636401C3}"/>
    <cellStyle name="Normal 12 2 6 2 3" xfId="13159" xr:uid="{4FD68DF2-986D-4059-AFC6-145C7B6AA848}"/>
    <cellStyle name="Normal 12 2 6 3" xfId="5905" xr:uid="{00000000-0005-0000-0000-0000150E0000}"/>
    <cellStyle name="Normal 12 2 6 3 2" xfId="15231" xr:uid="{6E83201B-C8FA-4BB7-AC44-65F4640779D5}"/>
    <cellStyle name="Normal 12 2 6 4" xfId="11014" xr:uid="{2E3E2858-B5F3-40ED-879A-C79AB88367F4}"/>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DCC6F2A4-E5B2-488E-9ECA-D23DDCF6CAF0}"/>
    <cellStyle name="Normal 12 2 7 2 3" xfId="13572" xr:uid="{077BA042-DCF9-401F-9EA7-D2395FDE19EC}"/>
    <cellStyle name="Normal 12 2 7 3" xfId="6318" xr:uid="{00000000-0005-0000-0000-0000190E0000}"/>
    <cellStyle name="Normal 12 2 7 3 2" xfId="15644" xr:uid="{A8B4BA20-6CFC-4BA6-BC36-98EAB230519A}"/>
    <cellStyle name="Normal 12 2 7 4" xfId="11427" xr:uid="{07B93F78-DCA8-41B5-9C5E-76D92F4FD170}"/>
    <cellStyle name="Normal 12 2 8" xfId="2448" xr:uid="{00000000-0005-0000-0000-00001A0E0000}"/>
    <cellStyle name="Normal 12 2 8 2" xfId="6731" xr:uid="{00000000-0005-0000-0000-00001B0E0000}"/>
    <cellStyle name="Normal 12 2 8 2 2" xfId="16057" xr:uid="{5F2ABF66-C939-45EC-B396-5A3AC5AB53A5}"/>
    <cellStyle name="Normal 12 2 8 3" xfId="11840" xr:uid="{94792919-2B29-48BE-B6D4-D6DB6EDA9D4E}"/>
    <cellStyle name="Normal 12 2 9" xfId="4665" xr:uid="{00000000-0005-0000-0000-00001C0E0000}"/>
    <cellStyle name="Normal 12 2 9 2" xfId="13991" xr:uid="{AB6DA899-B620-4CF6-96A2-CBA1EC4F9ACE}"/>
    <cellStyle name="Normal 12 3" xfId="264" xr:uid="{00000000-0005-0000-0000-00001D0E0000}"/>
    <cellStyle name="Normal 12 3 10" xfId="9778" xr:uid="{93BE3519-DBE9-4D58-B473-023A39006F03}"/>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C073165B-9B68-4A3F-9EE2-59DCB27B3640}"/>
    <cellStyle name="Normal 12 3 2 2 2 3" xfId="12338" xr:uid="{C41961BA-656F-4E13-8922-283CEE4053B4}"/>
    <cellStyle name="Normal 12 3 2 2 3" xfId="5084" xr:uid="{00000000-0005-0000-0000-0000220E0000}"/>
    <cellStyle name="Normal 12 3 2 2 3 2" xfId="14410" xr:uid="{C2D8F503-AC3B-4793-AB41-07AA3C720E5A}"/>
    <cellStyle name="Normal 12 3 2 2 4" xfId="9505" xr:uid="{B127619B-367D-40AD-851E-01DDBB2DCD13}"/>
    <cellStyle name="Normal 12 3 2 2 4 2" xfId="18820" xr:uid="{C08FCDA8-D77F-439D-B476-8C84B9F81C13}"/>
    <cellStyle name="Normal 12 3 2 2 5" xfId="10193" xr:uid="{DACC34C2-0BBA-418C-B543-F12D7C9EEDCF}"/>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6C12B638-58F8-4FC6-A2F3-FDCC8D34FF2E}"/>
    <cellStyle name="Normal 12 3 2 3 2 3" xfId="12751" xr:uid="{7F3FB7B0-F2AE-4BA5-86DE-D05B135AC081}"/>
    <cellStyle name="Normal 12 3 2 3 3" xfId="5497" xr:uid="{00000000-0005-0000-0000-0000260E0000}"/>
    <cellStyle name="Normal 12 3 2 3 3 2" xfId="14823" xr:uid="{DE5602B7-7A73-473E-BB49-A2D60C848484}"/>
    <cellStyle name="Normal 12 3 2 3 4" xfId="10606" xr:uid="{63215BA0-38BE-4F93-83B0-1970B2654667}"/>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7FBE22FF-29D2-47F6-BA08-457551000CDE}"/>
    <cellStyle name="Normal 12 3 2 4 2 3" xfId="13164" xr:uid="{CEF1F60A-6721-4666-9E36-D9C2154C89F3}"/>
    <cellStyle name="Normal 12 3 2 4 3" xfId="5910" xr:uid="{00000000-0005-0000-0000-00002A0E0000}"/>
    <cellStyle name="Normal 12 3 2 4 3 2" xfId="15236" xr:uid="{22B05E89-630A-4053-BBC5-1F5D77CC3CFC}"/>
    <cellStyle name="Normal 12 3 2 4 4" xfId="11019" xr:uid="{694E3216-8092-4395-9B9F-D1CF2A9D6AC0}"/>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9D5658B9-0F20-4BED-9480-9A77F74B8E2B}"/>
    <cellStyle name="Normal 12 3 2 5 2 3" xfId="13577" xr:uid="{364B6397-AADF-4449-89B6-F1F607BAA997}"/>
    <cellStyle name="Normal 12 3 2 5 3" xfId="6323" xr:uid="{00000000-0005-0000-0000-00002E0E0000}"/>
    <cellStyle name="Normal 12 3 2 5 3 2" xfId="15649" xr:uid="{8602E277-BFB2-4290-9044-D0176350702E}"/>
    <cellStyle name="Normal 12 3 2 5 4" xfId="11432" xr:uid="{23603E4F-8FB2-49C5-A97A-8E91DDB16F00}"/>
    <cellStyle name="Normal 12 3 2 6" xfId="2453" xr:uid="{00000000-0005-0000-0000-00002F0E0000}"/>
    <cellStyle name="Normal 12 3 2 6 2" xfId="6736" xr:uid="{00000000-0005-0000-0000-0000300E0000}"/>
    <cellStyle name="Normal 12 3 2 6 2 2" xfId="16062" xr:uid="{EE528700-DBDF-46CF-BF05-7014DB7FB7D7}"/>
    <cellStyle name="Normal 12 3 2 6 3" xfId="11845" xr:uid="{61F50677-60E8-4F65-A717-340A5729431E}"/>
    <cellStyle name="Normal 12 3 2 7" xfId="4670" xr:uid="{00000000-0005-0000-0000-0000310E0000}"/>
    <cellStyle name="Normal 12 3 2 7 2" xfId="13996" xr:uid="{C7CB77E6-487E-4061-BECB-538A660358FC}"/>
    <cellStyle name="Normal 12 3 2 8" xfId="9080" xr:uid="{403F3083-4A9F-4295-B676-C31241B8936E}"/>
    <cellStyle name="Normal 12 3 2 8 2" xfId="18404" xr:uid="{B891B1E1-9472-4F37-A9CE-BE64ECABFF1B}"/>
    <cellStyle name="Normal 12 3 2 9" xfId="9779" xr:uid="{638A78FB-4DA6-4F7E-9951-5A9468C4A1E7}"/>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221E268A-3153-4F37-83E9-522C6995AAD3}"/>
    <cellStyle name="Normal 12 3 3 2 3" xfId="12337" xr:uid="{611E5B8C-A1E2-4943-8367-917D18A789FB}"/>
    <cellStyle name="Normal 12 3 3 3" xfId="5083" xr:uid="{00000000-0005-0000-0000-0000350E0000}"/>
    <cellStyle name="Normal 12 3 3 3 2" xfId="14409" xr:uid="{2CB1FC0C-5621-4412-B72D-AA6F5463566B}"/>
    <cellStyle name="Normal 12 3 3 4" xfId="9298" xr:uid="{A6F9D711-F86A-406D-B160-91678C261745}"/>
    <cellStyle name="Normal 12 3 3 4 2" xfId="18613" xr:uid="{03C34723-4F87-4ADE-8261-6F98A1364B00}"/>
    <cellStyle name="Normal 12 3 3 5" xfId="10192" xr:uid="{D7474E36-FEDB-4C4E-862F-5FC1060F6B58}"/>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04DF1403-B8CB-4262-B809-C9553CD4B7C5}"/>
    <cellStyle name="Normal 12 3 4 2 3" xfId="12750" xr:uid="{2C72AF2D-FD2B-4043-9CF8-83B5E5FB3EA2}"/>
    <cellStyle name="Normal 12 3 4 3" xfId="5496" xr:uid="{00000000-0005-0000-0000-0000390E0000}"/>
    <cellStyle name="Normal 12 3 4 3 2" xfId="14822" xr:uid="{7FD086FC-911D-404D-82D3-43543741B4A3}"/>
    <cellStyle name="Normal 12 3 4 4" xfId="10605" xr:uid="{68CA4341-F526-4C34-9FFB-F3F429EB855D}"/>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26825AE6-DF27-4F45-9D2C-977635C3ACE7}"/>
    <cellStyle name="Normal 12 3 5 2 3" xfId="13163" xr:uid="{03E75355-D129-4C2B-BDCD-47DB7EBB53FA}"/>
    <cellStyle name="Normal 12 3 5 3" xfId="5909" xr:uid="{00000000-0005-0000-0000-00003D0E0000}"/>
    <cellStyle name="Normal 12 3 5 3 2" xfId="15235" xr:uid="{77BD4BDF-CEB5-4D99-A08B-C3E9891B6B37}"/>
    <cellStyle name="Normal 12 3 5 4" xfId="11018" xr:uid="{DEBA3878-94F9-41D9-B608-16F578E4A58D}"/>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CDC740AA-BA86-4723-9487-8AA05BE907A2}"/>
    <cellStyle name="Normal 12 3 6 2 3" xfId="13576" xr:uid="{B46663FB-8DE9-4137-99E8-F0AFEA6EBFCB}"/>
    <cellStyle name="Normal 12 3 6 3" xfId="6322" xr:uid="{00000000-0005-0000-0000-0000410E0000}"/>
    <cellStyle name="Normal 12 3 6 3 2" xfId="15648" xr:uid="{239B70E9-492F-4DE5-AB7B-3FDF2E1DA69E}"/>
    <cellStyle name="Normal 12 3 6 4" xfId="11431" xr:uid="{82462F40-E971-4F24-939B-D6F2772C392A}"/>
    <cellStyle name="Normal 12 3 7" xfId="2452" xr:uid="{00000000-0005-0000-0000-0000420E0000}"/>
    <cellStyle name="Normal 12 3 7 2" xfId="6735" xr:uid="{00000000-0005-0000-0000-0000430E0000}"/>
    <cellStyle name="Normal 12 3 7 2 2" xfId="16061" xr:uid="{17F743F0-D4D2-42C1-945F-1AB6C812011C}"/>
    <cellStyle name="Normal 12 3 7 3" xfId="11844" xr:uid="{EFA4E880-B1BE-43B2-B3D9-99570A708BB8}"/>
    <cellStyle name="Normal 12 3 8" xfId="4669" xr:uid="{00000000-0005-0000-0000-0000440E0000}"/>
    <cellStyle name="Normal 12 3 8 2" xfId="13995" xr:uid="{895AD106-3D48-4D3A-86B6-87BD3EA99308}"/>
    <cellStyle name="Normal 12 3 9" xfId="8873" xr:uid="{72AE7E6C-F254-4BFC-80A7-F73848FA4F21}"/>
    <cellStyle name="Normal 12 3 9 2" xfId="18197" xr:uid="{CFF0FC55-8726-402F-BE86-B358573DF677}"/>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FC9CB25B-1198-4A0D-A286-F1E878C4EE62}"/>
    <cellStyle name="Normal 12 4 2 2 3" xfId="12339" xr:uid="{CD62C1CD-FF7E-44F3-89C2-07576EC8E7E8}"/>
    <cellStyle name="Normal 12 4 2 3" xfId="5085" xr:uid="{00000000-0005-0000-0000-0000490E0000}"/>
    <cellStyle name="Normal 12 4 2 3 2" xfId="14411" xr:uid="{8E1C383A-C94F-4C90-B4AD-FD08618CFAFA}"/>
    <cellStyle name="Normal 12 4 2 4" xfId="9402" xr:uid="{F40C9AB7-F4D0-4A65-BBAA-FF5409160FE5}"/>
    <cellStyle name="Normal 12 4 2 4 2" xfId="18717" xr:uid="{CE118D97-CA73-4D46-847E-B4BC058116D8}"/>
    <cellStyle name="Normal 12 4 2 5" xfId="10194" xr:uid="{92239F03-7CFE-4251-B4BE-BB91C9EEF7EE}"/>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2DC5A25C-53D8-4869-A5D7-D83874753B2F}"/>
    <cellStyle name="Normal 12 4 3 2 3" xfId="12752" xr:uid="{BA1FBAC3-607D-463D-B5DD-C69AC17E7DBA}"/>
    <cellStyle name="Normal 12 4 3 3" xfId="5498" xr:uid="{00000000-0005-0000-0000-00004D0E0000}"/>
    <cellStyle name="Normal 12 4 3 3 2" xfId="14824" xr:uid="{BD31F0E1-39B9-4C62-84B1-C8AF3BF6D897}"/>
    <cellStyle name="Normal 12 4 3 4" xfId="10607" xr:uid="{CF1CD2AF-7A50-4442-8B7F-FA4141481647}"/>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932F3ADA-9774-4B37-8B1D-93E008C1836D}"/>
    <cellStyle name="Normal 12 4 4 2 3" xfId="13165" xr:uid="{A9482863-428D-4D4D-9ED1-F1A60AF007EE}"/>
    <cellStyle name="Normal 12 4 4 3" xfId="5911" xr:uid="{00000000-0005-0000-0000-0000510E0000}"/>
    <cellStyle name="Normal 12 4 4 3 2" xfId="15237" xr:uid="{C8DF90B1-5A41-4BAD-A26E-A0ABE8958EAF}"/>
    <cellStyle name="Normal 12 4 4 4" xfId="11020" xr:uid="{A91C8A1C-1D36-4CA6-82E8-F247E22633F5}"/>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44EC45A7-489C-4DC8-9DF8-6CEF2F0A9252}"/>
    <cellStyle name="Normal 12 4 5 2 3" xfId="13578" xr:uid="{B8581978-A2AB-4679-B0AA-CEC5A45DA544}"/>
    <cellStyle name="Normal 12 4 5 3" xfId="6324" xr:uid="{00000000-0005-0000-0000-0000550E0000}"/>
    <cellStyle name="Normal 12 4 5 3 2" xfId="15650" xr:uid="{51A9F72F-2EFF-4E31-80A7-B489D73BD483}"/>
    <cellStyle name="Normal 12 4 5 4" xfId="11433" xr:uid="{D38F00EA-BA2B-4140-A212-FB1B3BD8FDEE}"/>
    <cellStyle name="Normal 12 4 6" xfId="2454" xr:uid="{00000000-0005-0000-0000-0000560E0000}"/>
    <cellStyle name="Normal 12 4 6 2" xfId="6737" xr:uid="{00000000-0005-0000-0000-0000570E0000}"/>
    <cellStyle name="Normal 12 4 6 2 2" xfId="16063" xr:uid="{BEFAD8C3-FC14-4EFC-BCD4-8E4A17B669BE}"/>
    <cellStyle name="Normal 12 4 6 3" xfId="11846" xr:uid="{28E836A5-67F7-4ED3-AE21-9050FBA95E7D}"/>
    <cellStyle name="Normal 12 4 7" xfId="4671" xr:uid="{00000000-0005-0000-0000-0000580E0000}"/>
    <cellStyle name="Normal 12 4 7 2" xfId="13997" xr:uid="{9D1FEA66-EC48-4176-ABFA-B00E6CC5341F}"/>
    <cellStyle name="Normal 12 4 8" xfId="8977" xr:uid="{5BFFE5F3-99F6-4DA1-A3EF-BF749B3B7ACB}"/>
    <cellStyle name="Normal 12 4 8 2" xfId="18301" xr:uid="{B7E11417-0095-405E-AF03-2B36AECEA697}"/>
    <cellStyle name="Normal 12 4 9" xfId="9780" xr:uid="{9D0196EC-A103-4BCD-98A6-BCC1F4822608}"/>
    <cellStyle name="Normal 12 5" xfId="267" xr:uid="{00000000-0005-0000-0000-0000590E0000}"/>
    <cellStyle name="Normal 12 5 2" xfId="9579" xr:uid="{43940F87-8803-4E34-B3E0-736FAF89CA32}"/>
    <cellStyle name="Normal 12 5 2 2" xfId="18894" xr:uid="{BE988FED-A702-4129-A4FF-335773EBCE1A}"/>
    <cellStyle name="Normal 12 5 3" xfId="9586" xr:uid="{72B01073-C2DA-4DF8-9E0D-6932F6AF67FF}"/>
    <cellStyle name="Normal 12 5 4" xfId="9156" xr:uid="{4BCB05AE-5738-4A10-9D4D-B3A4CD16FD2C}"/>
    <cellStyle name="Normal 12 5 4 2" xfId="18478" xr:uid="{C8B2360F-4DA4-4D41-8BDD-2AF184E535C3}"/>
    <cellStyle name="Normal 12 6" xfId="760" xr:uid="{00000000-0005-0000-0000-00005A0E0000}"/>
    <cellStyle name="Normal 12 6 2" xfId="3001" xr:uid="{00000000-0005-0000-0000-00005B0E0000}"/>
    <cellStyle name="Normal 12 6 2 2" xfId="7223" xr:uid="{00000000-0005-0000-0000-00005C0E0000}"/>
    <cellStyle name="Normal 12 6 2 2 2" xfId="16549" xr:uid="{44DB8EF5-0F68-4D04-9445-4B383D40B0B2}"/>
    <cellStyle name="Normal 12 6 2 3" xfId="12332" xr:uid="{F00CFA4A-E686-4D38-A69D-6E8BA954F179}"/>
    <cellStyle name="Normal 12 6 3" xfId="5078" xr:uid="{00000000-0005-0000-0000-00005D0E0000}"/>
    <cellStyle name="Normal 12 6 3 2" xfId="14404" xr:uid="{8306A331-CA1A-46B0-B4E0-B0B173D2CBC9}"/>
    <cellStyle name="Normal 12 6 4" xfId="9194" xr:uid="{92D32932-3865-4F6F-A551-9A99EC116A43}"/>
    <cellStyle name="Normal 12 6 4 2" xfId="18510" xr:uid="{69A04A55-63EF-474E-AB2A-0B0D6165B690}"/>
    <cellStyle name="Normal 12 6 5" xfId="10187" xr:uid="{AA667F81-B7BD-444A-88DD-518346551541}"/>
    <cellStyle name="Normal 12 7" xfId="1183" xr:uid="{00000000-0005-0000-0000-00005E0E0000}"/>
    <cellStyle name="Normal 12 7 2" xfId="3414" xr:uid="{00000000-0005-0000-0000-00005F0E0000}"/>
    <cellStyle name="Normal 12 7 2 2" xfId="7636" xr:uid="{00000000-0005-0000-0000-0000600E0000}"/>
    <cellStyle name="Normal 12 7 2 2 2" xfId="16962" xr:uid="{0A87AE29-55A8-463E-BBBA-0D12173B53C8}"/>
    <cellStyle name="Normal 12 7 2 3" xfId="12745" xr:uid="{BA503D32-6171-4FBB-9EFD-BD02E365DB21}"/>
    <cellStyle name="Normal 12 7 3" xfId="5491" xr:uid="{00000000-0005-0000-0000-0000610E0000}"/>
    <cellStyle name="Normal 12 7 3 2" xfId="14817" xr:uid="{39A947BE-1D1C-4142-92F9-A85628CDB1B4}"/>
    <cellStyle name="Normal 12 7 4" xfId="10600" xr:uid="{4EE1051A-4945-4124-ADFF-DDE9741E9F3F}"/>
    <cellStyle name="Normal 12 8" xfId="1597" xr:uid="{00000000-0005-0000-0000-0000620E0000}"/>
    <cellStyle name="Normal 12 8 2" xfId="3827" xr:uid="{00000000-0005-0000-0000-0000630E0000}"/>
    <cellStyle name="Normal 12 8 2 2" xfId="8049" xr:uid="{00000000-0005-0000-0000-0000640E0000}"/>
    <cellStyle name="Normal 12 8 2 2 2" xfId="17375" xr:uid="{2BDAC8A6-8D63-4D1E-92CF-640993B82A4A}"/>
    <cellStyle name="Normal 12 8 2 3" xfId="13158" xr:uid="{0530D6B6-E47D-4FD7-9EBD-AFFC030CEDC6}"/>
    <cellStyle name="Normal 12 8 3" xfId="5904" xr:uid="{00000000-0005-0000-0000-0000650E0000}"/>
    <cellStyle name="Normal 12 8 3 2" xfId="15230" xr:uid="{BAEB0CC0-D1AF-4865-BD37-83384E34FCB8}"/>
    <cellStyle name="Normal 12 8 4" xfId="11013" xr:uid="{89DD751F-B277-4EE5-9163-A1B376095391}"/>
    <cellStyle name="Normal 12 9" xfId="2011" xr:uid="{00000000-0005-0000-0000-0000660E0000}"/>
    <cellStyle name="Normal 12 9 2" xfId="4240" xr:uid="{00000000-0005-0000-0000-0000670E0000}"/>
    <cellStyle name="Normal 12 9 2 2" xfId="8462" xr:uid="{00000000-0005-0000-0000-0000680E0000}"/>
    <cellStyle name="Normal 12 9 2 2 2" xfId="17788" xr:uid="{D74FE71A-C1E0-4BAB-B61D-1D26AF6E4874}"/>
    <cellStyle name="Normal 12 9 2 3" xfId="13571" xr:uid="{CA6BE183-D80C-42B7-ABEC-1B9ADC36C42B}"/>
    <cellStyle name="Normal 12 9 3" xfId="6317" xr:uid="{00000000-0005-0000-0000-0000690E0000}"/>
    <cellStyle name="Normal 12 9 3 2" xfId="15643" xr:uid="{C9141DB8-0BF3-4550-A5B9-CFFF8A900036}"/>
    <cellStyle name="Normal 12 9 4" xfId="11426" xr:uid="{AEDA69D6-D3E8-4E19-8820-D09AC09C5FB3}"/>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57" xr:uid="{B142E92B-2A08-4A95-9261-04A78CF77069}"/>
    <cellStyle name="Normal 14 2 2 3" xfId="12340" xr:uid="{665FE05A-5237-44DA-AC9E-9FCF7018CEF4}"/>
    <cellStyle name="Normal 14 2 3" xfId="5086" xr:uid="{00000000-0005-0000-0000-0000700E0000}"/>
    <cellStyle name="Normal 14 2 3 2" xfId="14412" xr:uid="{9BBAA958-37AA-43A4-A064-F7C873B40CA3}"/>
    <cellStyle name="Normal 14 2 4" xfId="9371" xr:uid="{E1AFB5B4-F468-480A-B09F-3374B2F03BDA}"/>
    <cellStyle name="Normal 14 2 4 2" xfId="18686" xr:uid="{91845E9E-3597-4E8D-9D41-FE98A263B933}"/>
    <cellStyle name="Normal 14 2 5" xfId="10195" xr:uid="{808EF1B5-B8C6-4927-8CC0-1C9D41DAC411}"/>
    <cellStyle name="Normal 14 3" xfId="1191" xr:uid="{00000000-0005-0000-0000-0000710E0000}"/>
    <cellStyle name="Normal 14 3 2" xfId="3422" xr:uid="{00000000-0005-0000-0000-0000720E0000}"/>
    <cellStyle name="Normal 14 3 2 2" xfId="7644" xr:uid="{00000000-0005-0000-0000-0000730E0000}"/>
    <cellStyle name="Normal 14 3 2 2 2" xfId="16970" xr:uid="{589C6685-1951-4FEF-8599-B92D843F33A8}"/>
    <cellStyle name="Normal 14 3 2 3" xfId="12753" xr:uid="{7CF305CB-C651-4FB8-A0D0-EE7EDDE9FE7D}"/>
    <cellStyle name="Normal 14 3 3" xfId="5499" xr:uid="{00000000-0005-0000-0000-0000740E0000}"/>
    <cellStyle name="Normal 14 3 3 2" xfId="14825" xr:uid="{228616DA-B569-44B6-B7A2-AEF3A5DA7D48}"/>
    <cellStyle name="Normal 14 3 4" xfId="10608" xr:uid="{A2E6E39D-52A6-4CD5-AF48-09CA6EF9BAC6}"/>
    <cellStyle name="Normal 14 4" xfId="1605" xr:uid="{00000000-0005-0000-0000-0000750E0000}"/>
    <cellStyle name="Normal 14 4 2" xfId="3835" xr:uid="{00000000-0005-0000-0000-0000760E0000}"/>
    <cellStyle name="Normal 14 4 2 2" xfId="8057" xr:uid="{00000000-0005-0000-0000-0000770E0000}"/>
    <cellStyle name="Normal 14 4 2 2 2" xfId="17383" xr:uid="{A281FB90-54DC-4582-898E-F0D802C7BDD9}"/>
    <cellStyle name="Normal 14 4 2 3" xfId="13166" xr:uid="{905D1A1F-620A-4C28-81F2-7CC11BA01AF0}"/>
    <cellStyle name="Normal 14 4 3" xfId="5912" xr:uid="{00000000-0005-0000-0000-0000780E0000}"/>
    <cellStyle name="Normal 14 4 3 2" xfId="15238" xr:uid="{0493A49E-52C1-4118-B0B4-8C25ED5A09F7}"/>
    <cellStyle name="Normal 14 4 4" xfId="11021" xr:uid="{9CC2D7AC-9284-4371-B5FA-9CA519A47CF8}"/>
    <cellStyle name="Normal 14 5" xfId="2019" xr:uid="{00000000-0005-0000-0000-0000790E0000}"/>
    <cellStyle name="Normal 14 5 2" xfId="4248" xr:uid="{00000000-0005-0000-0000-00007A0E0000}"/>
    <cellStyle name="Normal 14 5 2 2" xfId="8470" xr:uid="{00000000-0005-0000-0000-00007B0E0000}"/>
    <cellStyle name="Normal 14 5 2 2 2" xfId="17796" xr:uid="{6C871838-ADEA-4C59-AA09-1A9AF6E6B6CA}"/>
    <cellStyle name="Normal 14 5 2 3" xfId="13579" xr:uid="{54A7B278-9210-41A7-8656-CDE30222E14B}"/>
    <cellStyle name="Normal 14 5 3" xfId="6325" xr:uid="{00000000-0005-0000-0000-00007C0E0000}"/>
    <cellStyle name="Normal 14 5 3 2" xfId="15651" xr:uid="{CD6F2194-3323-4678-858E-BAE5B75C9338}"/>
    <cellStyle name="Normal 14 5 4" xfId="11434" xr:uid="{F388EF56-8967-4408-A563-26DA304FC76E}"/>
    <cellStyle name="Normal 14 6" xfId="2455" xr:uid="{00000000-0005-0000-0000-00007D0E0000}"/>
    <cellStyle name="Normal 14 6 2" xfId="6738" xr:uid="{00000000-0005-0000-0000-00007E0E0000}"/>
    <cellStyle name="Normal 14 6 2 2" xfId="16064" xr:uid="{9629FAA0-52E9-4650-914B-3AD6E679DC3C}"/>
    <cellStyle name="Normal 14 6 3" xfId="11847" xr:uid="{4D48E07C-7934-4BC1-9FBD-2BAFB590ADF6}"/>
    <cellStyle name="Normal 14 7" xfId="4672" xr:uid="{00000000-0005-0000-0000-00007F0E0000}"/>
    <cellStyle name="Normal 14 7 2" xfId="13998" xr:uid="{485E8E37-3B5F-47B0-BF72-4A9E5AFD2C52}"/>
    <cellStyle name="Normal 14 8" xfId="8946" xr:uid="{DD997A1C-6669-41AA-8AC1-78121AFC796C}"/>
    <cellStyle name="Normal 14 8 2" xfId="18270" xr:uid="{15670FBE-5FE4-4BF1-A5F2-B11B4C35E5F3}"/>
    <cellStyle name="Normal 14 9" xfId="9781" xr:uid="{5E168346-6567-43CF-A42E-57E85817BD1F}"/>
    <cellStyle name="Normal 15" xfId="4496" xr:uid="{00000000-0005-0000-0000-0000800E0000}"/>
    <cellStyle name="Normal 15 2" xfId="9578" xr:uid="{99513E76-E7E2-49D8-ADC5-F882C61FFC79}"/>
    <cellStyle name="Normal 15 2 2" xfId="18893" xr:uid="{87E4F4DD-52D8-441C-8CE1-1A147A9410C5}"/>
    <cellStyle name="Normal 15 3" xfId="9155" xr:uid="{47700DD8-A88A-4CB4-BFAD-BA75A2D4FC8E}"/>
    <cellStyle name="Normal 15 3 2" xfId="18477" xr:uid="{762882ED-3378-4497-94D6-FB8152A17E46}"/>
    <cellStyle name="Normal 15 4" xfId="13824" xr:uid="{25353B2B-386C-4686-AF7C-50D1D7867DA0}"/>
    <cellStyle name="Normal 16" xfId="4500" xr:uid="{00000000-0005-0000-0000-0000810E0000}"/>
    <cellStyle name="Normal 16 2" xfId="8715" xr:uid="{00000000-0005-0000-0000-0000820E0000}"/>
    <cellStyle name="Normal 16 2 2" xfId="18041" xr:uid="{16695D08-4D82-4A27-BC2C-5E8F56F03EAF}"/>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2 2" xfId="18060" xr:uid="{3EF1E62D-6EE9-4187-919D-0F2519525CA2}"/>
    <cellStyle name="Normal 16 3 2 2 2 2 3" xfId="18057" xr:uid="{7207D373-2FB2-4412-A313-3F2D9A7CC2C2}"/>
    <cellStyle name="Normal 16 3 2 2 2 3" xfId="18054" xr:uid="{E5EE9091-300D-4D17-94F0-71F0DEFCD5AD}"/>
    <cellStyle name="Normal 16 3 2 2 3" xfId="18050" xr:uid="{06021809-4A02-4EF6-A229-FEA15BB0D0EF}"/>
    <cellStyle name="Normal 16 3 2 3" xfId="18047" xr:uid="{FB0BF858-39ED-4BE4-9A73-6E35443F7DC6}"/>
    <cellStyle name="Normal 16 3 3" xfId="18044" xr:uid="{ECBFAE89-4F4C-483B-A69A-07A2D62A3822}"/>
    <cellStyle name="Normal 16 4" xfId="9612" xr:uid="{8729F6E8-3534-4DAE-B0B2-B2AF3CDCD313}"/>
    <cellStyle name="Normal 16 5" xfId="13827" xr:uid="{12752CD5-C7DC-412B-8745-02F6208CBD36}"/>
    <cellStyle name="Normal 17" xfId="8728" xr:uid="{3FF0972C-833B-4475-99D8-1A6907499E71}"/>
    <cellStyle name="Normal 17 2" xfId="9157" xr:uid="{6C872296-5E17-4821-9139-E52AD113B06C}"/>
    <cellStyle name="Normal 17 3" xfId="9154" xr:uid="{DC3FF210-EC1F-47CE-8CCE-F8F5460671B1}"/>
    <cellStyle name="Normal 17 4" xfId="18053" xr:uid="{1BA00D7B-D91A-4014-A49F-F162AD5C1260}"/>
    <cellStyle name="Normal 18" xfId="9153" xr:uid="{EF04732C-9519-4C21-BD73-A108E18EA17F}"/>
    <cellStyle name="Normal 19" xfId="8739" xr:uid="{D907EBA7-1F94-4726-9ABB-7E7835FFF57E}"/>
    <cellStyle name="Normal 19 2" xfId="18063" xr:uid="{B81546F3-7EC5-47DC-AE8E-8B8F7433BD8A}"/>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10 2" xfId="18072" xr:uid="{6D4A3A5E-2EED-4741-B911-2369472B5346}"/>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DE53F936-0E1D-4463-998A-49D079886114}"/>
    <cellStyle name="Normal 2 4 2 10 2 3" xfId="13580" xr:uid="{F246EBAB-E9C5-4F58-8587-088AB7731C20}"/>
    <cellStyle name="Normal 2 4 2 10 3" xfId="6326" xr:uid="{00000000-0005-0000-0000-0000910E0000}"/>
    <cellStyle name="Normal 2 4 2 10 3 2" xfId="15652" xr:uid="{361BC3CE-B084-4A65-9283-B728631CF9B7}"/>
    <cellStyle name="Normal 2 4 2 10 4" xfId="11435" xr:uid="{D8B07C2F-10A5-44F6-8635-6FF5F81FD816}"/>
    <cellStyle name="Normal 2 4 2 11" xfId="2456" xr:uid="{00000000-0005-0000-0000-0000920E0000}"/>
    <cellStyle name="Normal 2 4 2 11 2" xfId="6739" xr:uid="{00000000-0005-0000-0000-0000930E0000}"/>
    <cellStyle name="Normal 2 4 2 11 2 2" xfId="16065" xr:uid="{68490BE4-11DB-43E4-A6D7-628D22122C39}"/>
    <cellStyle name="Normal 2 4 2 11 3" xfId="11848" xr:uid="{09361206-8C20-4F97-B922-1FD0CC782138}"/>
    <cellStyle name="Normal 2 4 2 12" xfId="4673" xr:uid="{00000000-0005-0000-0000-0000940E0000}"/>
    <cellStyle name="Normal 2 4 2 12 2" xfId="13999" xr:uid="{B26AF72E-BD9B-41AF-9020-0B0F3FE56E7D}"/>
    <cellStyle name="Normal 2 4 2 13" xfId="8757" xr:uid="{563A76DD-F7DD-49F0-A61E-0419F4C31301}"/>
    <cellStyle name="Normal 2 4 2 13 2" xfId="18081" xr:uid="{48C40587-A2F5-4BA2-9F65-657B8EADEEE0}"/>
    <cellStyle name="Normal 2 4 2 14" xfId="9782" xr:uid="{5C3BFB0D-F20F-41C7-B72C-D0ADB7392279}"/>
    <cellStyle name="Normal 2 4 2 2" xfId="280" xr:uid="{00000000-0005-0000-0000-0000950E0000}"/>
    <cellStyle name="Normal 2 4 2 3" xfId="281" xr:uid="{00000000-0005-0000-0000-0000960E0000}"/>
    <cellStyle name="Normal 2 4 2 3 10" xfId="4674" xr:uid="{00000000-0005-0000-0000-0000970E0000}"/>
    <cellStyle name="Normal 2 4 2 3 10 2" xfId="14000" xr:uid="{3BEC1764-D33B-4AC4-BF2C-E35620C27A49}"/>
    <cellStyle name="Normal 2 4 2 3 11" xfId="8788" xr:uid="{EAD3D227-C8EF-4F54-8D24-EE1EA1F017BB}"/>
    <cellStyle name="Normal 2 4 2 3 11 2" xfId="18112" xr:uid="{2C88A968-E907-46DB-BF1A-865657DCCC50}"/>
    <cellStyle name="Normal 2 4 2 3 12" xfId="9783" xr:uid="{3E219989-1107-44A8-8F85-424BFF79C01E}"/>
    <cellStyle name="Normal 2 4 2 3 2" xfId="282" xr:uid="{00000000-0005-0000-0000-0000980E0000}"/>
    <cellStyle name="Normal 2 4 2 3 2 10" xfId="8813" xr:uid="{C03AE35D-2438-4E07-AE9C-6D04EC6DA2B7}"/>
    <cellStyle name="Normal 2 4 2 3 2 10 2" xfId="18137" xr:uid="{90B9976D-0FE7-434A-A016-85B7CC1F8D2C}"/>
    <cellStyle name="Normal 2 4 2 3 2 11" xfId="9784" xr:uid="{431BB3CD-4DB9-4E0A-8636-3E71B86AA8D3}"/>
    <cellStyle name="Normal 2 4 2 3 2 2" xfId="283" xr:uid="{00000000-0005-0000-0000-0000990E0000}"/>
    <cellStyle name="Normal 2 4 2 3 2 2 10" xfId="9785" xr:uid="{46A304CE-7AC7-493D-8490-C9224F6DE72C}"/>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E4D98A1A-1F8F-46BD-A5C8-8A4686388AB2}"/>
    <cellStyle name="Normal 2 4 2 3 2 2 2 2 2 3" xfId="12345" xr:uid="{1A9D6862-C9CE-471D-BAF2-15885230B471}"/>
    <cellStyle name="Normal 2 4 2 3 2 2 2 2 3" xfId="5091" xr:uid="{00000000-0005-0000-0000-00009E0E0000}"/>
    <cellStyle name="Normal 2 4 2 3 2 2 2 2 3 2" xfId="14417" xr:uid="{DA3939A5-9DC4-4F28-A9B6-252CAE2A507E}"/>
    <cellStyle name="Normal 2 4 2 3 2 2 2 2 4" xfId="9548" xr:uid="{29E7289E-B3F4-4F63-9B9C-B531B0E50CEB}"/>
    <cellStyle name="Normal 2 4 2 3 2 2 2 2 4 2" xfId="18863" xr:uid="{7A9B3C65-2771-45F3-BB73-70ED7A8BCA34}"/>
    <cellStyle name="Normal 2 4 2 3 2 2 2 2 5" xfId="10200" xr:uid="{8104DD70-2621-4BF0-8168-FA65330169F9}"/>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E1FC7D62-C50B-4687-8419-8884D8B1950F}"/>
    <cellStyle name="Normal 2 4 2 3 2 2 2 3 2 3" xfId="12758" xr:uid="{DCD639E8-7564-487A-99BF-47DEC25C060C}"/>
    <cellStyle name="Normal 2 4 2 3 2 2 2 3 3" xfId="5504" xr:uid="{00000000-0005-0000-0000-0000A20E0000}"/>
    <cellStyle name="Normal 2 4 2 3 2 2 2 3 3 2" xfId="14830" xr:uid="{3ED4D50D-E261-4DF4-9052-F02FD54E20C2}"/>
    <cellStyle name="Normal 2 4 2 3 2 2 2 3 4" xfId="10613" xr:uid="{02C1BF85-BCA1-44A3-96CD-4DDD07A4D912}"/>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FE549D84-A387-44AD-88BC-E1891C25C983}"/>
    <cellStyle name="Normal 2 4 2 3 2 2 2 4 2 3" xfId="13171" xr:uid="{8F2AE5E4-FFE6-44E9-A1C2-708CB6A1EA74}"/>
    <cellStyle name="Normal 2 4 2 3 2 2 2 4 3" xfId="5917" xr:uid="{00000000-0005-0000-0000-0000A60E0000}"/>
    <cellStyle name="Normal 2 4 2 3 2 2 2 4 3 2" xfId="15243" xr:uid="{4223DA3D-97D2-45BB-8EC2-D4A0BC7571EE}"/>
    <cellStyle name="Normal 2 4 2 3 2 2 2 4 4" xfId="11026" xr:uid="{23C575A6-9E17-4FFF-98A3-68E7B2CD432C}"/>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4D744660-E224-492F-A868-05AE0094F821}"/>
    <cellStyle name="Normal 2 4 2 3 2 2 2 5 2 3" xfId="13584" xr:uid="{CC1FC3C9-CD79-408C-A0D2-6010F2EF539A}"/>
    <cellStyle name="Normal 2 4 2 3 2 2 2 5 3" xfId="6330" xr:uid="{00000000-0005-0000-0000-0000AA0E0000}"/>
    <cellStyle name="Normal 2 4 2 3 2 2 2 5 3 2" xfId="15656" xr:uid="{E28ABA16-A5B8-4E8C-BF26-828082A52EB7}"/>
    <cellStyle name="Normal 2 4 2 3 2 2 2 5 4" xfId="11439" xr:uid="{784D094F-DCC1-41F1-971A-90A9F2A42BF6}"/>
    <cellStyle name="Normal 2 4 2 3 2 2 2 6" xfId="2460" xr:uid="{00000000-0005-0000-0000-0000AB0E0000}"/>
    <cellStyle name="Normal 2 4 2 3 2 2 2 6 2" xfId="6743" xr:uid="{00000000-0005-0000-0000-0000AC0E0000}"/>
    <cellStyle name="Normal 2 4 2 3 2 2 2 6 2 2" xfId="16069" xr:uid="{1072907F-82D4-47F5-8BCA-FE0878B273AB}"/>
    <cellStyle name="Normal 2 4 2 3 2 2 2 6 3" xfId="11852" xr:uid="{80CFD16C-FD10-4535-A718-EE7EE0A108A9}"/>
    <cellStyle name="Normal 2 4 2 3 2 2 2 7" xfId="4677" xr:uid="{00000000-0005-0000-0000-0000AD0E0000}"/>
    <cellStyle name="Normal 2 4 2 3 2 2 2 7 2" xfId="14003" xr:uid="{99F3D58D-82C2-4502-BD81-0403EEEA7F96}"/>
    <cellStyle name="Normal 2 4 2 3 2 2 2 8" xfId="9123" xr:uid="{9F0183A9-880D-46D9-BB7D-5696E4723F5F}"/>
    <cellStyle name="Normal 2 4 2 3 2 2 2 8 2" xfId="18447" xr:uid="{A5AC4A6F-3765-4860-BD64-B46A28B078ED}"/>
    <cellStyle name="Normal 2 4 2 3 2 2 2 9" xfId="9786" xr:uid="{71110153-3BBC-4347-98D5-2C89DFBF3C01}"/>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204B5DAC-F6BF-4925-9846-EDD08FE9C01C}"/>
    <cellStyle name="Normal 2 4 2 3 2 2 3 2 3" xfId="12344" xr:uid="{75A54FA2-C80C-4480-9CFD-DAD6D0A41E57}"/>
    <cellStyle name="Normal 2 4 2 3 2 2 3 3" xfId="5090" xr:uid="{00000000-0005-0000-0000-0000B10E0000}"/>
    <cellStyle name="Normal 2 4 2 3 2 2 3 3 2" xfId="14416" xr:uid="{B9E42683-2F3C-49B9-84FB-CDC8B57192F4}"/>
    <cellStyle name="Normal 2 4 2 3 2 2 3 4" xfId="9341" xr:uid="{4F113FF5-050D-47D1-A7D5-F829C93D993D}"/>
    <cellStyle name="Normal 2 4 2 3 2 2 3 4 2" xfId="18656" xr:uid="{E17D1121-BDCE-414E-BEB7-E7003B03B169}"/>
    <cellStyle name="Normal 2 4 2 3 2 2 3 5" xfId="10199" xr:uid="{D44F2CF9-C7C6-4126-87A1-AF8613F8D20A}"/>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3EBDBCAB-675E-4C95-8B84-0A3D528C96F9}"/>
    <cellStyle name="Normal 2 4 2 3 2 2 4 2 3" xfId="12757" xr:uid="{C7476848-C77A-49A7-BEDB-1A8FC4DF5F92}"/>
    <cellStyle name="Normal 2 4 2 3 2 2 4 3" xfId="5503" xr:uid="{00000000-0005-0000-0000-0000B50E0000}"/>
    <cellStyle name="Normal 2 4 2 3 2 2 4 3 2" xfId="14829" xr:uid="{D1B06751-D2F5-4F20-8FE7-B7E7D8705177}"/>
    <cellStyle name="Normal 2 4 2 3 2 2 4 4" xfId="10612" xr:uid="{FBAE3758-5E64-4B56-BB02-91BDF33D9685}"/>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18C42D25-7F6B-4C56-AF04-48B9A12303AB}"/>
    <cellStyle name="Normal 2 4 2 3 2 2 5 2 3" xfId="13170" xr:uid="{86A925F0-465D-49AB-9992-1304BF22D243}"/>
    <cellStyle name="Normal 2 4 2 3 2 2 5 3" xfId="5916" xr:uid="{00000000-0005-0000-0000-0000B90E0000}"/>
    <cellStyle name="Normal 2 4 2 3 2 2 5 3 2" xfId="15242" xr:uid="{C8D0CCD2-C3BC-462B-8046-C12799001528}"/>
    <cellStyle name="Normal 2 4 2 3 2 2 5 4" xfId="11025" xr:uid="{7C1BAD4D-D64E-410A-BA93-8FDFC140C655}"/>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9F0386E3-9BAD-4EAD-8367-80AB032E902D}"/>
    <cellStyle name="Normal 2 4 2 3 2 2 6 2 3" xfId="13583" xr:uid="{C328A47F-7675-4931-B4E3-71A8CC272901}"/>
    <cellStyle name="Normal 2 4 2 3 2 2 6 3" xfId="6329" xr:uid="{00000000-0005-0000-0000-0000BD0E0000}"/>
    <cellStyle name="Normal 2 4 2 3 2 2 6 3 2" xfId="15655" xr:uid="{ADC711BB-ABF2-4D88-8054-F68E3881A8E9}"/>
    <cellStyle name="Normal 2 4 2 3 2 2 6 4" xfId="11438" xr:uid="{FC718ABA-619A-44D1-B351-9884BBD3F0B0}"/>
    <cellStyle name="Normal 2 4 2 3 2 2 7" xfId="2459" xr:uid="{00000000-0005-0000-0000-0000BE0E0000}"/>
    <cellStyle name="Normal 2 4 2 3 2 2 7 2" xfId="6742" xr:uid="{00000000-0005-0000-0000-0000BF0E0000}"/>
    <cellStyle name="Normal 2 4 2 3 2 2 7 2 2" xfId="16068" xr:uid="{5C806C18-DED2-45DB-93D8-C643A2A2B5F5}"/>
    <cellStyle name="Normal 2 4 2 3 2 2 7 3" xfId="11851" xr:uid="{8DA517AE-9956-4310-8A00-E5B2FF68A82E}"/>
    <cellStyle name="Normal 2 4 2 3 2 2 8" xfId="4676" xr:uid="{00000000-0005-0000-0000-0000C00E0000}"/>
    <cellStyle name="Normal 2 4 2 3 2 2 8 2" xfId="14002" xr:uid="{2879B449-C72F-4520-B83B-76C5CAC74F06}"/>
    <cellStyle name="Normal 2 4 2 3 2 2 9" xfId="8916" xr:uid="{1EF18CC7-44BB-43EB-8DB6-D193CEF128C1}"/>
    <cellStyle name="Normal 2 4 2 3 2 2 9 2" xfId="18240" xr:uid="{C2FAB24F-2E4A-40D5-928D-4898EC06F0A5}"/>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B5468676-178A-41B0-8CAF-8DD705900FEF}"/>
    <cellStyle name="Normal 2 4 2 3 2 3 2 2 3" xfId="12346" xr:uid="{D1722906-422E-4F44-8F24-80C07360626C}"/>
    <cellStyle name="Normal 2 4 2 3 2 3 2 3" xfId="5092" xr:uid="{00000000-0005-0000-0000-0000C50E0000}"/>
    <cellStyle name="Normal 2 4 2 3 2 3 2 3 2" xfId="14418" xr:uid="{4531C148-BB39-4759-8C64-70A1A8E54CD6}"/>
    <cellStyle name="Normal 2 4 2 3 2 3 2 4" xfId="9445" xr:uid="{67F9E33C-8554-469D-8D7A-1147F632F3B0}"/>
    <cellStyle name="Normal 2 4 2 3 2 3 2 4 2" xfId="18760" xr:uid="{118A9DAE-0E59-4D89-A6F3-F2CFAD9783CB}"/>
    <cellStyle name="Normal 2 4 2 3 2 3 2 5" xfId="10201" xr:uid="{9FE23D90-5C53-44A6-B89D-9EA07EFE37E9}"/>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A7EBD696-2F1B-416F-8570-157D2068F22C}"/>
    <cellStyle name="Normal 2 4 2 3 2 3 3 2 3" xfId="12759" xr:uid="{DAE672E8-F523-4FA1-977C-AF844B6E0A37}"/>
    <cellStyle name="Normal 2 4 2 3 2 3 3 3" xfId="5505" xr:uid="{00000000-0005-0000-0000-0000C90E0000}"/>
    <cellStyle name="Normal 2 4 2 3 2 3 3 3 2" xfId="14831" xr:uid="{7839798A-B5C1-40A7-9DBF-E7355F574E56}"/>
    <cellStyle name="Normal 2 4 2 3 2 3 3 4" xfId="10614" xr:uid="{785093B8-70F4-4AE9-A460-964316E47DBE}"/>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78EFD8EA-A51C-46EA-90B8-46B48C5262A5}"/>
    <cellStyle name="Normal 2 4 2 3 2 3 4 2 3" xfId="13172" xr:uid="{A9BD4AB8-6B67-49FA-89F0-19B7BF97DC25}"/>
    <cellStyle name="Normal 2 4 2 3 2 3 4 3" xfId="5918" xr:uid="{00000000-0005-0000-0000-0000CD0E0000}"/>
    <cellStyle name="Normal 2 4 2 3 2 3 4 3 2" xfId="15244" xr:uid="{5C4E8FDA-8A41-4681-9C5A-7E33E8E9A638}"/>
    <cellStyle name="Normal 2 4 2 3 2 3 4 4" xfId="11027" xr:uid="{0407D513-0C1C-462F-9A53-79BEB1BFEB46}"/>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5FA9F0BF-2969-4FCF-AD10-051626CFCE6B}"/>
    <cellStyle name="Normal 2 4 2 3 2 3 5 2 3" xfId="13585" xr:uid="{7DA47422-DB9F-47C1-B049-CD8C52FA2BFA}"/>
    <cellStyle name="Normal 2 4 2 3 2 3 5 3" xfId="6331" xr:uid="{00000000-0005-0000-0000-0000D10E0000}"/>
    <cellStyle name="Normal 2 4 2 3 2 3 5 3 2" xfId="15657" xr:uid="{AB6ACA95-7832-4E3F-B188-1C645949342C}"/>
    <cellStyle name="Normal 2 4 2 3 2 3 5 4" xfId="11440" xr:uid="{A9F82A72-659A-4699-AE73-AD53B55738CA}"/>
    <cellStyle name="Normal 2 4 2 3 2 3 6" xfId="2461" xr:uid="{00000000-0005-0000-0000-0000D20E0000}"/>
    <cellStyle name="Normal 2 4 2 3 2 3 6 2" xfId="6744" xr:uid="{00000000-0005-0000-0000-0000D30E0000}"/>
    <cellStyle name="Normal 2 4 2 3 2 3 6 2 2" xfId="16070" xr:uid="{2048C1A1-D177-40F7-B93F-856343AA8859}"/>
    <cellStyle name="Normal 2 4 2 3 2 3 6 3" xfId="11853" xr:uid="{088640E1-DCC8-40F7-9C86-4857E99D7F24}"/>
    <cellStyle name="Normal 2 4 2 3 2 3 7" xfId="4678" xr:uid="{00000000-0005-0000-0000-0000D40E0000}"/>
    <cellStyle name="Normal 2 4 2 3 2 3 7 2" xfId="14004" xr:uid="{8E5CDB3C-1EE0-40D6-9095-436C5D53B8A9}"/>
    <cellStyle name="Normal 2 4 2 3 2 3 8" xfId="9020" xr:uid="{5718F785-8E2C-4B45-91D1-4597173D90A6}"/>
    <cellStyle name="Normal 2 4 2 3 2 3 8 2" xfId="18344" xr:uid="{B1A8B84A-AD87-4164-9C00-71EFC2CC18C9}"/>
    <cellStyle name="Normal 2 4 2 3 2 3 9" xfId="9787" xr:uid="{139CD29C-3D3C-4602-915F-D3B4E846008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6AFA4509-F8FD-45AB-9975-96FECC7E63C5}"/>
    <cellStyle name="Normal 2 4 2 3 2 4 2 3" xfId="12343" xr:uid="{B92BBA25-9FD8-41C2-B4C4-362A1EB24FDE}"/>
    <cellStyle name="Normal 2 4 2 3 2 4 3" xfId="5089" xr:uid="{00000000-0005-0000-0000-0000D80E0000}"/>
    <cellStyle name="Normal 2 4 2 3 2 4 3 2" xfId="14415" xr:uid="{B5B84C5D-C019-4A1A-98ED-1ADF65C2F0C8}"/>
    <cellStyle name="Normal 2 4 2 3 2 4 4" xfId="9238" xr:uid="{BC6E5A3D-C256-46E9-A109-D643C24AA206}"/>
    <cellStyle name="Normal 2 4 2 3 2 4 4 2" xfId="18553" xr:uid="{ACB4F1CD-B10E-4529-B1AD-7CD2D5CFAAE1}"/>
    <cellStyle name="Normal 2 4 2 3 2 4 5" xfId="10198" xr:uid="{377038E3-8F45-43DD-B235-6719457867D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5146704B-5FDB-469A-A854-69978F744164}"/>
    <cellStyle name="Normal 2 4 2 3 2 5 2 3" xfId="12756" xr:uid="{82FAA4DA-91F1-4FCB-B704-0DECAB725DF0}"/>
    <cellStyle name="Normal 2 4 2 3 2 5 3" xfId="5502" xr:uid="{00000000-0005-0000-0000-0000DC0E0000}"/>
    <cellStyle name="Normal 2 4 2 3 2 5 3 2" xfId="14828" xr:uid="{7057DFE9-0F7D-45AE-B254-32FFE62C2C6E}"/>
    <cellStyle name="Normal 2 4 2 3 2 5 4" xfId="10611" xr:uid="{A41BE2E9-0779-42C9-9EFF-03FB0D0A84CA}"/>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C9671100-904A-4851-8260-AAE921232A7E}"/>
    <cellStyle name="Normal 2 4 2 3 2 6 2 3" xfId="13169" xr:uid="{4FAF003E-B3AA-4C7B-9D03-231FF6D3C5E9}"/>
    <cellStyle name="Normal 2 4 2 3 2 6 3" xfId="5915" xr:uid="{00000000-0005-0000-0000-0000E00E0000}"/>
    <cellStyle name="Normal 2 4 2 3 2 6 3 2" xfId="15241" xr:uid="{9220B1BE-4450-4F35-9CC3-B4454F624BCF}"/>
    <cellStyle name="Normal 2 4 2 3 2 6 4" xfId="11024" xr:uid="{8F8BDFC8-4B26-45C0-B05C-E7D68B860819}"/>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68ABE0AD-E6BB-459E-AE7E-3940A0B28686}"/>
    <cellStyle name="Normal 2 4 2 3 2 7 2 3" xfId="13582" xr:uid="{93602C5A-71AC-45D3-8851-7EEFC37487D9}"/>
    <cellStyle name="Normal 2 4 2 3 2 7 3" xfId="6328" xr:uid="{00000000-0005-0000-0000-0000E40E0000}"/>
    <cellStyle name="Normal 2 4 2 3 2 7 3 2" xfId="15654" xr:uid="{D014D520-E01A-46A1-B751-260E87F0B448}"/>
    <cellStyle name="Normal 2 4 2 3 2 7 4" xfId="11437" xr:uid="{D1E5187B-A50B-43F1-9B20-A70AA479EEC4}"/>
    <cellStyle name="Normal 2 4 2 3 2 8" xfId="2458" xr:uid="{00000000-0005-0000-0000-0000E50E0000}"/>
    <cellStyle name="Normal 2 4 2 3 2 8 2" xfId="6741" xr:uid="{00000000-0005-0000-0000-0000E60E0000}"/>
    <cellStyle name="Normal 2 4 2 3 2 8 2 2" xfId="16067" xr:uid="{63BDA87D-99FC-4510-82C0-EDDE5AD34B3D}"/>
    <cellStyle name="Normal 2 4 2 3 2 8 3" xfId="11850" xr:uid="{078F4E52-5FA0-433F-8865-6C1BDAFEC3B4}"/>
    <cellStyle name="Normal 2 4 2 3 2 9" xfId="4675" xr:uid="{00000000-0005-0000-0000-0000E70E0000}"/>
    <cellStyle name="Normal 2 4 2 3 2 9 2" xfId="14001" xr:uid="{CEC4794F-7DD6-43BD-AC8D-42325919106C}"/>
    <cellStyle name="Normal 2 4 2 3 3" xfId="286" xr:uid="{00000000-0005-0000-0000-0000E80E0000}"/>
    <cellStyle name="Normal 2 4 2 3 3 10" xfId="9788" xr:uid="{27A0E979-C787-45DF-BE79-B6F8A2A00109}"/>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A06414E8-7BC9-4009-B755-693AE4587038}"/>
    <cellStyle name="Normal 2 4 2 3 3 2 2 2 3" xfId="12348" xr:uid="{997694ED-2516-4DA9-BBF4-1B101BF3855E}"/>
    <cellStyle name="Normal 2 4 2 3 3 2 2 3" xfId="5094" xr:uid="{00000000-0005-0000-0000-0000ED0E0000}"/>
    <cellStyle name="Normal 2 4 2 3 3 2 2 3 2" xfId="14420" xr:uid="{5F35F81C-073F-43CE-B4F2-25456CC53108}"/>
    <cellStyle name="Normal 2 4 2 3 3 2 2 4" xfId="9523" xr:uid="{49BCB42B-3FEB-4D87-8E20-52FE775F87DD}"/>
    <cellStyle name="Normal 2 4 2 3 3 2 2 4 2" xfId="18838" xr:uid="{8D1CD912-5E10-4202-9E8E-94A03691C879}"/>
    <cellStyle name="Normal 2 4 2 3 3 2 2 5" xfId="10203" xr:uid="{00ADD694-BB8F-4F3D-8817-F10BBA86A9AC}"/>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70C53BFB-5A9C-4885-9DBC-70ED5C6654A1}"/>
    <cellStyle name="Normal 2 4 2 3 3 2 3 2 3" xfId="12761" xr:uid="{5062D213-801E-4FAD-BAAC-E042EEE5FD4B}"/>
    <cellStyle name="Normal 2 4 2 3 3 2 3 3" xfId="5507" xr:uid="{00000000-0005-0000-0000-0000F10E0000}"/>
    <cellStyle name="Normal 2 4 2 3 3 2 3 3 2" xfId="14833" xr:uid="{76F98B44-76ED-4528-8E7E-005579BB47CE}"/>
    <cellStyle name="Normal 2 4 2 3 3 2 3 4" xfId="10616" xr:uid="{AF97A106-D4E8-4317-ADE2-2402822FED84}"/>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BAD10181-74CC-4C04-840A-DCDF8ACBF0B3}"/>
    <cellStyle name="Normal 2 4 2 3 3 2 4 2 3" xfId="13174" xr:uid="{606496B0-D670-498E-A7CE-182F15D9A088}"/>
    <cellStyle name="Normal 2 4 2 3 3 2 4 3" xfId="5920" xr:uid="{00000000-0005-0000-0000-0000F50E0000}"/>
    <cellStyle name="Normal 2 4 2 3 3 2 4 3 2" xfId="15246" xr:uid="{DD012AF4-588B-4146-86EF-F34D3EADAFB8}"/>
    <cellStyle name="Normal 2 4 2 3 3 2 4 4" xfId="11029" xr:uid="{E72DE945-F919-4A67-9C4A-229046548882}"/>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DC8114E9-FFB3-4570-82A3-3297E23866B0}"/>
    <cellStyle name="Normal 2 4 2 3 3 2 5 2 3" xfId="13587" xr:uid="{1EC0CB35-36F6-419D-849F-C5A013521615}"/>
    <cellStyle name="Normal 2 4 2 3 3 2 5 3" xfId="6333" xr:uid="{00000000-0005-0000-0000-0000F90E0000}"/>
    <cellStyle name="Normal 2 4 2 3 3 2 5 3 2" xfId="15659" xr:uid="{A49BB425-49AE-4FE0-841C-82CD3F9781FF}"/>
    <cellStyle name="Normal 2 4 2 3 3 2 5 4" xfId="11442" xr:uid="{BA3F1A64-224F-4CC7-B293-DB1DEEFF6F1B}"/>
    <cellStyle name="Normal 2 4 2 3 3 2 6" xfId="2463" xr:uid="{00000000-0005-0000-0000-0000FA0E0000}"/>
    <cellStyle name="Normal 2 4 2 3 3 2 6 2" xfId="6746" xr:uid="{00000000-0005-0000-0000-0000FB0E0000}"/>
    <cellStyle name="Normal 2 4 2 3 3 2 6 2 2" xfId="16072" xr:uid="{A88EB923-26CA-4C65-A04B-9F29DC8FEA96}"/>
    <cellStyle name="Normal 2 4 2 3 3 2 6 3" xfId="11855" xr:uid="{B1B9E535-DB2F-46D8-A190-B60B84BF152E}"/>
    <cellStyle name="Normal 2 4 2 3 3 2 7" xfId="4680" xr:uid="{00000000-0005-0000-0000-0000FC0E0000}"/>
    <cellStyle name="Normal 2 4 2 3 3 2 7 2" xfId="14006" xr:uid="{A3BEBA45-3CC6-48FC-B03B-8205745F5904}"/>
    <cellStyle name="Normal 2 4 2 3 3 2 8" xfId="9098" xr:uid="{15335B31-FFDD-479D-88EC-FAB83DC4E6EC}"/>
    <cellStyle name="Normal 2 4 2 3 3 2 8 2" xfId="18422" xr:uid="{B229D264-63A4-4DFD-9B75-0DDF3B1610AC}"/>
    <cellStyle name="Normal 2 4 2 3 3 2 9" xfId="9789" xr:uid="{9EF5684F-A67C-4609-9C05-FDB0F8386264}"/>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21039ACB-5BEC-474E-88E8-C6D42BBCE52B}"/>
    <cellStyle name="Normal 2 4 2 3 3 3 2 3" xfId="12347" xr:uid="{6DBB0657-B351-4932-9824-3B80497D4369}"/>
    <cellStyle name="Normal 2 4 2 3 3 3 3" xfId="5093" xr:uid="{00000000-0005-0000-0000-0000000F0000}"/>
    <cellStyle name="Normal 2 4 2 3 3 3 3 2" xfId="14419" xr:uid="{6D6B33B0-EBC2-4957-972A-75A63A387524}"/>
    <cellStyle name="Normal 2 4 2 3 3 3 4" xfId="9316" xr:uid="{C8C83D09-5A3A-4C90-8A04-9D7CD8C85B11}"/>
    <cellStyle name="Normal 2 4 2 3 3 3 4 2" xfId="18631" xr:uid="{DA731597-1CBE-403A-8F95-9AE78A3C3763}"/>
    <cellStyle name="Normal 2 4 2 3 3 3 5" xfId="10202" xr:uid="{1A0346A9-FB6E-411F-9917-49EAC91352F9}"/>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F3178973-10E6-4D34-9F3D-32DF431858C7}"/>
    <cellStyle name="Normal 2 4 2 3 3 4 2 3" xfId="12760" xr:uid="{A6F1658E-61CA-4AA4-9D2A-9A4D1562726C}"/>
    <cellStyle name="Normal 2 4 2 3 3 4 3" xfId="5506" xr:uid="{00000000-0005-0000-0000-0000040F0000}"/>
    <cellStyle name="Normal 2 4 2 3 3 4 3 2" xfId="14832" xr:uid="{1C6DFD87-E432-4DBC-948E-98CF01C8B463}"/>
    <cellStyle name="Normal 2 4 2 3 3 4 4" xfId="10615" xr:uid="{9D5AC143-3341-4B57-B907-647FF00D0161}"/>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3DF049EF-A81B-4FEF-9D38-0FD16C0F6AF6}"/>
    <cellStyle name="Normal 2 4 2 3 3 5 2 3" xfId="13173" xr:uid="{396FC4EC-AFC5-4A30-9D30-7CFEFD0E46E2}"/>
    <cellStyle name="Normal 2 4 2 3 3 5 3" xfId="5919" xr:uid="{00000000-0005-0000-0000-0000080F0000}"/>
    <cellStyle name="Normal 2 4 2 3 3 5 3 2" xfId="15245" xr:uid="{FF9D66F7-DF8E-46D3-B91B-DBDF27DE5649}"/>
    <cellStyle name="Normal 2 4 2 3 3 5 4" xfId="11028" xr:uid="{4831BE5D-9E4B-467D-B68F-9F2EEB07597C}"/>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1692BE30-DAA5-49A2-B5C6-4ED0BAEF0347}"/>
    <cellStyle name="Normal 2 4 2 3 3 6 2 3" xfId="13586" xr:uid="{FF13B106-59ED-4521-B42E-5F3517D7869C}"/>
    <cellStyle name="Normal 2 4 2 3 3 6 3" xfId="6332" xr:uid="{00000000-0005-0000-0000-00000C0F0000}"/>
    <cellStyle name="Normal 2 4 2 3 3 6 3 2" xfId="15658" xr:uid="{8851CD5D-490E-4633-8B2C-44C978900EBF}"/>
    <cellStyle name="Normal 2 4 2 3 3 6 4" xfId="11441" xr:uid="{E8C749E2-8B45-4685-ACA0-26884266F207}"/>
    <cellStyle name="Normal 2 4 2 3 3 7" xfId="2462" xr:uid="{00000000-0005-0000-0000-00000D0F0000}"/>
    <cellStyle name="Normal 2 4 2 3 3 7 2" xfId="6745" xr:uid="{00000000-0005-0000-0000-00000E0F0000}"/>
    <cellStyle name="Normal 2 4 2 3 3 7 2 2" xfId="16071" xr:uid="{9D5493EC-5EA2-41F8-B3FD-2EF6366B227D}"/>
    <cellStyle name="Normal 2 4 2 3 3 7 3" xfId="11854" xr:uid="{448939F4-9369-461F-B17B-5E18A3CFA5DD}"/>
    <cellStyle name="Normal 2 4 2 3 3 8" xfId="4679" xr:uid="{00000000-0005-0000-0000-00000F0F0000}"/>
    <cellStyle name="Normal 2 4 2 3 3 8 2" xfId="14005" xr:uid="{46EA0ACD-9EA2-43D6-BA46-66DE5CAFA3E8}"/>
    <cellStyle name="Normal 2 4 2 3 3 9" xfId="8891" xr:uid="{D2DF60A1-A34B-4A3F-B29E-E581EFBA8360}"/>
    <cellStyle name="Normal 2 4 2 3 3 9 2" xfId="18215" xr:uid="{6653BF5D-D8C5-4356-A131-458BEFF4EC98}"/>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9F1F7172-7271-4821-84F4-E80A9B935564}"/>
    <cellStyle name="Normal 2 4 2 3 4 2 2 3" xfId="12349" xr:uid="{FFF37229-D6D4-49CE-A4CC-D881B0861F5B}"/>
    <cellStyle name="Normal 2 4 2 3 4 2 3" xfId="5095" xr:uid="{00000000-0005-0000-0000-0000140F0000}"/>
    <cellStyle name="Normal 2 4 2 3 4 2 3 2" xfId="14421" xr:uid="{2907E05A-B548-449C-948E-6BA613AF0E7E}"/>
    <cellStyle name="Normal 2 4 2 3 4 2 4" xfId="9420" xr:uid="{49E252B3-99BC-416A-A0CB-FE2641ECFDE3}"/>
    <cellStyle name="Normal 2 4 2 3 4 2 4 2" xfId="18735" xr:uid="{74885956-66E3-4719-A024-9FBF8AAF02F7}"/>
    <cellStyle name="Normal 2 4 2 3 4 2 5" xfId="10204" xr:uid="{AC326C75-C481-4B33-9096-01FDF01D6DED}"/>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BD3CD9C5-A437-4D20-B398-98611632E7CF}"/>
    <cellStyle name="Normal 2 4 2 3 4 3 2 3" xfId="12762" xr:uid="{990EA752-4098-4F1B-99CE-B3D7EB28417C}"/>
    <cellStyle name="Normal 2 4 2 3 4 3 3" xfId="5508" xr:uid="{00000000-0005-0000-0000-0000180F0000}"/>
    <cellStyle name="Normal 2 4 2 3 4 3 3 2" xfId="14834" xr:uid="{8CF34278-44A7-46FB-9222-03F56CAF2FD1}"/>
    <cellStyle name="Normal 2 4 2 3 4 3 4" xfId="10617" xr:uid="{8972013F-121B-47D4-9BF4-38A0E3C0A543}"/>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1F8A6815-497E-4CF5-8675-62E70CE102D6}"/>
    <cellStyle name="Normal 2 4 2 3 4 4 2 3" xfId="13175" xr:uid="{C48827ED-6CD5-49E3-8087-558F1FB9A119}"/>
    <cellStyle name="Normal 2 4 2 3 4 4 3" xfId="5921" xr:uid="{00000000-0005-0000-0000-00001C0F0000}"/>
    <cellStyle name="Normal 2 4 2 3 4 4 3 2" xfId="15247" xr:uid="{B96698E0-964E-4A9B-AEBA-E463F7C2A11D}"/>
    <cellStyle name="Normal 2 4 2 3 4 4 4" xfId="11030" xr:uid="{99D62BAA-00FB-436C-8F65-59ED52C74CB4}"/>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0456AE77-C09F-494E-8DD3-AC7E972DB73A}"/>
    <cellStyle name="Normal 2 4 2 3 4 5 2 3" xfId="13588" xr:uid="{035D6DA7-4EA1-4B74-9C2E-1E70027A2174}"/>
    <cellStyle name="Normal 2 4 2 3 4 5 3" xfId="6334" xr:uid="{00000000-0005-0000-0000-0000200F0000}"/>
    <cellStyle name="Normal 2 4 2 3 4 5 3 2" xfId="15660" xr:uid="{0567C528-FD39-46FC-8280-DBDFB3D93148}"/>
    <cellStyle name="Normal 2 4 2 3 4 5 4" xfId="11443" xr:uid="{425F167E-3D09-4648-8AA2-246EE493589A}"/>
    <cellStyle name="Normal 2 4 2 3 4 6" xfId="2464" xr:uid="{00000000-0005-0000-0000-0000210F0000}"/>
    <cellStyle name="Normal 2 4 2 3 4 6 2" xfId="6747" xr:uid="{00000000-0005-0000-0000-0000220F0000}"/>
    <cellStyle name="Normal 2 4 2 3 4 6 2 2" xfId="16073" xr:uid="{2EF12383-8D1B-4E26-A603-76E6296CA574}"/>
    <cellStyle name="Normal 2 4 2 3 4 6 3" xfId="11856" xr:uid="{081C667B-6543-4CA4-91FE-9825FF8D6103}"/>
    <cellStyle name="Normal 2 4 2 3 4 7" xfId="4681" xr:uid="{00000000-0005-0000-0000-0000230F0000}"/>
    <cellStyle name="Normal 2 4 2 3 4 7 2" xfId="14007" xr:uid="{45DA6AB2-82C5-408C-8A44-8B7356AD126D}"/>
    <cellStyle name="Normal 2 4 2 3 4 8" xfId="8995" xr:uid="{EEE25A27-4C18-4948-8341-FF27707A7A86}"/>
    <cellStyle name="Normal 2 4 2 3 4 8 2" xfId="18319" xr:uid="{63F35B96-7504-43A6-BB62-C71E38AB6862}"/>
    <cellStyle name="Normal 2 4 2 3 4 9" xfId="9790" xr:uid="{A02AA8B4-A3FA-454B-96E5-5B2F6D9CDAF1}"/>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A0ACC97E-28CB-42F0-BFD1-E8CC9D561260}"/>
    <cellStyle name="Normal 2 4 2 3 5 2 3" xfId="12342" xr:uid="{7273F180-7E73-42A0-BB96-3EDF356A7A8A}"/>
    <cellStyle name="Normal 2 4 2 3 5 3" xfId="5088" xr:uid="{00000000-0005-0000-0000-0000270F0000}"/>
    <cellStyle name="Normal 2 4 2 3 5 3 2" xfId="14414" xr:uid="{CC3E7ECB-5597-4EB2-B90D-AC137D18FA98}"/>
    <cellStyle name="Normal 2 4 2 3 5 4" xfId="9212" xr:uid="{39F1BF9F-C79C-4226-B2D8-665EAA6F3686}"/>
    <cellStyle name="Normal 2 4 2 3 5 4 2" xfId="18528" xr:uid="{2C92BEFE-8048-459D-96AF-C14D011F9258}"/>
    <cellStyle name="Normal 2 4 2 3 5 5" xfId="10197" xr:uid="{E5FC534A-43F2-4A37-9D3B-5F89CDA48BCC}"/>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FA5A3682-ED3B-4B8A-A069-05198BAA23D0}"/>
    <cellStyle name="Normal 2 4 2 3 6 2 3" xfId="12755" xr:uid="{EB9E4B3E-9D40-4435-BBBF-F01BB110A67D}"/>
    <cellStyle name="Normal 2 4 2 3 6 3" xfId="5501" xr:uid="{00000000-0005-0000-0000-00002B0F0000}"/>
    <cellStyle name="Normal 2 4 2 3 6 3 2" xfId="14827" xr:uid="{00DD9B66-6C25-492B-AA90-1FBF7AB1669C}"/>
    <cellStyle name="Normal 2 4 2 3 6 4" xfId="10610" xr:uid="{E3AC804E-169A-408A-B35E-7B762197A159}"/>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2B4717F4-C275-47C8-B3B3-27418070B4F4}"/>
    <cellStyle name="Normal 2 4 2 3 7 2 3" xfId="13168" xr:uid="{28431C32-4391-49D1-B4E7-D14F695F3AB8}"/>
    <cellStyle name="Normal 2 4 2 3 7 3" xfId="5914" xr:uid="{00000000-0005-0000-0000-00002F0F0000}"/>
    <cellStyle name="Normal 2 4 2 3 7 3 2" xfId="15240" xr:uid="{E7D39408-9677-43B8-8DC4-029FD76B6357}"/>
    <cellStyle name="Normal 2 4 2 3 7 4" xfId="11023" xr:uid="{998E5D29-AA1D-4BB4-BA82-447D410D5E17}"/>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47507C5D-FD98-4E0A-9009-1076FAB7DB0F}"/>
    <cellStyle name="Normal 2 4 2 3 8 2 3" xfId="13581" xr:uid="{7C8985F9-BAD8-4D9A-8E68-75FBB3DD575B}"/>
    <cellStyle name="Normal 2 4 2 3 8 3" xfId="6327" xr:uid="{00000000-0005-0000-0000-0000330F0000}"/>
    <cellStyle name="Normal 2 4 2 3 8 3 2" xfId="15653" xr:uid="{A2500335-EC89-4996-B964-8ED1895D5CBB}"/>
    <cellStyle name="Normal 2 4 2 3 8 4" xfId="11436" xr:uid="{7F926310-A6DC-4C30-AF7D-8051DB9CC52E}"/>
    <cellStyle name="Normal 2 4 2 3 9" xfId="2457" xr:uid="{00000000-0005-0000-0000-0000340F0000}"/>
    <cellStyle name="Normal 2 4 2 3 9 2" xfId="6740" xr:uid="{00000000-0005-0000-0000-0000350F0000}"/>
    <cellStyle name="Normal 2 4 2 3 9 2 2" xfId="16066" xr:uid="{C9551895-FB73-44DB-9D33-9E8624732DA3}"/>
    <cellStyle name="Normal 2 4 2 3 9 3" xfId="11849" xr:uid="{E03D3131-5BEB-49ED-92A5-81D09688D06C}"/>
    <cellStyle name="Normal 2 4 2 4" xfId="289" xr:uid="{00000000-0005-0000-0000-0000360F0000}"/>
    <cellStyle name="Normal 2 4 2 4 10" xfId="8812" xr:uid="{C2E08BA7-2068-4F74-AFE2-E0AED0B82FE2}"/>
    <cellStyle name="Normal 2 4 2 4 10 2" xfId="18136" xr:uid="{3763FDBD-5F83-47CA-8CE4-417E17EED666}"/>
    <cellStyle name="Normal 2 4 2 4 11" xfId="9791" xr:uid="{F5D78822-4CC0-4B9B-B038-AA4A0C0B299C}"/>
    <cellStyle name="Normal 2 4 2 4 2" xfId="290" xr:uid="{00000000-0005-0000-0000-0000370F0000}"/>
    <cellStyle name="Normal 2 4 2 4 2 10" xfId="9792" xr:uid="{1AE84589-D5C6-4C30-AF92-FAAAEC0E4775}"/>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DD9D13CA-1F9B-410D-8F43-9DEE9370E9CD}"/>
    <cellStyle name="Normal 2 4 2 4 2 2 2 2 3" xfId="12352" xr:uid="{502B67BF-660D-4DA2-8B44-95F043C122BD}"/>
    <cellStyle name="Normal 2 4 2 4 2 2 2 3" xfId="5098" xr:uid="{00000000-0005-0000-0000-00003C0F0000}"/>
    <cellStyle name="Normal 2 4 2 4 2 2 2 3 2" xfId="14424" xr:uid="{31494C0B-5D26-4A77-87FD-21E5C4B05351}"/>
    <cellStyle name="Normal 2 4 2 4 2 2 2 4" xfId="9547" xr:uid="{F8909421-8B16-4168-8B85-A5523C430C3C}"/>
    <cellStyle name="Normal 2 4 2 4 2 2 2 4 2" xfId="18862" xr:uid="{971292E2-17E8-42AC-B005-7D4E72F407DB}"/>
    <cellStyle name="Normal 2 4 2 4 2 2 2 5" xfId="10207" xr:uid="{7C0E7FE7-AEBE-4136-B687-2AC985086E8A}"/>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11571276-C74D-4346-A7B9-AB4FDA6D2B82}"/>
    <cellStyle name="Normal 2 4 2 4 2 2 3 2 3" xfId="12765" xr:uid="{0BD94751-77BF-4EF0-8FAF-DF53082C9040}"/>
    <cellStyle name="Normal 2 4 2 4 2 2 3 3" xfId="5511" xr:uid="{00000000-0005-0000-0000-0000400F0000}"/>
    <cellStyle name="Normal 2 4 2 4 2 2 3 3 2" xfId="14837" xr:uid="{0C4169A2-DDC8-4FE3-8A89-D002AC55815A}"/>
    <cellStyle name="Normal 2 4 2 4 2 2 3 4" xfId="10620" xr:uid="{EEEAC899-C83F-4A5A-932A-E692C99E8AE6}"/>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8751E2BB-DB58-4705-ACE8-DFF040D817B0}"/>
    <cellStyle name="Normal 2 4 2 4 2 2 4 2 3" xfId="13178" xr:uid="{5E7F9FFE-CD1C-4F81-BFA2-5C112E481ECE}"/>
    <cellStyle name="Normal 2 4 2 4 2 2 4 3" xfId="5924" xr:uid="{00000000-0005-0000-0000-0000440F0000}"/>
    <cellStyle name="Normal 2 4 2 4 2 2 4 3 2" xfId="15250" xr:uid="{50C19FB2-BC94-4AB7-829D-29BD8E819FC0}"/>
    <cellStyle name="Normal 2 4 2 4 2 2 4 4" xfId="11033" xr:uid="{C37C00EB-CD65-4211-AF68-F729B68E4B96}"/>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603D21F2-9D4F-46A4-8B02-77D0E94B993C}"/>
    <cellStyle name="Normal 2 4 2 4 2 2 5 2 3" xfId="13591" xr:uid="{A345A84D-50F0-43F7-9791-8DE096070FA4}"/>
    <cellStyle name="Normal 2 4 2 4 2 2 5 3" xfId="6337" xr:uid="{00000000-0005-0000-0000-0000480F0000}"/>
    <cellStyle name="Normal 2 4 2 4 2 2 5 3 2" xfId="15663" xr:uid="{F70AF8FD-B7E7-47CE-9D9D-3492CDB4CF28}"/>
    <cellStyle name="Normal 2 4 2 4 2 2 5 4" xfId="11446" xr:uid="{210723F0-F711-4AFC-9BC9-344440519F54}"/>
    <cellStyle name="Normal 2 4 2 4 2 2 6" xfId="2467" xr:uid="{00000000-0005-0000-0000-0000490F0000}"/>
    <cellStyle name="Normal 2 4 2 4 2 2 6 2" xfId="6750" xr:uid="{00000000-0005-0000-0000-00004A0F0000}"/>
    <cellStyle name="Normal 2 4 2 4 2 2 6 2 2" xfId="16076" xr:uid="{DBB14BF3-A54A-4CA7-B7B8-3E4AB1AE2CFB}"/>
    <cellStyle name="Normal 2 4 2 4 2 2 6 3" xfId="11859" xr:uid="{10AF9836-4537-4BB1-8E3A-C35ECF6C6BB7}"/>
    <cellStyle name="Normal 2 4 2 4 2 2 7" xfId="4684" xr:uid="{00000000-0005-0000-0000-00004B0F0000}"/>
    <cellStyle name="Normal 2 4 2 4 2 2 7 2" xfId="14010" xr:uid="{5AC94873-C972-4826-B863-8C2329AA6F1E}"/>
    <cellStyle name="Normal 2 4 2 4 2 2 8" xfId="9122" xr:uid="{861CB008-611F-4F3F-9D09-5BCA5A4CB255}"/>
    <cellStyle name="Normal 2 4 2 4 2 2 8 2" xfId="18446" xr:uid="{70299B10-A5C4-402E-AC95-AD7108F8FFF1}"/>
    <cellStyle name="Normal 2 4 2 4 2 2 9" xfId="9793" xr:uid="{988A6816-79CC-4050-B3FE-EBAEF4619BDE}"/>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EB9FDA9D-64D4-4EFA-B309-6B40EEBFBC5C}"/>
    <cellStyle name="Normal 2 4 2 4 2 3 2 3" xfId="12351" xr:uid="{13D29698-6C25-4209-93EC-9CBFFA664C5F}"/>
    <cellStyle name="Normal 2 4 2 4 2 3 3" xfId="5097" xr:uid="{00000000-0005-0000-0000-00004F0F0000}"/>
    <cellStyle name="Normal 2 4 2 4 2 3 3 2" xfId="14423" xr:uid="{2EA48426-6C3E-4B2E-904B-51838790C0E5}"/>
    <cellStyle name="Normal 2 4 2 4 2 3 4" xfId="9340" xr:uid="{2D1F2F91-F6E8-42AC-98D0-B8667E0ECE37}"/>
    <cellStyle name="Normal 2 4 2 4 2 3 4 2" xfId="18655" xr:uid="{8E44D4C0-4EFB-44F9-8DE3-23E17BC37AA1}"/>
    <cellStyle name="Normal 2 4 2 4 2 3 5" xfId="10206" xr:uid="{04905DC1-0332-4D78-996B-211EBB77B115}"/>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61E2832A-93B2-4823-997F-3C5C6E6C48FB}"/>
    <cellStyle name="Normal 2 4 2 4 2 4 2 3" xfId="12764" xr:uid="{61FB5D8C-212B-4133-A19E-A6AF0154430D}"/>
    <cellStyle name="Normal 2 4 2 4 2 4 3" xfId="5510" xr:uid="{00000000-0005-0000-0000-0000530F0000}"/>
    <cellStyle name="Normal 2 4 2 4 2 4 3 2" xfId="14836" xr:uid="{018375D5-1557-4C36-B2A4-80DD2E85B7EF}"/>
    <cellStyle name="Normal 2 4 2 4 2 4 4" xfId="10619" xr:uid="{A94A952A-E082-4497-A9C5-28D5D3C1CA72}"/>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1A863E9D-1A7B-4396-B9C3-D53F0EB8F782}"/>
    <cellStyle name="Normal 2 4 2 4 2 5 2 3" xfId="13177" xr:uid="{50B650B3-CE94-4E1D-8445-DC45B7B3F047}"/>
    <cellStyle name="Normal 2 4 2 4 2 5 3" xfId="5923" xr:uid="{00000000-0005-0000-0000-0000570F0000}"/>
    <cellStyle name="Normal 2 4 2 4 2 5 3 2" xfId="15249" xr:uid="{158A9379-3150-4E65-84FC-5E3C488FBB7E}"/>
    <cellStyle name="Normal 2 4 2 4 2 5 4" xfId="11032" xr:uid="{B318763F-F5AB-4EAB-B253-BF7AD78C3CE9}"/>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D82E32E8-E369-45F9-870B-4C388F468248}"/>
    <cellStyle name="Normal 2 4 2 4 2 6 2 3" xfId="13590" xr:uid="{A9A24FF3-6580-486C-9641-B519FD1005CA}"/>
    <cellStyle name="Normal 2 4 2 4 2 6 3" xfId="6336" xr:uid="{00000000-0005-0000-0000-00005B0F0000}"/>
    <cellStyle name="Normal 2 4 2 4 2 6 3 2" xfId="15662" xr:uid="{C4D65F3E-6843-4A4B-A8C1-A268BC12E3EB}"/>
    <cellStyle name="Normal 2 4 2 4 2 6 4" xfId="11445" xr:uid="{A47EF282-C474-4736-9694-D656D7DA1900}"/>
    <cellStyle name="Normal 2 4 2 4 2 7" xfId="2466" xr:uid="{00000000-0005-0000-0000-00005C0F0000}"/>
    <cellStyle name="Normal 2 4 2 4 2 7 2" xfId="6749" xr:uid="{00000000-0005-0000-0000-00005D0F0000}"/>
    <cellStyle name="Normal 2 4 2 4 2 7 2 2" xfId="16075" xr:uid="{F75AD0E9-9CBF-4E2B-B7B1-AF7A228FE217}"/>
    <cellStyle name="Normal 2 4 2 4 2 7 3" xfId="11858" xr:uid="{4CBE3E62-F765-4B9A-93AC-3AE485CCF505}"/>
    <cellStyle name="Normal 2 4 2 4 2 8" xfId="4683" xr:uid="{00000000-0005-0000-0000-00005E0F0000}"/>
    <cellStyle name="Normal 2 4 2 4 2 8 2" xfId="14009" xr:uid="{30AF4D38-B6BF-4C1E-BE0D-3508F64AFF97}"/>
    <cellStyle name="Normal 2 4 2 4 2 9" xfId="8915" xr:uid="{2BEB15AA-2AFA-47D4-AC0E-63DAF2CFE119}"/>
    <cellStyle name="Normal 2 4 2 4 2 9 2" xfId="18239" xr:uid="{A8FFC45D-0140-4DE0-B5C7-01A553C30AE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37A8A67F-0E42-4B25-97B1-E580F6DED232}"/>
    <cellStyle name="Normal 2 4 2 4 3 2 2 3" xfId="12353" xr:uid="{FF6800B4-7F13-4713-AC75-B396D58CC716}"/>
    <cellStyle name="Normal 2 4 2 4 3 2 3" xfId="5099" xr:uid="{00000000-0005-0000-0000-0000630F0000}"/>
    <cellStyle name="Normal 2 4 2 4 3 2 3 2" xfId="14425" xr:uid="{9B9AA1E2-EE85-4B64-9749-BA5667941048}"/>
    <cellStyle name="Normal 2 4 2 4 3 2 4" xfId="9444" xr:uid="{807939DF-E7C0-4015-A3D8-AE9E56020172}"/>
    <cellStyle name="Normal 2 4 2 4 3 2 4 2" xfId="18759" xr:uid="{EE871F43-0451-42E0-A432-9F492869B161}"/>
    <cellStyle name="Normal 2 4 2 4 3 2 5" xfId="10208" xr:uid="{FBB60CFE-FD11-44DB-894C-0F5A8D42D643}"/>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6014542C-1D8C-493A-9178-5F010C659939}"/>
    <cellStyle name="Normal 2 4 2 4 3 3 2 3" xfId="12766" xr:uid="{8EC4C207-3D3D-4689-B373-B49C03019C90}"/>
    <cellStyle name="Normal 2 4 2 4 3 3 3" xfId="5512" xr:uid="{00000000-0005-0000-0000-0000670F0000}"/>
    <cellStyle name="Normal 2 4 2 4 3 3 3 2" xfId="14838" xr:uid="{D3C62377-EC8D-4D50-893C-B7AB9AD09F7C}"/>
    <cellStyle name="Normal 2 4 2 4 3 3 4" xfId="10621" xr:uid="{98593868-A04E-4B14-9F10-BF6073905F04}"/>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3C97E097-AC29-423F-BEDB-882C3546942D}"/>
    <cellStyle name="Normal 2 4 2 4 3 4 2 3" xfId="13179" xr:uid="{40B5CE3A-E2F4-48B6-971C-0D0A1A90C056}"/>
    <cellStyle name="Normal 2 4 2 4 3 4 3" xfId="5925" xr:uid="{00000000-0005-0000-0000-00006B0F0000}"/>
    <cellStyle name="Normal 2 4 2 4 3 4 3 2" xfId="15251" xr:uid="{CB5FBF43-70D4-4EBF-A364-A517C3B65A64}"/>
    <cellStyle name="Normal 2 4 2 4 3 4 4" xfId="11034" xr:uid="{173569AF-7F57-49EB-9273-8A16453BAD16}"/>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5AF2EA39-01C8-4546-9312-C750A3A75C69}"/>
    <cellStyle name="Normal 2 4 2 4 3 5 2 3" xfId="13592" xr:uid="{67E1C9BB-EBCD-41D6-A8DF-0DC21FB39302}"/>
    <cellStyle name="Normal 2 4 2 4 3 5 3" xfId="6338" xr:uid="{00000000-0005-0000-0000-00006F0F0000}"/>
    <cellStyle name="Normal 2 4 2 4 3 5 3 2" xfId="15664" xr:uid="{7FC2C623-D6CF-4BC0-83D5-19B9F617AA18}"/>
    <cellStyle name="Normal 2 4 2 4 3 5 4" xfId="11447" xr:uid="{E195DD01-4B61-4EF2-A5EC-7B78133BC98E}"/>
    <cellStyle name="Normal 2 4 2 4 3 6" xfId="2468" xr:uid="{00000000-0005-0000-0000-0000700F0000}"/>
    <cellStyle name="Normal 2 4 2 4 3 6 2" xfId="6751" xr:uid="{00000000-0005-0000-0000-0000710F0000}"/>
    <cellStyle name="Normal 2 4 2 4 3 6 2 2" xfId="16077" xr:uid="{9B1FB0DC-71A1-4C1A-A937-D213A377A5A9}"/>
    <cellStyle name="Normal 2 4 2 4 3 6 3" xfId="11860" xr:uid="{21A92B22-318B-4A6F-8ADA-B49B28F15F95}"/>
    <cellStyle name="Normal 2 4 2 4 3 7" xfId="4685" xr:uid="{00000000-0005-0000-0000-0000720F0000}"/>
    <cellStyle name="Normal 2 4 2 4 3 7 2" xfId="14011" xr:uid="{662BD962-D80A-4084-B918-56F7FC8949B7}"/>
    <cellStyle name="Normal 2 4 2 4 3 8" xfId="9019" xr:uid="{1F22810F-FF7D-4FF4-861A-F2BA8F253428}"/>
    <cellStyle name="Normal 2 4 2 4 3 8 2" xfId="18343" xr:uid="{794BE6A4-839C-4AAE-8DDD-4ECE442F6574}"/>
    <cellStyle name="Normal 2 4 2 4 3 9" xfId="9794" xr:uid="{3E42A733-687D-4D13-89C4-05F813080B80}"/>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70381762-4420-44D7-84E4-27799DA441F4}"/>
    <cellStyle name="Normal 2 4 2 4 4 2 3" xfId="12350" xr:uid="{075EB979-F684-42A6-B9DB-2FF688E53B8A}"/>
    <cellStyle name="Normal 2 4 2 4 4 3" xfId="5096" xr:uid="{00000000-0005-0000-0000-0000760F0000}"/>
    <cellStyle name="Normal 2 4 2 4 4 3 2" xfId="14422" xr:uid="{79B7D6AA-6790-4CA4-AE61-0A8FF6C34C6F}"/>
    <cellStyle name="Normal 2 4 2 4 4 4" xfId="9237" xr:uid="{FF4B133D-A40B-4895-9E3D-E727B18E66C8}"/>
    <cellStyle name="Normal 2 4 2 4 4 4 2" xfId="18552" xr:uid="{61B00C9E-CA3A-4994-B9AB-72DF329DD6E3}"/>
    <cellStyle name="Normal 2 4 2 4 4 5" xfId="10205" xr:uid="{ECAED42D-9732-4200-8CA9-F765834694B8}"/>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340BC234-93E2-4EAB-84EF-DF2EAD295B58}"/>
    <cellStyle name="Normal 2 4 2 4 5 2 3" xfId="12763" xr:uid="{F5178739-A9DD-49E6-8AFD-B425CD6A7148}"/>
    <cellStyle name="Normal 2 4 2 4 5 3" xfId="5509" xr:uid="{00000000-0005-0000-0000-00007A0F0000}"/>
    <cellStyle name="Normal 2 4 2 4 5 3 2" xfId="14835" xr:uid="{3298F923-FA27-4024-B5A9-D2CA1F0EA981}"/>
    <cellStyle name="Normal 2 4 2 4 5 4" xfId="10618" xr:uid="{C7711ADB-1E4C-4EAC-B310-DFB4A1319D8F}"/>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9565E33F-B8B6-4B7D-BD8E-20EAE20EB939}"/>
    <cellStyle name="Normal 2 4 2 4 6 2 3" xfId="13176" xr:uid="{13D2BD44-7FCF-4CB0-A145-694C5CAD52CC}"/>
    <cellStyle name="Normal 2 4 2 4 6 3" xfId="5922" xr:uid="{00000000-0005-0000-0000-00007E0F0000}"/>
    <cellStyle name="Normal 2 4 2 4 6 3 2" xfId="15248" xr:uid="{AAAE2432-7A03-439D-A045-DEF4860928BA}"/>
    <cellStyle name="Normal 2 4 2 4 6 4" xfId="11031" xr:uid="{F422177A-8609-4F32-88E7-98B2FC60E472}"/>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A93394C5-56CB-4B7E-954B-7AFA65BDCCEE}"/>
    <cellStyle name="Normal 2 4 2 4 7 2 3" xfId="13589" xr:uid="{1BA13A97-F853-40FF-816C-5D7BBDDE700D}"/>
    <cellStyle name="Normal 2 4 2 4 7 3" xfId="6335" xr:uid="{00000000-0005-0000-0000-0000820F0000}"/>
    <cellStyle name="Normal 2 4 2 4 7 3 2" xfId="15661" xr:uid="{09DB048B-3280-4963-8AC2-7F35E161B51A}"/>
    <cellStyle name="Normal 2 4 2 4 7 4" xfId="11444" xr:uid="{2235E07E-9B76-424E-B9AD-04C51266E76F}"/>
    <cellStyle name="Normal 2 4 2 4 8" xfId="2465" xr:uid="{00000000-0005-0000-0000-0000830F0000}"/>
    <cellStyle name="Normal 2 4 2 4 8 2" xfId="6748" xr:uid="{00000000-0005-0000-0000-0000840F0000}"/>
    <cellStyle name="Normal 2 4 2 4 8 2 2" xfId="16074" xr:uid="{BCC245A5-3B09-4DCA-9626-CF95F0FFDD0A}"/>
    <cellStyle name="Normal 2 4 2 4 8 3" xfId="11857" xr:uid="{FD043EEF-64BA-44CC-AFC9-63E93C66309D}"/>
    <cellStyle name="Normal 2 4 2 4 9" xfId="4682" xr:uid="{00000000-0005-0000-0000-0000850F0000}"/>
    <cellStyle name="Normal 2 4 2 4 9 2" xfId="14008" xr:uid="{18694E8F-C870-48BA-9C30-70AC13768AA9}"/>
    <cellStyle name="Normal 2 4 2 5" xfId="293" xr:uid="{00000000-0005-0000-0000-0000860F0000}"/>
    <cellStyle name="Normal 2 4 2 5 10" xfId="9795" xr:uid="{DB0D7A92-FEE6-44D2-8AE9-E54E3B71FE95}"/>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F058C5F8-128B-4A77-8633-69597B7EF10C}"/>
    <cellStyle name="Normal 2 4 2 5 2 2 2 3" xfId="12355" xr:uid="{99FB6FB9-9298-428F-B084-360D43FE5A5D}"/>
    <cellStyle name="Normal 2 4 2 5 2 2 3" xfId="5101" xr:uid="{00000000-0005-0000-0000-00008B0F0000}"/>
    <cellStyle name="Normal 2 4 2 5 2 2 3 2" xfId="14427" xr:uid="{0907CB44-6AAB-43E0-8E3C-A8A2D6E857F9}"/>
    <cellStyle name="Normal 2 4 2 5 2 2 4" xfId="9492" xr:uid="{07DC9204-2F52-408E-80EE-617A106DD9FD}"/>
    <cellStyle name="Normal 2 4 2 5 2 2 4 2" xfId="18807" xr:uid="{7D9B589F-850E-4AE2-985C-218959405C59}"/>
    <cellStyle name="Normal 2 4 2 5 2 2 5" xfId="10210" xr:uid="{3149C016-ECAF-4102-A7D7-A0646BA40A52}"/>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D928C92F-255D-4A5A-A822-CA3212F84F3C}"/>
    <cellStyle name="Normal 2 4 2 5 2 3 2 3" xfId="12768" xr:uid="{254006CE-BBFA-4C32-9D6C-012B034C8425}"/>
    <cellStyle name="Normal 2 4 2 5 2 3 3" xfId="5514" xr:uid="{00000000-0005-0000-0000-00008F0F0000}"/>
    <cellStyle name="Normal 2 4 2 5 2 3 3 2" xfId="14840" xr:uid="{7FF21145-2311-4E2F-BACB-AC9DEA028126}"/>
    <cellStyle name="Normal 2 4 2 5 2 3 4" xfId="10623" xr:uid="{F5215DD4-CF1D-4182-8E22-5E2D6850C59E}"/>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8B14A672-5896-42E6-9C9F-B9A6316EA51D}"/>
    <cellStyle name="Normal 2 4 2 5 2 4 2 3" xfId="13181" xr:uid="{007509BD-FC4D-4EC8-B826-4A299C98E1C0}"/>
    <cellStyle name="Normal 2 4 2 5 2 4 3" xfId="5927" xr:uid="{00000000-0005-0000-0000-0000930F0000}"/>
    <cellStyle name="Normal 2 4 2 5 2 4 3 2" xfId="15253" xr:uid="{85ECE5C9-ABE3-45DF-AC96-EDEE8F73B21E}"/>
    <cellStyle name="Normal 2 4 2 5 2 4 4" xfId="11036" xr:uid="{6B3B437D-A7E1-4551-98F4-E4D08D4EEB41}"/>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492DC1B5-A391-436C-AEF1-1C149B9DDF8F}"/>
    <cellStyle name="Normal 2 4 2 5 2 5 2 3" xfId="13594" xr:uid="{F15BC42E-A418-4BBF-A767-4AEA9ACCDF89}"/>
    <cellStyle name="Normal 2 4 2 5 2 5 3" xfId="6340" xr:uid="{00000000-0005-0000-0000-0000970F0000}"/>
    <cellStyle name="Normal 2 4 2 5 2 5 3 2" xfId="15666" xr:uid="{DB431DFD-4917-42D6-883F-2AD120EEE4CB}"/>
    <cellStyle name="Normal 2 4 2 5 2 5 4" xfId="11449" xr:uid="{B0C01BF7-6CA1-4B50-B452-31D46D625FDA}"/>
    <cellStyle name="Normal 2 4 2 5 2 6" xfId="2470" xr:uid="{00000000-0005-0000-0000-0000980F0000}"/>
    <cellStyle name="Normal 2 4 2 5 2 6 2" xfId="6753" xr:uid="{00000000-0005-0000-0000-0000990F0000}"/>
    <cellStyle name="Normal 2 4 2 5 2 6 2 2" xfId="16079" xr:uid="{D90B0208-BE35-4317-9F06-0F9F27BE73D5}"/>
    <cellStyle name="Normal 2 4 2 5 2 6 3" xfId="11862" xr:uid="{3D7EE619-5565-41F3-B305-39B590EFB63B}"/>
    <cellStyle name="Normal 2 4 2 5 2 7" xfId="4687" xr:uid="{00000000-0005-0000-0000-00009A0F0000}"/>
    <cellStyle name="Normal 2 4 2 5 2 7 2" xfId="14013" xr:uid="{BF4B5ACA-11C2-40F9-97F5-89AB0022FA75}"/>
    <cellStyle name="Normal 2 4 2 5 2 8" xfId="9067" xr:uid="{89D5CB5A-ADE0-44B8-BC1E-FDE984B579C9}"/>
    <cellStyle name="Normal 2 4 2 5 2 8 2" xfId="18391" xr:uid="{EF20E9A3-D115-4025-A363-42637B77E8C9}"/>
    <cellStyle name="Normal 2 4 2 5 2 9" xfId="9796" xr:uid="{0F3F32A8-BD0D-40DC-AF73-024AA56037C4}"/>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6B774BC5-F2E2-4634-80B5-8208EDB3A689}"/>
    <cellStyle name="Normal 2 4 2 5 3 2 3" xfId="12354" xr:uid="{82DDF786-A952-44AE-AFF1-9DF57CD6116A}"/>
    <cellStyle name="Normal 2 4 2 5 3 3" xfId="5100" xr:uid="{00000000-0005-0000-0000-00009E0F0000}"/>
    <cellStyle name="Normal 2 4 2 5 3 3 2" xfId="14426" xr:uid="{CD5BE5EC-163D-43F3-B4DC-3276CC1A1AE2}"/>
    <cellStyle name="Normal 2 4 2 5 3 4" xfId="9285" xr:uid="{5DA39FB9-904E-46D3-8E24-58BF2F19DA5B}"/>
    <cellStyle name="Normal 2 4 2 5 3 4 2" xfId="18600" xr:uid="{5A48EE3D-69C9-4B9C-BED3-E50C02AC2F5A}"/>
    <cellStyle name="Normal 2 4 2 5 3 5" xfId="10209" xr:uid="{070E30F2-4720-44FE-BE94-6DE07300E85F}"/>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C6F70211-E165-4FCD-AE04-252B6D8C41DB}"/>
    <cellStyle name="Normal 2 4 2 5 4 2 3" xfId="12767" xr:uid="{C680A5BE-F1A4-4990-954E-7954E58E8DAA}"/>
    <cellStyle name="Normal 2 4 2 5 4 3" xfId="5513" xr:uid="{00000000-0005-0000-0000-0000A20F0000}"/>
    <cellStyle name="Normal 2 4 2 5 4 3 2" xfId="14839" xr:uid="{51947B78-278F-4C52-B1F3-AF3C1A542827}"/>
    <cellStyle name="Normal 2 4 2 5 4 4" xfId="10622" xr:uid="{4EC84E39-3F6D-4534-8225-75115DD1AF1F}"/>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1007AC22-08F9-4EBF-923F-A9BDC8CAC256}"/>
    <cellStyle name="Normal 2 4 2 5 5 2 3" xfId="13180" xr:uid="{D3F7E64A-E0CF-44F7-A909-219395C6CD9D}"/>
    <cellStyle name="Normal 2 4 2 5 5 3" xfId="5926" xr:uid="{00000000-0005-0000-0000-0000A60F0000}"/>
    <cellStyle name="Normal 2 4 2 5 5 3 2" xfId="15252" xr:uid="{3C28F44B-85FD-4ECC-A03E-B5CF89D698F4}"/>
    <cellStyle name="Normal 2 4 2 5 5 4" xfId="11035" xr:uid="{3E8AF39A-4A93-4F22-824A-EA87F288C82E}"/>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597997DB-B5F6-40F3-BBC1-7B423EEC2A39}"/>
    <cellStyle name="Normal 2 4 2 5 6 2 3" xfId="13593" xr:uid="{8A56753A-D432-46AE-BFE0-2A780925F6F1}"/>
    <cellStyle name="Normal 2 4 2 5 6 3" xfId="6339" xr:uid="{00000000-0005-0000-0000-0000AA0F0000}"/>
    <cellStyle name="Normal 2 4 2 5 6 3 2" xfId="15665" xr:uid="{947AB8B4-F204-4986-A1CE-53E81325BE24}"/>
    <cellStyle name="Normal 2 4 2 5 6 4" xfId="11448" xr:uid="{28603E1A-0FD5-4B2F-B113-0FF75531CBA0}"/>
    <cellStyle name="Normal 2 4 2 5 7" xfId="2469" xr:uid="{00000000-0005-0000-0000-0000AB0F0000}"/>
    <cellStyle name="Normal 2 4 2 5 7 2" xfId="6752" xr:uid="{00000000-0005-0000-0000-0000AC0F0000}"/>
    <cellStyle name="Normal 2 4 2 5 7 2 2" xfId="16078" xr:uid="{4089BC8D-C4ED-4FA5-8ABE-503FF13CF61D}"/>
    <cellStyle name="Normal 2 4 2 5 7 3" xfId="11861" xr:uid="{DFA10B0C-395B-4C5A-A736-F4DF156D4A2C}"/>
    <cellStyle name="Normal 2 4 2 5 8" xfId="4686" xr:uid="{00000000-0005-0000-0000-0000AD0F0000}"/>
    <cellStyle name="Normal 2 4 2 5 8 2" xfId="14012" xr:uid="{0AF4C114-6F04-44CC-9ECC-9A4709B09C9A}"/>
    <cellStyle name="Normal 2 4 2 5 9" xfId="8860" xr:uid="{5FAFEFC0-3249-464B-9F12-2B1DA137C588}"/>
    <cellStyle name="Normal 2 4 2 5 9 2" xfId="18184" xr:uid="{B9555FB0-3D34-4912-BD29-C809C7CE405C}"/>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2B501FFE-E4F0-4F5D-9C19-82B82E66997B}"/>
    <cellStyle name="Normal 2 4 2 6 2 2 3" xfId="12356" xr:uid="{C9DB58CD-CCD0-46B0-97A9-29D7DBF134C6}"/>
    <cellStyle name="Normal 2 4 2 6 2 3" xfId="5102" xr:uid="{00000000-0005-0000-0000-0000B20F0000}"/>
    <cellStyle name="Normal 2 4 2 6 2 3 2" xfId="14428" xr:uid="{A99A6047-2B0F-415A-9BFD-306D28F5032B}"/>
    <cellStyle name="Normal 2 4 2 6 2 4" xfId="9401" xr:uid="{C89DD342-23DD-474B-84C5-F9DED42F169B}"/>
    <cellStyle name="Normal 2 4 2 6 2 4 2" xfId="18716" xr:uid="{68182290-715C-4EE1-8163-82FEA3396503}"/>
    <cellStyle name="Normal 2 4 2 6 2 5" xfId="10211" xr:uid="{6796F53B-020B-47EF-B0C8-0FD558EDB125}"/>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FB41582D-2403-4880-95A1-D4D5BC037F2C}"/>
    <cellStyle name="Normal 2 4 2 6 3 2 3" xfId="12769" xr:uid="{5F319AE3-B0E1-4D9E-B0A7-BC9F0C87C0BF}"/>
    <cellStyle name="Normal 2 4 2 6 3 3" xfId="5515" xr:uid="{00000000-0005-0000-0000-0000B60F0000}"/>
    <cellStyle name="Normal 2 4 2 6 3 3 2" xfId="14841" xr:uid="{C32CF456-F41D-4917-94D9-7E7ADB7529CA}"/>
    <cellStyle name="Normal 2 4 2 6 3 4" xfId="10624" xr:uid="{54561B02-3D71-42E2-80C2-92609F2714B9}"/>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0179A1C6-52B8-4C3E-91CD-C818DA41F2B1}"/>
    <cellStyle name="Normal 2 4 2 6 4 2 3" xfId="13182" xr:uid="{AF997741-A237-49FA-A3A6-38B5C94ABB8B}"/>
    <cellStyle name="Normal 2 4 2 6 4 3" xfId="5928" xr:uid="{00000000-0005-0000-0000-0000BA0F0000}"/>
    <cellStyle name="Normal 2 4 2 6 4 3 2" xfId="15254" xr:uid="{3F37D69D-0B39-4756-883C-B22E69FAC3DB}"/>
    <cellStyle name="Normal 2 4 2 6 4 4" xfId="11037" xr:uid="{7E79D88A-3D8E-49B1-8AD6-7B590595766F}"/>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587BAC2E-7FCA-4C40-BD0B-946A2E833D4B}"/>
    <cellStyle name="Normal 2 4 2 6 5 2 3" xfId="13595" xr:uid="{82077428-52FF-467F-BC37-722661AEEB10}"/>
    <cellStyle name="Normal 2 4 2 6 5 3" xfId="6341" xr:uid="{00000000-0005-0000-0000-0000BE0F0000}"/>
    <cellStyle name="Normal 2 4 2 6 5 3 2" xfId="15667" xr:uid="{90BBF6E9-1DB7-422B-B18D-316E6E353DEF}"/>
    <cellStyle name="Normal 2 4 2 6 5 4" xfId="11450" xr:uid="{D074B54A-D56B-4E73-B4C0-351F2819F085}"/>
    <cellStyle name="Normal 2 4 2 6 6" xfId="2471" xr:uid="{00000000-0005-0000-0000-0000BF0F0000}"/>
    <cellStyle name="Normal 2 4 2 6 6 2" xfId="6754" xr:uid="{00000000-0005-0000-0000-0000C00F0000}"/>
    <cellStyle name="Normal 2 4 2 6 6 2 2" xfId="16080" xr:uid="{57C7DB08-C5FF-42D0-9159-272538DD2909}"/>
    <cellStyle name="Normal 2 4 2 6 6 3" xfId="11863" xr:uid="{9BE8C225-8222-43AC-8E31-086014C1AD00}"/>
    <cellStyle name="Normal 2 4 2 6 7" xfId="4688" xr:uid="{00000000-0005-0000-0000-0000C10F0000}"/>
    <cellStyle name="Normal 2 4 2 6 7 2" xfId="14014" xr:uid="{70D10125-DB3F-4EC3-A656-D311C5AC093D}"/>
    <cellStyle name="Normal 2 4 2 6 8" xfId="8976" xr:uid="{6DEAFF8C-68CB-4364-A161-479509F453AE}"/>
    <cellStyle name="Normal 2 4 2 6 8 2" xfId="18300" xr:uid="{4BE6DEAE-7832-486F-84C9-41FF72A68FED}"/>
    <cellStyle name="Normal 2 4 2 6 9" xfId="9797" xr:uid="{ADB53F5D-D9C6-46E3-A465-FB283B333F0D}"/>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3B90B3B0-6610-4849-9435-AD8EA2AF522C}"/>
    <cellStyle name="Normal 2 4 2 7 2 3" xfId="12341" xr:uid="{3870A1EC-99E5-4C47-92B7-18A84D2D38C1}"/>
    <cellStyle name="Normal 2 4 2 7 3" xfId="5087" xr:uid="{00000000-0005-0000-0000-0000C50F0000}"/>
    <cellStyle name="Normal 2 4 2 7 3 2" xfId="14413" xr:uid="{A62438C4-FB03-4816-93A4-967B3657D366}"/>
    <cellStyle name="Normal 2 4 2 7 4" xfId="9179" xr:uid="{D1C44CED-398E-43B3-AFA3-1E7DC60C5D92}"/>
    <cellStyle name="Normal 2 4 2 7 4 2" xfId="18497" xr:uid="{26BA7604-7DD4-4255-8CCA-104933A81318}"/>
    <cellStyle name="Normal 2 4 2 7 5" xfId="10196" xr:uid="{755E9A1F-A7A7-46C2-B304-BB5C67BAF44A}"/>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3D5C4962-C962-4362-A8BB-C69DB9953A91}"/>
    <cellStyle name="Normal 2 4 2 8 2 3" xfId="12754" xr:uid="{17994BC0-8293-413A-88D8-AE33D3D6FF21}"/>
    <cellStyle name="Normal 2 4 2 8 3" xfId="5500" xr:uid="{00000000-0005-0000-0000-0000C90F0000}"/>
    <cellStyle name="Normal 2 4 2 8 3 2" xfId="14826" xr:uid="{ED1057A0-E105-4F95-9425-6C3F5CFD63CC}"/>
    <cellStyle name="Normal 2 4 2 8 4" xfId="10609" xr:uid="{8794A259-30AB-431A-860D-C83CE3643543}"/>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1204E50F-0C94-4473-B8D9-6F07A69FE616}"/>
    <cellStyle name="Normal 2 4 2 9 2 3" xfId="13167" xr:uid="{5A9EF0D1-EFB9-428D-B74C-8B847F99FB62}"/>
    <cellStyle name="Normal 2 4 2 9 3" xfId="5913" xr:uid="{00000000-0005-0000-0000-0000CD0F0000}"/>
    <cellStyle name="Normal 2 4 2 9 3 2" xfId="15239" xr:uid="{EE19EB30-02BC-4B3E-B93E-C1E5AA41DCAF}"/>
    <cellStyle name="Normal 2 4 2 9 4" xfId="11022" xr:uid="{C4ACAA02-DFE5-49C8-8B6F-0B924D0D6042}"/>
    <cellStyle name="Normal 2 4 3" xfId="296" xr:uid="{00000000-0005-0000-0000-0000CE0F0000}"/>
    <cellStyle name="Normal 2 4 3 10" xfId="9798" xr:uid="{C8C3B29A-9A79-423F-B128-703177B2A453}"/>
    <cellStyle name="Normal 2 4 3 2" xfId="297" xr:uid="{00000000-0005-0000-0000-0000CF0F0000}"/>
    <cellStyle name="Normal 2 4 3 3" xfId="298" xr:uid="{00000000-0005-0000-0000-0000D00F0000}"/>
    <cellStyle name="Normal 2 4 3 3 10" xfId="8814" xr:uid="{F78EFD99-FCC5-4915-ACA3-DFC3FC0D45A5}"/>
    <cellStyle name="Normal 2 4 3 3 10 2" xfId="18138" xr:uid="{072EC52B-9F2F-4C9A-8ABD-E2BA3F58B91F}"/>
    <cellStyle name="Normal 2 4 3 3 11" xfId="9799" xr:uid="{175D0B11-2A0A-4D88-91C1-E78C936E2CF4}"/>
    <cellStyle name="Normal 2 4 3 3 2" xfId="299" xr:uid="{00000000-0005-0000-0000-0000D10F0000}"/>
    <cellStyle name="Normal 2 4 3 3 2 10" xfId="9800" xr:uid="{B71F1C91-FCFB-4B7B-B6D8-8E39B48159EC}"/>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5B88FFD0-0D02-45A2-BCA3-A1AA04F64A0F}"/>
    <cellStyle name="Normal 2 4 3 3 2 2 2 2 3" xfId="12360" xr:uid="{697AA376-9246-4D93-84B7-8B6006020D5F}"/>
    <cellStyle name="Normal 2 4 3 3 2 2 2 3" xfId="5106" xr:uid="{00000000-0005-0000-0000-0000D60F0000}"/>
    <cellStyle name="Normal 2 4 3 3 2 2 2 3 2" xfId="14432" xr:uid="{3DE41554-E15C-4609-95F2-3F26AD268163}"/>
    <cellStyle name="Normal 2 4 3 3 2 2 2 4" xfId="9549" xr:uid="{EA88B7BC-E37D-4688-A768-0D7FE5EF9F42}"/>
    <cellStyle name="Normal 2 4 3 3 2 2 2 4 2" xfId="18864" xr:uid="{0D805BA4-A076-44F2-AC9A-5E8614B88D30}"/>
    <cellStyle name="Normal 2 4 3 3 2 2 2 5" xfId="10215" xr:uid="{C2959143-B72F-4467-B3C4-6BC5A231752B}"/>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AAF8ADB2-C297-4465-AB31-A5D7B78E2F3F}"/>
    <cellStyle name="Normal 2 4 3 3 2 2 3 2 3" xfId="12773" xr:uid="{01AFDF08-28E2-4E0A-9131-F94F8737916F}"/>
    <cellStyle name="Normal 2 4 3 3 2 2 3 3" xfId="5519" xr:uid="{00000000-0005-0000-0000-0000DA0F0000}"/>
    <cellStyle name="Normal 2 4 3 3 2 2 3 3 2" xfId="14845" xr:uid="{964813FE-2207-4F80-978D-8DEE1D0FBCB4}"/>
    <cellStyle name="Normal 2 4 3 3 2 2 3 4" xfId="10628" xr:uid="{F450EC88-5271-42DC-8E45-85D33D45EE1E}"/>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2CBE4934-3EB4-4FBC-824A-FB4A2B63A8EE}"/>
    <cellStyle name="Normal 2 4 3 3 2 2 4 2 3" xfId="13186" xr:uid="{84D9ADA9-EACE-48FA-9BA5-B0626EE4FF20}"/>
    <cellStyle name="Normal 2 4 3 3 2 2 4 3" xfId="5932" xr:uid="{00000000-0005-0000-0000-0000DE0F0000}"/>
    <cellStyle name="Normal 2 4 3 3 2 2 4 3 2" xfId="15258" xr:uid="{123EA516-7E1D-4B8F-B78F-CED31D874FE6}"/>
    <cellStyle name="Normal 2 4 3 3 2 2 4 4" xfId="11041" xr:uid="{F8B6CEAA-721D-46A4-9974-C6F96A1E57E1}"/>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EB119768-7A0E-47E1-ADAF-BE9A7AF93A24}"/>
    <cellStyle name="Normal 2 4 3 3 2 2 5 2 3" xfId="13599" xr:uid="{F036C400-5037-4925-BA2C-D2B3426449E6}"/>
    <cellStyle name="Normal 2 4 3 3 2 2 5 3" xfId="6345" xr:uid="{00000000-0005-0000-0000-0000E20F0000}"/>
    <cellStyle name="Normal 2 4 3 3 2 2 5 3 2" xfId="15671" xr:uid="{A834C0BB-B258-458A-91B1-B1983E562447}"/>
    <cellStyle name="Normal 2 4 3 3 2 2 5 4" xfId="11454" xr:uid="{9142961B-4EE7-4C63-BE57-B6102AE2C88F}"/>
    <cellStyle name="Normal 2 4 3 3 2 2 6" xfId="2475" xr:uid="{00000000-0005-0000-0000-0000E30F0000}"/>
    <cellStyle name="Normal 2 4 3 3 2 2 6 2" xfId="6758" xr:uid="{00000000-0005-0000-0000-0000E40F0000}"/>
    <cellStyle name="Normal 2 4 3 3 2 2 6 2 2" xfId="16084" xr:uid="{B123731D-CF93-43E1-9CA8-4AEA48001942}"/>
    <cellStyle name="Normal 2 4 3 3 2 2 6 3" xfId="11867" xr:uid="{72EE2636-ABAD-4CE1-BF54-FB1A23F74746}"/>
    <cellStyle name="Normal 2 4 3 3 2 2 7" xfId="4692" xr:uid="{00000000-0005-0000-0000-0000E50F0000}"/>
    <cellStyle name="Normal 2 4 3 3 2 2 7 2" xfId="14018" xr:uid="{F801206C-4183-4C98-958F-11A175311573}"/>
    <cellStyle name="Normal 2 4 3 3 2 2 8" xfId="9124" xr:uid="{1FF2B195-09C8-4D7B-A363-E8AF809A669B}"/>
    <cellStyle name="Normal 2 4 3 3 2 2 8 2" xfId="18448" xr:uid="{5A81F2D5-7FFE-43D6-909E-6267EBE818CF}"/>
    <cellStyle name="Normal 2 4 3 3 2 2 9" xfId="9801" xr:uid="{642AC840-149F-43E8-AEF7-921D9E13B5B1}"/>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1D2D3578-5662-434F-9FF4-7084D2DCF84E}"/>
    <cellStyle name="Normal 2 4 3 3 2 3 2 3" xfId="12359" xr:uid="{10F362DE-84B2-4436-BAE6-EF897CE16675}"/>
    <cellStyle name="Normal 2 4 3 3 2 3 3" xfId="5105" xr:uid="{00000000-0005-0000-0000-0000E90F0000}"/>
    <cellStyle name="Normal 2 4 3 3 2 3 3 2" xfId="14431" xr:uid="{4A090818-B332-4340-9179-67893B32A191}"/>
    <cellStyle name="Normal 2 4 3 3 2 3 4" xfId="9342" xr:uid="{41454CF9-47C1-4E8A-868A-8F39341308EB}"/>
    <cellStyle name="Normal 2 4 3 3 2 3 4 2" xfId="18657" xr:uid="{6FA5F25E-D278-4061-81AE-7887423F287B}"/>
    <cellStyle name="Normal 2 4 3 3 2 3 5" xfId="10214" xr:uid="{8E6973C2-C9C2-43BC-B85A-62D3809B5CAA}"/>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70644140-1B12-4466-B7BA-F14CF86EA9C7}"/>
    <cellStyle name="Normal 2 4 3 3 2 4 2 3" xfId="12772" xr:uid="{8AA3DC8A-96C2-45C6-9C81-0FD0E45F57F0}"/>
    <cellStyle name="Normal 2 4 3 3 2 4 3" xfId="5518" xr:uid="{00000000-0005-0000-0000-0000ED0F0000}"/>
    <cellStyle name="Normal 2 4 3 3 2 4 3 2" xfId="14844" xr:uid="{7F817CB0-C45E-4C30-B350-C38A36C35CC7}"/>
    <cellStyle name="Normal 2 4 3 3 2 4 4" xfId="10627" xr:uid="{2FB6F712-4B6A-47D7-84E9-2F7A7D5FAF97}"/>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F49FDF87-BFB5-4366-A5AB-894B296C49D5}"/>
    <cellStyle name="Normal 2 4 3 3 2 5 2 3" xfId="13185" xr:uid="{FF5E0127-FAF5-47EF-AC9D-3170618E9F3B}"/>
    <cellStyle name="Normal 2 4 3 3 2 5 3" xfId="5931" xr:uid="{00000000-0005-0000-0000-0000F10F0000}"/>
    <cellStyle name="Normal 2 4 3 3 2 5 3 2" xfId="15257" xr:uid="{6D6799E2-55BC-41F1-BB8B-7B6A3618DD3B}"/>
    <cellStyle name="Normal 2 4 3 3 2 5 4" xfId="11040" xr:uid="{E9D63FF0-1F0A-4133-B48F-5C9A97CE83B2}"/>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5E58CD20-BE2C-4148-BA86-8E78DF332AD4}"/>
    <cellStyle name="Normal 2 4 3 3 2 6 2 3" xfId="13598" xr:uid="{8ED8DA1F-F783-4D18-A254-3DE7BCAD1A35}"/>
    <cellStyle name="Normal 2 4 3 3 2 6 3" xfId="6344" xr:uid="{00000000-0005-0000-0000-0000F50F0000}"/>
    <cellStyle name="Normal 2 4 3 3 2 6 3 2" xfId="15670" xr:uid="{E811FA3F-8529-4BD2-A7FD-D0C1AA9A5342}"/>
    <cellStyle name="Normal 2 4 3 3 2 6 4" xfId="11453" xr:uid="{FC58DD17-2D95-4416-9CC5-DBDCCEA24DFF}"/>
    <cellStyle name="Normal 2 4 3 3 2 7" xfId="2474" xr:uid="{00000000-0005-0000-0000-0000F60F0000}"/>
    <cellStyle name="Normal 2 4 3 3 2 7 2" xfId="6757" xr:uid="{00000000-0005-0000-0000-0000F70F0000}"/>
    <cellStyle name="Normal 2 4 3 3 2 7 2 2" xfId="16083" xr:uid="{BE32FC9B-04E5-4387-85B4-D5F352DF1205}"/>
    <cellStyle name="Normal 2 4 3 3 2 7 3" xfId="11866" xr:uid="{95FB3A41-D309-4EB4-83CE-4A378A13F66C}"/>
    <cellStyle name="Normal 2 4 3 3 2 8" xfId="4691" xr:uid="{00000000-0005-0000-0000-0000F80F0000}"/>
    <cellStyle name="Normal 2 4 3 3 2 8 2" xfId="14017" xr:uid="{EE2A6F58-5650-4983-BA3F-38CC39639CD3}"/>
    <cellStyle name="Normal 2 4 3 3 2 9" xfId="8917" xr:uid="{1E22693C-F4B1-4678-80B0-65CF6DC31586}"/>
    <cellStyle name="Normal 2 4 3 3 2 9 2" xfId="18241" xr:uid="{F56876DD-13D0-4090-8CFA-DC448BC1A5D9}"/>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EF99621C-D884-4C62-A9BA-CAF32527EE65}"/>
    <cellStyle name="Normal 2 4 3 3 3 2 2 3" xfId="12361" xr:uid="{E9FA236E-7B21-4BA2-A738-39C6DD90EF81}"/>
    <cellStyle name="Normal 2 4 3 3 3 2 3" xfId="5107" xr:uid="{00000000-0005-0000-0000-0000FD0F0000}"/>
    <cellStyle name="Normal 2 4 3 3 3 2 3 2" xfId="14433" xr:uid="{52FB56F3-69E2-4F44-BEAF-2EA653D2E398}"/>
    <cellStyle name="Normal 2 4 3 3 3 2 4" xfId="9446" xr:uid="{7ACDBBC8-943F-41CF-9832-96F56BCB3985}"/>
    <cellStyle name="Normal 2 4 3 3 3 2 4 2" xfId="18761" xr:uid="{C99AC586-3659-496F-A9C5-068F183CF704}"/>
    <cellStyle name="Normal 2 4 3 3 3 2 5" xfId="10216" xr:uid="{66BD6AEB-36B4-46CB-81C0-3A591C784EF1}"/>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1D6D54BD-E4ED-4B42-B06C-5F4F22B2B601}"/>
    <cellStyle name="Normal 2 4 3 3 3 3 2 3" xfId="12774" xr:uid="{0ADA6A74-3375-4BBE-B9EC-8D52C212F7E1}"/>
    <cellStyle name="Normal 2 4 3 3 3 3 3" xfId="5520" xr:uid="{00000000-0005-0000-0000-000001100000}"/>
    <cellStyle name="Normal 2 4 3 3 3 3 3 2" xfId="14846" xr:uid="{6537FFD0-1737-4832-959D-40C54DB8158B}"/>
    <cellStyle name="Normal 2 4 3 3 3 3 4" xfId="10629" xr:uid="{FAA35425-A7E6-4A43-AAB4-C1669DDE7B23}"/>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DCB8111B-9EC6-455A-9BFD-56C1167AD783}"/>
    <cellStyle name="Normal 2 4 3 3 3 4 2 3" xfId="13187" xr:uid="{073B49BF-F6DD-4D73-9F27-8F4A73D760D7}"/>
    <cellStyle name="Normal 2 4 3 3 3 4 3" xfId="5933" xr:uid="{00000000-0005-0000-0000-000005100000}"/>
    <cellStyle name="Normal 2 4 3 3 3 4 3 2" xfId="15259" xr:uid="{06E1D382-27E0-4370-8D52-431EDEEA3A88}"/>
    <cellStyle name="Normal 2 4 3 3 3 4 4" xfId="11042" xr:uid="{4F59F594-D2EB-4D66-B872-1A664DD9D1BA}"/>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928F1389-FA5C-49FF-851F-35F3217AC0EB}"/>
    <cellStyle name="Normal 2 4 3 3 3 5 2 3" xfId="13600" xr:uid="{4595F13D-E04B-4281-8337-F1261FC0F4E0}"/>
    <cellStyle name="Normal 2 4 3 3 3 5 3" xfId="6346" xr:uid="{00000000-0005-0000-0000-000009100000}"/>
    <cellStyle name="Normal 2 4 3 3 3 5 3 2" xfId="15672" xr:uid="{9851FF32-35AF-48D8-95C5-D106D8B855BB}"/>
    <cellStyle name="Normal 2 4 3 3 3 5 4" xfId="11455" xr:uid="{19FDA3E9-C48F-4B96-B1DE-5D60E48A0FBE}"/>
    <cellStyle name="Normal 2 4 3 3 3 6" xfId="2476" xr:uid="{00000000-0005-0000-0000-00000A100000}"/>
    <cellStyle name="Normal 2 4 3 3 3 6 2" xfId="6759" xr:uid="{00000000-0005-0000-0000-00000B100000}"/>
    <cellStyle name="Normal 2 4 3 3 3 6 2 2" xfId="16085" xr:uid="{896DE0EA-6282-47F9-94B8-C5898C863D68}"/>
    <cellStyle name="Normal 2 4 3 3 3 6 3" xfId="11868" xr:uid="{D64CA46B-0314-4CE5-8BEE-663625088AC4}"/>
    <cellStyle name="Normal 2 4 3 3 3 7" xfId="4693" xr:uid="{00000000-0005-0000-0000-00000C100000}"/>
    <cellStyle name="Normal 2 4 3 3 3 7 2" xfId="14019" xr:uid="{4564C8CA-B840-4443-94EA-7007BD13EA47}"/>
    <cellStyle name="Normal 2 4 3 3 3 8" xfId="9021" xr:uid="{4EC0F035-DC07-4262-9C58-7142AC357944}"/>
    <cellStyle name="Normal 2 4 3 3 3 8 2" xfId="18345" xr:uid="{20CA41D8-24B4-403D-8CF9-329C29B92B67}"/>
    <cellStyle name="Normal 2 4 3 3 3 9" xfId="9802" xr:uid="{9AB25794-8C44-4A77-BE42-3D714CB043DD}"/>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F896FD2F-F0CC-4AA2-8439-45C898B4BD43}"/>
    <cellStyle name="Normal 2 4 3 3 4 2 3" xfId="12358" xr:uid="{135C48F7-7A2A-41D9-AAEE-A270BD1DA2E4}"/>
    <cellStyle name="Normal 2 4 3 3 4 3" xfId="5104" xr:uid="{00000000-0005-0000-0000-000010100000}"/>
    <cellStyle name="Normal 2 4 3 3 4 3 2" xfId="14430" xr:uid="{28DBCCBF-BBC7-4B05-AC87-DD172FC164D1}"/>
    <cellStyle name="Normal 2 4 3 3 4 4" xfId="9239" xr:uid="{3DCBA9AF-C63D-4CA9-81B6-AC7CB7B67292}"/>
    <cellStyle name="Normal 2 4 3 3 4 4 2" xfId="18554" xr:uid="{E3E4F73B-92AC-4B15-9208-3344041C4CE6}"/>
    <cellStyle name="Normal 2 4 3 3 4 5" xfId="10213" xr:uid="{B5E8381B-10F2-4569-9C2A-B2EC534993AC}"/>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EDD491E5-311B-45E1-B42B-6E80F489121B}"/>
    <cellStyle name="Normal 2 4 3 3 5 2 3" xfId="12771" xr:uid="{7DE06CC2-8716-4E6D-B90F-CF5FF1F53AAC}"/>
    <cellStyle name="Normal 2 4 3 3 5 3" xfId="5517" xr:uid="{00000000-0005-0000-0000-000014100000}"/>
    <cellStyle name="Normal 2 4 3 3 5 3 2" xfId="14843" xr:uid="{3119648F-3529-488E-A3BF-E5BF2DC3C594}"/>
    <cellStyle name="Normal 2 4 3 3 5 4" xfId="10626" xr:uid="{6505A96C-6EDB-43BD-8201-A8A9E474A360}"/>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7BBF35FE-DC3D-4EE2-8B7B-FA8CC49A5D93}"/>
    <cellStyle name="Normal 2 4 3 3 6 2 3" xfId="13184" xr:uid="{8B0B92AE-5E7E-4656-8773-CF382B6C5A5A}"/>
    <cellStyle name="Normal 2 4 3 3 6 3" xfId="5930" xr:uid="{00000000-0005-0000-0000-000018100000}"/>
    <cellStyle name="Normal 2 4 3 3 6 3 2" xfId="15256" xr:uid="{C8726FA3-D391-4685-8CDC-EF84370F05BA}"/>
    <cellStyle name="Normal 2 4 3 3 6 4" xfId="11039" xr:uid="{D20A5DC2-E22D-4AFA-AF7E-62866B6476D3}"/>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19339215-EC41-40B7-A428-C0F56D27DEE4}"/>
    <cellStyle name="Normal 2 4 3 3 7 2 3" xfId="13597" xr:uid="{EBFCA015-6AE9-460E-993D-F57D66682005}"/>
    <cellStyle name="Normal 2 4 3 3 7 3" xfId="6343" xr:uid="{00000000-0005-0000-0000-00001C100000}"/>
    <cellStyle name="Normal 2 4 3 3 7 3 2" xfId="15669" xr:uid="{66485517-2731-492E-A8A9-2B8C66B0F2CB}"/>
    <cellStyle name="Normal 2 4 3 3 7 4" xfId="11452" xr:uid="{8CFDA445-A689-45CA-B989-BBB98934074A}"/>
    <cellStyle name="Normal 2 4 3 3 8" xfId="2473" xr:uid="{00000000-0005-0000-0000-00001D100000}"/>
    <cellStyle name="Normal 2 4 3 3 8 2" xfId="6756" xr:uid="{00000000-0005-0000-0000-00001E100000}"/>
    <cellStyle name="Normal 2 4 3 3 8 2 2" xfId="16082" xr:uid="{28B84CA5-BFA3-4FCE-9692-7E7CD1A3FB1E}"/>
    <cellStyle name="Normal 2 4 3 3 8 3" xfId="11865" xr:uid="{186E41F5-E0B2-412B-BA47-E6BEFE4A8915}"/>
    <cellStyle name="Normal 2 4 3 3 9" xfId="4690" xr:uid="{00000000-0005-0000-0000-00001F100000}"/>
    <cellStyle name="Normal 2 4 3 3 9 2" xfId="14016" xr:uid="{04A9AE6E-12F3-4193-A693-3D113F11AF5D}"/>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1316D16D-F681-40D6-9567-F0C4EE2B741A}"/>
    <cellStyle name="Normal 2 4 3 4 2 3" xfId="12357" xr:uid="{31C1647C-46C0-4418-B66E-5E6DDCB2B4F7}"/>
    <cellStyle name="Normal 2 4 3 4 3" xfId="5103" xr:uid="{00000000-0005-0000-0000-000023100000}"/>
    <cellStyle name="Normal 2 4 3 4 3 2" xfId="14429" xr:uid="{2D3949BB-04A0-4EC7-9C45-DC5F88E15503}"/>
    <cellStyle name="Normal 2 4 3 4 4" xfId="9605" xr:uid="{31B075F0-6828-4EC6-AC77-4B4B0626A722}"/>
    <cellStyle name="Normal 2 4 3 4 4 2" xfId="18906" xr:uid="{4D21D3A1-2809-40AD-9062-32BDA42D0708}"/>
    <cellStyle name="Normal 2 4 3 4 5" xfId="10212" xr:uid="{B1A97769-6EA4-4F3B-910C-A46C1AEFC1CE}"/>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3877C656-D136-4FCA-A4CA-832DFC934B07}"/>
    <cellStyle name="Normal 2 4 3 5 2 3" xfId="12770" xr:uid="{A89D75FF-7C42-481A-BF4A-B1321F440B34}"/>
    <cellStyle name="Normal 2 4 3 5 3" xfId="5516" xr:uid="{00000000-0005-0000-0000-000027100000}"/>
    <cellStyle name="Normal 2 4 3 5 3 2" xfId="14842" xr:uid="{064A9F7A-C46A-4DDD-899C-890C9DABE265}"/>
    <cellStyle name="Normal 2 4 3 5 4" xfId="10625" xr:uid="{4E43AA4D-78FD-458D-A970-570256B9D732}"/>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B61D13BD-FF9A-40DB-968E-DE383E0148E3}"/>
    <cellStyle name="Normal 2 4 3 6 2 3" xfId="13183" xr:uid="{2C7837A4-F8C5-4AA4-A6B2-10A403107929}"/>
    <cellStyle name="Normal 2 4 3 6 3" xfId="5929" xr:uid="{00000000-0005-0000-0000-00002B100000}"/>
    <cellStyle name="Normal 2 4 3 6 3 2" xfId="15255" xr:uid="{FD4EB77E-5935-4DE4-9E3A-02EA91F2699E}"/>
    <cellStyle name="Normal 2 4 3 6 4" xfId="11038" xr:uid="{BEA37E69-CBF6-478D-B8FC-457B751C0DE2}"/>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98163151-7359-402B-BE53-57BF0C721AE0}"/>
    <cellStyle name="Normal 2 4 3 7 2 3" xfId="13596" xr:uid="{9B90E433-7438-4DC4-AB34-03AD1E9594FA}"/>
    <cellStyle name="Normal 2 4 3 7 3" xfId="6342" xr:uid="{00000000-0005-0000-0000-00002F100000}"/>
    <cellStyle name="Normal 2 4 3 7 3 2" xfId="15668" xr:uid="{AC661023-4C7B-42F3-BB8A-F73B21095C8E}"/>
    <cellStyle name="Normal 2 4 3 7 4" xfId="11451" xr:uid="{ECC4DDBD-3382-42D7-B3E3-917A522CC7E3}"/>
    <cellStyle name="Normal 2 4 3 8" xfId="2472" xr:uid="{00000000-0005-0000-0000-000030100000}"/>
    <cellStyle name="Normal 2 4 3 8 2" xfId="6755" xr:uid="{00000000-0005-0000-0000-000031100000}"/>
    <cellStyle name="Normal 2 4 3 8 2 2" xfId="16081" xr:uid="{EF45322D-2384-40D2-928C-77975FC871F3}"/>
    <cellStyle name="Normal 2 4 3 8 3" xfId="11864" xr:uid="{52AD0A40-1A01-4251-BC2A-1E4B38367B85}"/>
    <cellStyle name="Normal 2 4 3 9" xfId="4689" xr:uid="{00000000-0005-0000-0000-000032100000}"/>
    <cellStyle name="Normal 2 4 3 9 2" xfId="14015" xr:uid="{FB2E9BDC-9CBE-4B25-A923-409410BF010C}"/>
    <cellStyle name="Normal 2 4 4" xfId="302" xr:uid="{00000000-0005-0000-0000-000033100000}"/>
    <cellStyle name="Normal 2 4 5" xfId="303" xr:uid="{00000000-0005-0000-0000-000034100000}"/>
    <cellStyle name="Normal 2 4 5 10" xfId="4694" xr:uid="{00000000-0005-0000-0000-000035100000}"/>
    <cellStyle name="Normal 2 4 5 10 2" xfId="14020" xr:uid="{A00434F6-2C3B-4C93-8C99-69EF12318462}"/>
    <cellStyle name="Normal 2 4 5 11" xfId="8780" xr:uid="{7650B30D-5C17-47F0-B17B-A5E27258C29E}"/>
    <cellStyle name="Normal 2 4 5 11 2" xfId="18104" xr:uid="{1B36B92B-2209-4084-978F-3394C7D5A808}"/>
    <cellStyle name="Normal 2 4 5 12" xfId="9803" xr:uid="{3670EC84-9D24-4C3E-872A-15984B3AF956}"/>
    <cellStyle name="Normal 2 4 5 2" xfId="304" xr:uid="{00000000-0005-0000-0000-000036100000}"/>
    <cellStyle name="Normal 2 4 5 2 10" xfId="8815" xr:uid="{40A5EFE5-2EC9-4F25-B9EC-CAF9321E00F7}"/>
    <cellStyle name="Normal 2 4 5 2 10 2" xfId="18139" xr:uid="{75362C64-67E8-4D5A-93A8-DBE4ABCF70A0}"/>
    <cellStyle name="Normal 2 4 5 2 11" xfId="9804" xr:uid="{A63C5750-EB90-46FB-A396-041ED352ED08}"/>
    <cellStyle name="Normal 2 4 5 2 2" xfId="305" xr:uid="{00000000-0005-0000-0000-000037100000}"/>
    <cellStyle name="Normal 2 4 5 2 2 10" xfId="9805" xr:uid="{F4653D2D-6CAF-4CB3-9F5F-ABC70D82CBE3}"/>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056EEA33-27E9-4A8A-9FFF-4497EB6D2055}"/>
    <cellStyle name="Normal 2 4 5 2 2 2 2 2 3" xfId="12365" xr:uid="{76A54FCD-061D-498C-8494-A342EFF7E79A}"/>
    <cellStyle name="Normal 2 4 5 2 2 2 2 3" xfId="5111" xr:uid="{00000000-0005-0000-0000-00003C100000}"/>
    <cellStyle name="Normal 2 4 5 2 2 2 2 3 2" xfId="14437" xr:uid="{14662615-DDC9-47C0-9700-A59F004881D3}"/>
    <cellStyle name="Normal 2 4 5 2 2 2 2 4" xfId="9550" xr:uid="{8A7671EC-AB7E-4F51-9B1B-FE1F0FDC42A9}"/>
    <cellStyle name="Normal 2 4 5 2 2 2 2 4 2" xfId="18865" xr:uid="{1849C30F-3B0B-4E12-83AA-0DFCA0BF7920}"/>
    <cellStyle name="Normal 2 4 5 2 2 2 2 5" xfId="10220" xr:uid="{C8D146C7-62A3-48B4-AD2E-6D3D967BC50B}"/>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0D690E72-D04E-4053-B278-87ADCD96EC0F}"/>
    <cellStyle name="Normal 2 4 5 2 2 2 3 2 3" xfId="12778" xr:uid="{101BF671-F4DE-4ECF-96C3-815A1EA80A09}"/>
    <cellStyle name="Normal 2 4 5 2 2 2 3 3" xfId="5524" xr:uid="{00000000-0005-0000-0000-000040100000}"/>
    <cellStyle name="Normal 2 4 5 2 2 2 3 3 2" xfId="14850" xr:uid="{FFBE07CD-5105-4234-AF78-F573B381252F}"/>
    <cellStyle name="Normal 2 4 5 2 2 2 3 4" xfId="10633" xr:uid="{9580C3D1-2D1E-44A1-AF83-9399FB0026EC}"/>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B3C97A6D-1FC9-496E-8C72-C256A02736D4}"/>
    <cellStyle name="Normal 2 4 5 2 2 2 4 2 3" xfId="13191" xr:uid="{4E2E23B5-B4CB-4AC6-B534-21442E1E7B9C}"/>
    <cellStyle name="Normal 2 4 5 2 2 2 4 3" xfId="5937" xr:uid="{00000000-0005-0000-0000-000044100000}"/>
    <cellStyle name="Normal 2 4 5 2 2 2 4 3 2" xfId="15263" xr:uid="{C6A85E87-048B-4333-9563-A90DEF054C75}"/>
    <cellStyle name="Normal 2 4 5 2 2 2 4 4" xfId="11046" xr:uid="{556758DD-23B8-4DDC-A3DB-82ED86A92182}"/>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C297530B-8590-4B8D-B31E-2298A13DDBE1}"/>
    <cellStyle name="Normal 2 4 5 2 2 2 5 2 3" xfId="13604" xr:uid="{7318BCD9-A073-48E3-A9EA-DB6BEA41F3EA}"/>
    <cellStyle name="Normal 2 4 5 2 2 2 5 3" xfId="6350" xr:uid="{00000000-0005-0000-0000-000048100000}"/>
    <cellStyle name="Normal 2 4 5 2 2 2 5 3 2" xfId="15676" xr:uid="{01110A1E-6190-4A94-A1BB-21B43F44A4D4}"/>
    <cellStyle name="Normal 2 4 5 2 2 2 5 4" xfId="11459" xr:uid="{FA2E7981-289A-492B-BD6E-A85C2AC97FD9}"/>
    <cellStyle name="Normal 2 4 5 2 2 2 6" xfId="2480" xr:uid="{00000000-0005-0000-0000-000049100000}"/>
    <cellStyle name="Normal 2 4 5 2 2 2 6 2" xfId="6763" xr:uid="{00000000-0005-0000-0000-00004A100000}"/>
    <cellStyle name="Normal 2 4 5 2 2 2 6 2 2" xfId="16089" xr:uid="{7AD0B3A2-FC71-4A28-B83B-F15913C49F87}"/>
    <cellStyle name="Normal 2 4 5 2 2 2 6 3" xfId="11872" xr:uid="{9105AA43-A7E6-477E-80AC-A70D2D9840B9}"/>
    <cellStyle name="Normal 2 4 5 2 2 2 7" xfId="4697" xr:uid="{00000000-0005-0000-0000-00004B100000}"/>
    <cellStyle name="Normal 2 4 5 2 2 2 7 2" xfId="14023" xr:uid="{867C9EA0-3903-40C9-9EB5-65F18DFFC5E1}"/>
    <cellStyle name="Normal 2 4 5 2 2 2 8" xfId="9125" xr:uid="{AE6B93A1-5C0B-49F1-AF15-6FC3FAFFE3B2}"/>
    <cellStyle name="Normal 2 4 5 2 2 2 8 2" xfId="18449" xr:uid="{90DBB3F5-B235-4BF8-B7DE-29119B6CD08E}"/>
    <cellStyle name="Normal 2 4 5 2 2 2 9" xfId="9806" xr:uid="{5EF4F4A3-8363-4C20-A02D-38BC668B3E4F}"/>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32404304-354B-4BFB-8201-78AC4AE5CD88}"/>
    <cellStyle name="Normal 2 4 5 2 2 3 2 3" xfId="12364" xr:uid="{CC8CFC70-AAB1-41DE-8F88-7AAB3DA67F0C}"/>
    <cellStyle name="Normal 2 4 5 2 2 3 3" xfId="5110" xr:uid="{00000000-0005-0000-0000-00004F100000}"/>
    <cellStyle name="Normal 2 4 5 2 2 3 3 2" xfId="14436" xr:uid="{77776862-8704-4984-B986-5729610D73DC}"/>
    <cellStyle name="Normal 2 4 5 2 2 3 4" xfId="9343" xr:uid="{FC4CD386-4202-45E2-8021-2A85CACF4E8B}"/>
    <cellStyle name="Normal 2 4 5 2 2 3 4 2" xfId="18658" xr:uid="{F194F63F-B65A-4FBC-99A7-4A2E5CDEE2E9}"/>
    <cellStyle name="Normal 2 4 5 2 2 3 5" xfId="10219" xr:uid="{B845AA05-7AEB-417C-8FCF-AE1B9DB6D586}"/>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696D9505-3E1D-44BE-ACF6-B04ACE615BCD}"/>
    <cellStyle name="Normal 2 4 5 2 2 4 2 3" xfId="12777" xr:uid="{F255563F-0277-4E2F-9240-2BE4039FA469}"/>
    <cellStyle name="Normal 2 4 5 2 2 4 3" xfId="5523" xr:uid="{00000000-0005-0000-0000-000053100000}"/>
    <cellStyle name="Normal 2 4 5 2 2 4 3 2" xfId="14849" xr:uid="{0988DEE6-CE86-450D-BF8F-DDD2405B7875}"/>
    <cellStyle name="Normal 2 4 5 2 2 4 4" xfId="10632" xr:uid="{B6034044-DCF0-4F48-A715-271D9EEF8ABA}"/>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1B02A84C-4771-45F1-97B9-5866BC6C8725}"/>
    <cellStyle name="Normal 2 4 5 2 2 5 2 3" xfId="13190" xr:uid="{763F84F4-7F34-4772-8CF7-E8DEBB86749F}"/>
    <cellStyle name="Normal 2 4 5 2 2 5 3" xfId="5936" xr:uid="{00000000-0005-0000-0000-000057100000}"/>
    <cellStyle name="Normal 2 4 5 2 2 5 3 2" xfId="15262" xr:uid="{62EB2E8F-6576-4401-8C38-3CF2B209C950}"/>
    <cellStyle name="Normal 2 4 5 2 2 5 4" xfId="11045" xr:uid="{AFFBE4CC-F3F3-484D-BD83-0BC24E197D69}"/>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E0F2F49D-8E3D-4AC5-9A9F-C11F6083822D}"/>
    <cellStyle name="Normal 2 4 5 2 2 6 2 3" xfId="13603" xr:uid="{5F1B97AA-814C-4DBF-BA65-4E75E2D4A5C2}"/>
    <cellStyle name="Normal 2 4 5 2 2 6 3" xfId="6349" xr:uid="{00000000-0005-0000-0000-00005B100000}"/>
    <cellStyle name="Normal 2 4 5 2 2 6 3 2" xfId="15675" xr:uid="{F75444C9-DBD3-4911-8074-AC14ECA05682}"/>
    <cellStyle name="Normal 2 4 5 2 2 6 4" xfId="11458" xr:uid="{222C66FD-9D8B-4A28-B235-DC2E7B0C2FB3}"/>
    <cellStyle name="Normal 2 4 5 2 2 7" xfId="2479" xr:uid="{00000000-0005-0000-0000-00005C100000}"/>
    <cellStyle name="Normal 2 4 5 2 2 7 2" xfId="6762" xr:uid="{00000000-0005-0000-0000-00005D100000}"/>
    <cellStyle name="Normal 2 4 5 2 2 7 2 2" xfId="16088" xr:uid="{5608775E-F9BF-4D57-A94B-BFFD90ABE703}"/>
    <cellStyle name="Normal 2 4 5 2 2 7 3" xfId="11871" xr:uid="{78F58BCD-5FBF-4DCD-8196-F5A992AC0B59}"/>
    <cellStyle name="Normal 2 4 5 2 2 8" xfId="4696" xr:uid="{00000000-0005-0000-0000-00005E100000}"/>
    <cellStyle name="Normal 2 4 5 2 2 8 2" xfId="14022" xr:uid="{96278D63-10E3-4E40-8A1B-68DA524FF663}"/>
    <cellStyle name="Normal 2 4 5 2 2 9" xfId="8918" xr:uid="{C191AFB9-5B9B-45BF-8589-0BB68E370D0F}"/>
    <cellStyle name="Normal 2 4 5 2 2 9 2" xfId="18242" xr:uid="{98D5FFF9-7816-46AE-95A3-ACCA199BE95A}"/>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17787452-4FB6-48ED-BCAD-2FA0FB5220F8}"/>
    <cellStyle name="Normal 2 4 5 2 3 2 2 3" xfId="12366" xr:uid="{4E359AD7-FCD6-4B5B-9952-ADF2A5170053}"/>
    <cellStyle name="Normal 2 4 5 2 3 2 3" xfId="5112" xr:uid="{00000000-0005-0000-0000-000063100000}"/>
    <cellStyle name="Normal 2 4 5 2 3 2 3 2" xfId="14438" xr:uid="{4028E04C-184E-43EA-9AF4-DCE5F188E514}"/>
    <cellStyle name="Normal 2 4 5 2 3 2 4" xfId="9447" xr:uid="{5DAE67B2-15F6-4C7F-9310-B9C816D42F72}"/>
    <cellStyle name="Normal 2 4 5 2 3 2 4 2" xfId="18762" xr:uid="{4AAE1180-35D1-459A-B634-E64A47FC3BF7}"/>
    <cellStyle name="Normal 2 4 5 2 3 2 5" xfId="10221" xr:uid="{0C1C4F36-8E7C-4309-AC57-9FB95DDEEA49}"/>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5DBD0F5F-B4E6-42C2-BC75-B2CCD171718D}"/>
    <cellStyle name="Normal 2 4 5 2 3 3 2 3" xfId="12779" xr:uid="{F9041841-8F62-4E86-B6EC-3EC3B94184F7}"/>
    <cellStyle name="Normal 2 4 5 2 3 3 3" xfId="5525" xr:uid="{00000000-0005-0000-0000-000067100000}"/>
    <cellStyle name="Normal 2 4 5 2 3 3 3 2" xfId="14851" xr:uid="{44D48ABB-225E-4E11-8626-7F4887209B26}"/>
    <cellStyle name="Normal 2 4 5 2 3 3 4" xfId="10634" xr:uid="{5518D287-14B4-4877-B63F-E86B167CE129}"/>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84CF2CAF-61FB-4E1C-AE3F-34EFC1801F0A}"/>
    <cellStyle name="Normal 2 4 5 2 3 4 2 3" xfId="13192" xr:uid="{5DC2E81E-D35E-46C0-9F49-A95A560612F6}"/>
    <cellStyle name="Normal 2 4 5 2 3 4 3" xfId="5938" xr:uid="{00000000-0005-0000-0000-00006B100000}"/>
    <cellStyle name="Normal 2 4 5 2 3 4 3 2" xfId="15264" xr:uid="{4047185B-BD45-4A25-A10B-EB40F015DAD6}"/>
    <cellStyle name="Normal 2 4 5 2 3 4 4" xfId="11047" xr:uid="{25400376-71ED-4EF6-96A7-7EAF2AABBDAD}"/>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277CD1FA-E9A4-433F-A1D5-B6A6AE73047B}"/>
    <cellStyle name="Normal 2 4 5 2 3 5 2 3" xfId="13605" xr:uid="{6210DB54-F8DF-4734-A543-E38E96D89F21}"/>
    <cellStyle name="Normal 2 4 5 2 3 5 3" xfId="6351" xr:uid="{00000000-0005-0000-0000-00006F100000}"/>
    <cellStyle name="Normal 2 4 5 2 3 5 3 2" xfId="15677" xr:uid="{7203B957-962D-4221-A239-C318B33DDEF8}"/>
    <cellStyle name="Normal 2 4 5 2 3 5 4" xfId="11460" xr:uid="{18B5AA2F-1654-4D58-B38A-B786AB8312D8}"/>
    <cellStyle name="Normal 2 4 5 2 3 6" xfId="2481" xr:uid="{00000000-0005-0000-0000-000070100000}"/>
    <cellStyle name="Normal 2 4 5 2 3 6 2" xfId="6764" xr:uid="{00000000-0005-0000-0000-000071100000}"/>
    <cellStyle name="Normal 2 4 5 2 3 6 2 2" xfId="16090" xr:uid="{6BCB84AD-DC27-4701-B65F-29647B703FF8}"/>
    <cellStyle name="Normal 2 4 5 2 3 6 3" xfId="11873" xr:uid="{0EDB9DA9-DBAE-4970-A897-BF6C081CDA5B}"/>
    <cellStyle name="Normal 2 4 5 2 3 7" xfId="4698" xr:uid="{00000000-0005-0000-0000-000072100000}"/>
    <cellStyle name="Normal 2 4 5 2 3 7 2" xfId="14024" xr:uid="{B76E9987-2621-4504-BD60-707858DD6E37}"/>
    <cellStyle name="Normal 2 4 5 2 3 8" xfId="9022" xr:uid="{B979F5DF-A88B-437D-B1B4-B92D08856DC7}"/>
    <cellStyle name="Normal 2 4 5 2 3 8 2" xfId="18346" xr:uid="{AEB071F1-B7E5-4BCB-BBF7-66923C9A242B}"/>
    <cellStyle name="Normal 2 4 5 2 3 9" xfId="9807" xr:uid="{7D81DC9E-A771-426D-8E21-241EB67081E0}"/>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FCEC9908-EE47-4476-B285-3EC8593D6924}"/>
    <cellStyle name="Normal 2 4 5 2 4 2 3" xfId="12363" xr:uid="{5F38C56F-9C0B-4554-9CEB-05BC20B93D38}"/>
    <cellStyle name="Normal 2 4 5 2 4 3" xfId="5109" xr:uid="{00000000-0005-0000-0000-000076100000}"/>
    <cellStyle name="Normal 2 4 5 2 4 3 2" xfId="14435" xr:uid="{82D400C1-10AF-4028-B31D-C20EAFC02E2D}"/>
    <cellStyle name="Normal 2 4 5 2 4 4" xfId="9240" xr:uid="{16FBE981-4867-4157-8C0D-9C1339DB5B3F}"/>
    <cellStyle name="Normal 2 4 5 2 4 4 2" xfId="18555" xr:uid="{B4C41AD4-2C67-4C9B-B484-4A1A6630BCF6}"/>
    <cellStyle name="Normal 2 4 5 2 4 5" xfId="10218" xr:uid="{EF79C5BC-9440-4AF2-BFF3-0E1AF00C8806}"/>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CF898AC4-62D8-4B35-BD5B-95DAF0D15935}"/>
    <cellStyle name="Normal 2 4 5 2 5 2 3" xfId="12776" xr:uid="{BA0AC09A-16B6-466B-8BDD-3664F8BC7FC5}"/>
    <cellStyle name="Normal 2 4 5 2 5 3" xfId="5522" xr:uid="{00000000-0005-0000-0000-00007A100000}"/>
    <cellStyle name="Normal 2 4 5 2 5 3 2" xfId="14848" xr:uid="{44AB7E20-CC41-49B6-B352-151503DFB505}"/>
    <cellStyle name="Normal 2 4 5 2 5 4" xfId="10631" xr:uid="{1EB975EC-AFDD-490B-AC81-2FD66A5C6109}"/>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D0333F03-E51B-440D-8F5B-7D088D8C8C33}"/>
    <cellStyle name="Normal 2 4 5 2 6 2 3" xfId="13189" xr:uid="{FB777E91-7880-49B6-9080-142942198A00}"/>
    <cellStyle name="Normal 2 4 5 2 6 3" xfId="5935" xr:uid="{00000000-0005-0000-0000-00007E100000}"/>
    <cellStyle name="Normal 2 4 5 2 6 3 2" xfId="15261" xr:uid="{8A9DAFA9-5EE6-46EE-81BC-BD50E70CE06A}"/>
    <cellStyle name="Normal 2 4 5 2 6 4" xfId="11044" xr:uid="{65074DF0-38A5-46EF-BC66-C37B76B636D5}"/>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9600D231-7E37-426A-B91E-46B8CF7A7463}"/>
    <cellStyle name="Normal 2 4 5 2 7 2 3" xfId="13602" xr:uid="{442FF4AA-5805-4494-A1B5-DAE7CEEE8BF6}"/>
    <cellStyle name="Normal 2 4 5 2 7 3" xfId="6348" xr:uid="{00000000-0005-0000-0000-000082100000}"/>
    <cellStyle name="Normal 2 4 5 2 7 3 2" xfId="15674" xr:uid="{6E9370B5-8B59-4E5A-A471-E596B756AD20}"/>
    <cellStyle name="Normal 2 4 5 2 7 4" xfId="11457" xr:uid="{C99A578D-8D91-44EA-9D20-1E3ED57E9AE4}"/>
    <cellStyle name="Normal 2 4 5 2 8" xfId="2478" xr:uid="{00000000-0005-0000-0000-000083100000}"/>
    <cellStyle name="Normal 2 4 5 2 8 2" xfId="6761" xr:uid="{00000000-0005-0000-0000-000084100000}"/>
    <cellStyle name="Normal 2 4 5 2 8 2 2" xfId="16087" xr:uid="{58136CF7-6EAE-4D51-8FB3-A0505DD7F088}"/>
    <cellStyle name="Normal 2 4 5 2 8 3" xfId="11870" xr:uid="{F74BE8CF-0E60-43DB-870F-F7D893371694}"/>
    <cellStyle name="Normal 2 4 5 2 9" xfId="4695" xr:uid="{00000000-0005-0000-0000-000085100000}"/>
    <cellStyle name="Normal 2 4 5 2 9 2" xfId="14021" xr:uid="{3E6D6BB5-138E-4AB9-8598-6AE246D8FD8A}"/>
    <cellStyle name="Normal 2 4 5 3" xfId="308" xr:uid="{00000000-0005-0000-0000-000086100000}"/>
    <cellStyle name="Normal 2 4 5 3 10" xfId="9808" xr:uid="{D7B65E0A-82DD-4642-9109-95C70208ADC5}"/>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C7F2298B-8AB8-4384-BE32-4FD21721AA40}"/>
    <cellStyle name="Normal 2 4 5 3 2 2 2 3" xfId="12368" xr:uid="{E2FA9DA5-1A91-4877-9D66-5CC92302436F}"/>
    <cellStyle name="Normal 2 4 5 3 2 2 3" xfId="5114" xr:uid="{00000000-0005-0000-0000-00008B100000}"/>
    <cellStyle name="Normal 2 4 5 3 2 2 3 2" xfId="14440" xr:uid="{30CDE976-EF70-47E1-9922-7F27F8DF31C1}"/>
    <cellStyle name="Normal 2 4 5 3 2 2 4" xfId="9515" xr:uid="{A1D6949C-773D-44DB-B26F-4DD01D24FF00}"/>
    <cellStyle name="Normal 2 4 5 3 2 2 4 2" xfId="18830" xr:uid="{68D2A39C-4105-4718-8D2A-6B3C08619294}"/>
    <cellStyle name="Normal 2 4 5 3 2 2 5" xfId="10223" xr:uid="{8E9487B9-29A5-4A9D-9A58-5A63AEF89271}"/>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F8D88AAE-FE24-4E40-95BF-BBB4B13653C5}"/>
    <cellStyle name="Normal 2 4 5 3 2 3 2 3" xfId="12781" xr:uid="{5D5699F9-263F-4EBB-A047-B04A7B11F8B3}"/>
    <cellStyle name="Normal 2 4 5 3 2 3 3" xfId="5527" xr:uid="{00000000-0005-0000-0000-00008F100000}"/>
    <cellStyle name="Normal 2 4 5 3 2 3 3 2" xfId="14853" xr:uid="{FF29BE26-1774-4F58-B7E4-C297D4F3F1AF}"/>
    <cellStyle name="Normal 2 4 5 3 2 3 4" xfId="10636" xr:uid="{217FB7EA-7A23-49AA-9F56-8EEBF366287C}"/>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FFA653C8-4E17-4958-99F7-BE087DEA7A4D}"/>
    <cellStyle name="Normal 2 4 5 3 2 4 2 3" xfId="13194" xr:uid="{2C86E4F9-99CA-4A9D-99E5-F7001AA08FBB}"/>
    <cellStyle name="Normal 2 4 5 3 2 4 3" xfId="5940" xr:uid="{00000000-0005-0000-0000-000093100000}"/>
    <cellStyle name="Normal 2 4 5 3 2 4 3 2" xfId="15266" xr:uid="{0226B9F1-7F1F-48FB-8468-352672DCF84D}"/>
    <cellStyle name="Normal 2 4 5 3 2 4 4" xfId="11049" xr:uid="{CBED4D1F-C863-49D2-8E7B-0C5F370CC084}"/>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DB03F6E2-21FD-4566-ADEF-31FD6AC3D8E5}"/>
    <cellStyle name="Normal 2 4 5 3 2 5 2 3" xfId="13607" xr:uid="{89A1ABAA-E672-4424-8980-8359BC497BA7}"/>
    <cellStyle name="Normal 2 4 5 3 2 5 3" xfId="6353" xr:uid="{00000000-0005-0000-0000-000097100000}"/>
    <cellStyle name="Normal 2 4 5 3 2 5 3 2" xfId="15679" xr:uid="{678D5CF2-2D59-46CE-A65C-10B9B2A9554A}"/>
    <cellStyle name="Normal 2 4 5 3 2 5 4" xfId="11462" xr:uid="{F502BC50-4120-4EEA-81E6-9F20481B4DE8}"/>
    <cellStyle name="Normal 2 4 5 3 2 6" xfId="2483" xr:uid="{00000000-0005-0000-0000-000098100000}"/>
    <cellStyle name="Normal 2 4 5 3 2 6 2" xfId="6766" xr:uid="{00000000-0005-0000-0000-000099100000}"/>
    <cellStyle name="Normal 2 4 5 3 2 6 2 2" xfId="16092" xr:uid="{FDE58F3E-76FA-4464-BA0C-C8B2ACB6C22D}"/>
    <cellStyle name="Normal 2 4 5 3 2 6 3" xfId="11875" xr:uid="{C8989EBA-8A76-4BF7-8C78-A9B7BB686F3E}"/>
    <cellStyle name="Normal 2 4 5 3 2 7" xfId="4700" xr:uid="{00000000-0005-0000-0000-00009A100000}"/>
    <cellStyle name="Normal 2 4 5 3 2 7 2" xfId="14026" xr:uid="{3C14E46E-EA82-4555-BE1B-50FDA4DD47E0}"/>
    <cellStyle name="Normal 2 4 5 3 2 8" xfId="9090" xr:uid="{4B64C5F8-5AC3-43D3-B94A-46850BBF79A5}"/>
    <cellStyle name="Normal 2 4 5 3 2 8 2" xfId="18414" xr:uid="{28EEDF42-AA54-4430-86C4-5F33BCD9587D}"/>
    <cellStyle name="Normal 2 4 5 3 2 9" xfId="9809" xr:uid="{DFEEC4F6-27BC-412B-BCE8-69FD12F5F3BF}"/>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47710714-CD2D-4975-9160-6C816F527B00}"/>
    <cellStyle name="Normal 2 4 5 3 3 2 3" xfId="12367" xr:uid="{1B914292-8357-429D-89F7-FB97505FF864}"/>
    <cellStyle name="Normal 2 4 5 3 3 3" xfId="5113" xr:uid="{00000000-0005-0000-0000-00009E100000}"/>
    <cellStyle name="Normal 2 4 5 3 3 3 2" xfId="14439" xr:uid="{7FB253D3-3037-4C2B-B73D-5040A239C4F4}"/>
    <cellStyle name="Normal 2 4 5 3 3 4" xfId="9308" xr:uid="{40198FFA-4C90-42BE-90C8-42459F1A2A1C}"/>
    <cellStyle name="Normal 2 4 5 3 3 4 2" xfId="18623" xr:uid="{DFE7D38C-991D-4E9B-8063-7C77B6E5A8FF}"/>
    <cellStyle name="Normal 2 4 5 3 3 5" xfId="10222" xr:uid="{795C8F56-20D7-4331-800D-5A5C439501BC}"/>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7703A95F-CF5E-4F16-AFDC-E788D60341F7}"/>
    <cellStyle name="Normal 2 4 5 3 4 2 3" xfId="12780" xr:uid="{EC2DACC2-A79E-42EB-8CA4-AF276D4ED482}"/>
    <cellStyle name="Normal 2 4 5 3 4 3" xfId="5526" xr:uid="{00000000-0005-0000-0000-0000A2100000}"/>
    <cellStyle name="Normal 2 4 5 3 4 3 2" xfId="14852" xr:uid="{1B432952-5BCE-4FBC-B5BE-D9D6730600A0}"/>
    <cellStyle name="Normal 2 4 5 3 4 4" xfId="10635" xr:uid="{53A7D9E6-5820-480C-9656-D2315F665F62}"/>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027B4C55-5D9B-462A-8ACC-4389DABE1166}"/>
    <cellStyle name="Normal 2 4 5 3 5 2 3" xfId="13193" xr:uid="{F2A1E899-DC76-43EF-B643-D4495DD988B8}"/>
    <cellStyle name="Normal 2 4 5 3 5 3" xfId="5939" xr:uid="{00000000-0005-0000-0000-0000A6100000}"/>
    <cellStyle name="Normal 2 4 5 3 5 3 2" xfId="15265" xr:uid="{41E63CF5-CB74-4E2F-9861-71AB33157CFB}"/>
    <cellStyle name="Normal 2 4 5 3 5 4" xfId="11048" xr:uid="{E389097B-520D-44A1-9623-82C16AC7FED1}"/>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11C42C3C-F4CA-4284-9682-5EDEAF3B45FD}"/>
    <cellStyle name="Normal 2 4 5 3 6 2 3" xfId="13606" xr:uid="{E9F7E4C7-2C1F-417A-9B64-44C91FC648BD}"/>
    <cellStyle name="Normal 2 4 5 3 6 3" xfId="6352" xr:uid="{00000000-0005-0000-0000-0000AA100000}"/>
    <cellStyle name="Normal 2 4 5 3 6 3 2" xfId="15678" xr:uid="{530609E5-1B13-40AB-82AE-1D035CF59B75}"/>
    <cellStyle name="Normal 2 4 5 3 6 4" xfId="11461" xr:uid="{AF58D6C2-C518-4088-94D6-F4965FF5BFB2}"/>
    <cellStyle name="Normal 2 4 5 3 7" xfId="2482" xr:uid="{00000000-0005-0000-0000-0000AB100000}"/>
    <cellStyle name="Normal 2 4 5 3 7 2" xfId="6765" xr:uid="{00000000-0005-0000-0000-0000AC100000}"/>
    <cellStyle name="Normal 2 4 5 3 7 2 2" xfId="16091" xr:uid="{E06011D0-4340-4833-8736-91C0AC4CEF64}"/>
    <cellStyle name="Normal 2 4 5 3 7 3" xfId="11874" xr:uid="{F1E8FF39-BA9A-4753-99C4-B5BEAAD648D8}"/>
    <cellStyle name="Normal 2 4 5 3 8" xfId="4699" xr:uid="{00000000-0005-0000-0000-0000AD100000}"/>
    <cellStyle name="Normal 2 4 5 3 8 2" xfId="14025" xr:uid="{97C77A13-9717-491E-863B-7AE4AE1E25E1}"/>
    <cellStyle name="Normal 2 4 5 3 9" xfId="8883" xr:uid="{0A470B75-873E-4D74-A257-113E3E343E18}"/>
    <cellStyle name="Normal 2 4 5 3 9 2" xfId="18207" xr:uid="{181B2862-C16B-4C7F-9AC8-277A7CBE7A22}"/>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4E9DF26A-34CA-499B-9DB9-53EA9F5D77BC}"/>
    <cellStyle name="Normal 2 4 5 4 2 2 3" xfId="12369" xr:uid="{9E46F9EA-EC1E-478E-A5E7-ACC10F805476}"/>
    <cellStyle name="Normal 2 4 5 4 2 3" xfId="5115" xr:uid="{00000000-0005-0000-0000-0000B2100000}"/>
    <cellStyle name="Normal 2 4 5 4 2 3 2" xfId="14441" xr:uid="{345FAD01-DDF3-4990-9CE2-DA0EE98182FA}"/>
    <cellStyle name="Normal 2 4 5 4 2 4" xfId="9412" xr:uid="{0ECAC303-3EA0-4623-AA0F-854157CA32E5}"/>
    <cellStyle name="Normal 2 4 5 4 2 4 2" xfId="18727" xr:uid="{1D16CE53-BC31-42BF-A12E-9832767D797D}"/>
    <cellStyle name="Normal 2 4 5 4 2 5" xfId="10224" xr:uid="{C2E34775-3E97-4508-804D-9C72FD35BD49}"/>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E8D201F6-2764-4441-914D-2A2CAFF2410F}"/>
    <cellStyle name="Normal 2 4 5 4 3 2 3" xfId="12782" xr:uid="{D815DC96-6B56-44FA-8FB1-AB8D26A9A710}"/>
    <cellStyle name="Normal 2 4 5 4 3 3" xfId="5528" xr:uid="{00000000-0005-0000-0000-0000B6100000}"/>
    <cellStyle name="Normal 2 4 5 4 3 3 2" xfId="14854" xr:uid="{AE926A09-C611-444A-B22A-E24D889DDB15}"/>
    <cellStyle name="Normal 2 4 5 4 3 4" xfId="10637" xr:uid="{68561391-F476-4868-90A4-8A652A718EAC}"/>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E432E6D8-13A6-43F1-87EB-17966FE85512}"/>
    <cellStyle name="Normal 2 4 5 4 4 2 3" xfId="13195" xr:uid="{4DD2FCDC-55DB-4E99-9CBC-E546EADD9B9E}"/>
    <cellStyle name="Normal 2 4 5 4 4 3" xfId="5941" xr:uid="{00000000-0005-0000-0000-0000BA100000}"/>
    <cellStyle name="Normal 2 4 5 4 4 3 2" xfId="15267" xr:uid="{D9E0EC3A-8872-4DDC-9F16-37246CFACFD1}"/>
    <cellStyle name="Normal 2 4 5 4 4 4" xfId="11050" xr:uid="{EA4254E1-F9D1-4E7A-918B-E46859B1AB3F}"/>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5740E830-D74E-41BB-AB2A-920224398B20}"/>
    <cellStyle name="Normal 2 4 5 4 5 2 3" xfId="13608" xr:uid="{E6959010-B273-4BB1-8B85-4B7011B17B9B}"/>
    <cellStyle name="Normal 2 4 5 4 5 3" xfId="6354" xr:uid="{00000000-0005-0000-0000-0000BE100000}"/>
    <cellStyle name="Normal 2 4 5 4 5 3 2" xfId="15680" xr:uid="{E328FD65-1A24-41C2-B76D-6EE522BAA305}"/>
    <cellStyle name="Normal 2 4 5 4 5 4" xfId="11463" xr:uid="{D6158278-2D61-44F0-9561-8E537A640AF2}"/>
    <cellStyle name="Normal 2 4 5 4 6" xfId="2484" xr:uid="{00000000-0005-0000-0000-0000BF100000}"/>
    <cellStyle name="Normal 2 4 5 4 6 2" xfId="6767" xr:uid="{00000000-0005-0000-0000-0000C0100000}"/>
    <cellStyle name="Normal 2 4 5 4 6 2 2" xfId="16093" xr:uid="{2CB831E1-3C23-4A1D-9197-7E6E0E9E374A}"/>
    <cellStyle name="Normal 2 4 5 4 6 3" xfId="11876" xr:uid="{0C8C934C-9509-4131-83D8-61FB056E29FF}"/>
    <cellStyle name="Normal 2 4 5 4 7" xfId="4701" xr:uid="{00000000-0005-0000-0000-0000C1100000}"/>
    <cellStyle name="Normal 2 4 5 4 7 2" xfId="14027" xr:uid="{F7972C96-B449-4994-B71D-B087EAE2073C}"/>
    <cellStyle name="Normal 2 4 5 4 8" xfId="8987" xr:uid="{8DC2C01A-3078-41AD-BCFB-AA1CA8EE9C0A}"/>
    <cellStyle name="Normal 2 4 5 4 8 2" xfId="18311" xr:uid="{442954BE-AA6E-4D92-BB4A-6FF8172CD990}"/>
    <cellStyle name="Normal 2 4 5 4 9" xfId="9810" xr:uid="{EE0BBAE9-54B9-4AD3-A91F-7153CF96FBEE}"/>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31E444B7-F2EE-4673-9C60-52F09F7944BF}"/>
    <cellStyle name="Normal 2 4 5 5 2 3" xfId="12362" xr:uid="{53007DD6-8D6B-4F05-A296-F8777D5300A6}"/>
    <cellStyle name="Normal 2 4 5 5 3" xfId="5108" xr:uid="{00000000-0005-0000-0000-0000C5100000}"/>
    <cellStyle name="Normal 2 4 5 5 3 2" xfId="14434" xr:uid="{4AF847C8-D430-4AF2-96B4-A23C9A95A6C4}"/>
    <cellStyle name="Normal 2 4 5 5 4" xfId="9204" xr:uid="{BE34B337-03EE-47D8-9E35-2EE6FAB30236}"/>
    <cellStyle name="Normal 2 4 5 5 4 2" xfId="18520" xr:uid="{CE28674D-E2B2-430F-B9E9-491A88183E31}"/>
    <cellStyle name="Normal 2 4 5 5 5" xfId="10217" xr:uid="{C0BA811A-1A47-4EDA-900C-495BEE0606B8}"/>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56FAAA3D-67CD-421D-8553-FE06AE51D3F6}"/>
    <cellStyle name="Normal 2 4 5 6 2 3" xfId="12775" xr:uid="{CB2FB0F3-2AD3-497C-9750-64BFBAA3B072}"/>
    <cellStyle name="Normal 2 4 5 6 3" xfId="5521" xr:uid="{00000000-0005-0000-0000-0000C9100000}"/>
    <cellStyle name="Normal 2 4 5 6 3 2" xfId="14847" xr:uid="{B122F130-EB97-4C70-A09B-4DBE51B47431}"/>
    <cellStyle name="Normal 2 4 5 6 4" xfId="10630" xr:uid="{14A6C062-8413-4FEB-8696-0A5EC19A2B69}"/>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6459784A-EE6C-4558-AC28-60171CC0C63D}"/>
    <cellStyle name="Normal 2 4 5 7 2 3" xfId="13188" xr:uid="{A13D58F9-E47A-4507-8CFE-D88617AA7716}"/>
    <cellStyle name="Normal 2 4 5 7 3" xfId="5934" xr:uid="{00000000-0005-0000-0000-0000CD100000}"/>
    <cellStyle name="Normal 2 4 5 7 3 2" xfId="15260" xr:uid="{7BE68F82-9D87-4DEC-B249-E3892F9CC9E0}"/>
    <cellStyle name="Normal 2 4 5 7 4" xfId="11043" xr:uid="{E2167930-D1FC-41D5-9B6E-10CDF5E58585}"/>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7885C8BF-C12E-46A9-9141-F9EBAA31EB37}"/>
    <cellStyle name="Normal 2 4 5 8 2 3" xfId="13601" xr:uid="{1C173774-3EB4-4FE9-8159-404D44EEE9E5}"/>
    <cellStyle name="Normal 2 4 5 8 3" xfId="6347" xr:uid="{00000000-0005-0000-0000-0000D1100000}"/>
    <cellStyle name="Normal 2 4 5 8 3 2" xfId="15673" xr:uid="{A2BDDC14-5EF9-4A35-8739-5C8E4ADC1F77}"/>
    <cellStyle name="Normal 2 4 5 8 4" xfId="11456" xr:uid="{BFD71BC1-5E84-4288-8695-EBBA85E335A2}"/>
    <cellStyle name="Normal 2 4 5 9" xfId="2477" xr:uid="{00000000-0005-0000-0000-0000D2100000}"/>
    <cellStyle name="Normal 2 4 5 9 2" xfId="6760" xr:uid="{00000000-0005-0000-0000-0000D3100000}"/>
    <cellStyle name="Normal 2 4 5 9 2 2" xfId="16086" xr:uid="{2DB5A148-78F8-46DD-A1BB-BC1F643A59C1}"/>
    <cellStyle name="Normal 2 4 5 9 3" xfId="11869" xr:uid="{2F615EC6-B67B-49C2-AB02-4DCDBF985778}"/>
    <cellStyle name="Normal 2 4 6" xfId="311" xr:uid="{00000000-0005-0000-0000-0000D4100000}"/>
    <cellStyle name="Normal 2 4 7" xfId="312" xr:uid="{00000000-0005-0000-0000-0000D5100000}"/>
    <cellStyle name="Normal 2 4 7 10" xfId="9811" xr:uid="{026BC8D4-2479-46D1-9FF7-2E6BD617A6DC}"/>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CD937E71-86D2-4073-8B50-86095024B222}"/>
    <cellStyle name="Normal 2 4 7 2 2 2 3" xfId="12371" xr:uid="{3678E704-DC47-4739-A291-1D0D9BFAA7F6}"/>
    <cellStyle name="Normal 2 4 7 2 2 3" xfId="5117" xr:uid="{00000000-0005-0000-0000-0000DA100000}"/>
    <cellStyle name="Normal 2 4 7 2 2 3 2" xfId="14443" xr:uid="{119BF2CB-395C-472C-94DA-39996896E1F9}"/>
    <cellStyle name="Normal 2 4 7 2 2 4" xfId="9483" xr:uid="{3D7EFF6F-050D-4214-91CB-DF2673F23584}"/>
    <cellStyle name="Normal 2 4 7 2 2 4 2" xfId="18798" xr:uid="{F9417802-11A8-4E58-9271-84DDBBDE1010}"/>
    <cellStyle name="Normal 2 4 7 2 2 5" xfId="10226" xr:uid="{C5C2453A-9A14-4244-80A6-58B0E433975B}"/>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D8CEB5A1-6029-4154-828D-C21DF620CB2B}"/>
    <cellStyle name="Normal 2 4 7 2 3 2 3" xfId="12784" xr:uid="{5B0FC503-0DF9-4E75-9C14-9BAB440B9706}"/>
    <cellStyle name="Normal 2 4 7 2 3 3" xfId="5530" xr:uid="{00000000-0005-0000-0000-0000DE100000}"/>
    <cellStyle name="Normal 2 4 7 2 3 3 2" xfId="14856" xr:uid="{63E01F6F-5B8A-45EF-BF87-92D60439C248}"/>
    <cellStyle name="Normal 2 4 7 2 3 4" xfId="10639" xr:uid="{76429DDB-15D4-40E1-AB8C-7030B671D791}"/>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FF37B52A-0B0B-4A41-AAFA-E596E823FDDF}"/>
    <cellStyle name="Normal 2 4 7 2 4 2 3" xfId="13197" xr:uid="{2191ECD8-D3C7-457F-8C42-273A526F836A}"/>
    <cellStyle name="Normal 2 4 7 2 4 3" xfId="5943" xr:uid="{00000000-0005-0000-0000-0000E2100000}"/>
    <cellStyle name="Normal 2 4 7 2 4 3 2" xfId="15269" xr:uid="{87CDA8D0-A09E-4501-BAFB-41A3BF28DD76}"/>
    <cellStyle name="Normal 2 4 7 2 4 4" xfId="11052" xr:uid="{1AE52D16-AC8C-4E68-9F3D-50C59CDCDD8D}"/>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323210B6-D13F-4CE2-B514-14B0FFAB731A}"/>
    <cellStyle name="Normal 2 4 7 2 5 2 3" xfId="13610" xr:uid="{AF3E0ADC-6D5B-4564-988D-C849FA4B5B17}"/>
    <cellStyle name="Normal 2 4 7 2 5 3" xfId="6356" xr:uid="{00000000-0005-0000-0000-0000E6100000}"/>
    <cellStyle name="Normal 2 4 7 2 5 3 2" xfId="15682" xr:uid="{8C85A3DF-3A32-4B62-B8D1-508C65DE6FFA}"/>
    <cellStyle name="Normal 2 4 7 2 5 4" xfId="11465" xr:uid="{526F7AD9-7F42-4C05-87EE-B095D921DD2C}"/>
    <cellStyle name="Normal 2 4 7 2 6" xfId="2486" xr:uid="{00000000-0005-0000-0000-0000E7100000}"/>
    <cellStyle name="Normal 2 4 7 2 6 2" xfId="6769" xr:uid="{00000000-0005-0000-0000-0000E8100000}"/>
    <cellStyle name="Normal 2 4 7 2 6 2 2" xfId="16095" xr:uid="{92874E13-48AA-4CD8-A6FC-950FA23EA951}"/>
    <cellStyle name="Normal 2 4 7 2 6 3" xfId="11878" xr:uid="{FB066B25-6BCE-41DE-BA69-44661A3E9623}"/>
    <cellStyle name="Normal 2 4 7 2 7" xfId="4703" xr:uid="{00000000-0005-0000-0000-0000E9100000}"/>
    <cellStyle name="Normal 2 4 7 2 7 2" xfId="14029" xr:uid="{F668223C-A304-4B51-A9D4-B0876C7982CD}"/>
    <cellStyle name="Normal 2 4 7 2 8" xfId="9058" xr:uid="{FCEC438E-EF6A-4A00-BFE3-0DA309169A82}"/>
    <cellStyle name="Normal 2 4 7 2 8 2" xfId="18382" xr:uid="{1EC170B6-6CA6-45D0-8792-BF7C15201064}"/>
    <cellStyle name="Normal 2 4 7 2 9" xfId="9812" xr:uid="{15F39631-9921-4002-A92C-BD0A1C6761E6}"/>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D260E21B-8125-4696-9708-DF038BD18875}"/>
    <cellStyle name="Normal 2 4 7 3 2 3" xfId="12370" xr:uid="{95FA3747-EC49-4328-8C06-4AB4D0A66182}"/>
    <cellStyle name="Normal 2 4 7 3 3" xfId="5116" xr:uid="{00000000-0005-0000-0000-0000ED100000}"/>
    <cellStyle name="Normal 2 4 7 3 3 2" xfId="14442" xr:uid="{7187A84E-3581-4A2F-8399-69E52E858620}"/>
    <cellStyle name="Normal 2 4 7 3 4" xfId="9276" xr:uid="{90A81E61-1719-41E4-8673-7681E805C2E0}"/>
    <cellStyle name="Normal 2 4 7 3 4 2" xfId="18591" xr:uid="{CB1DBC5F-9088-456E-B064-6BC5B48254DD}"/>
    <cellStyle name="Normal 2 4 7 3 5" xfId="10225" xr:uid="{9E6888B5-1D94-4686-A655-93E55F18BC84}"/>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9E92465A-26FB-4842-A13C-BDFE5B1470CE}"/>
    <cellStyle name="Normal 2 4 7 4 2 3" xfId="12783" xr:uid="{377A1B8F-0EA4-4EB2-83E5-B393AE0F68F5}"/>
    <cellStyle name="Normal 2 4 7 4 3" xfId="5529" xr:uid="{00000000-0005-0000-0000-0000F1100000}"/>
    <cellStyle name="Normal 2 4 7 4 3 2" xfId="14855" xr:uid="{21DDD16E-F7AE-4F39-8038-638F75EEDDD2}"/>
    <cellStyle name="Normal 2 4 7 4 4" xfId="10638" xr:uid="{B3B97763-9E1C-41EB-9661-D81AD7531913}"/>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44A44ED0-07B2-4607-92DD-3C1DAA6CEF4F}"/>
    <cellStyle name="Normal 2 4 7 5 2 3" xfId="13196" xr:uid="{1916AF33-4373-4971-A1E6-07B30BB91070}"/>
    <cellStyle name="Normal 2 4 7 5 3" xfId="5942" xr:uid="{00000000-0005-0000-0000-0000F5100000}"/>
    <cellStyle name="Normal 2 4 7 5 3 2" xfId="15268" xr:uid="{97397396-A284-486E-BDA4-EEB02B0EA58C}"/>
    <cellStyle name="Normal 2 4 7 5 4" xfId="11051" xr:uid="{3E70B6A2-AC2E-43C0-8480-90DC46EF9556}"/>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511AB6AC-3D92-4093-AD0D-D5B99392F345}"/>
    <cellStyle name="Normal 2 4 7 6 2 3" xfId="13609" xr:uid="{E82F70E8-251C-4634-9F76-537777A0F031}"/>
    <cellStyle name="Normal 2 4 7 6 3" xfId="6355" xr:uid="{00000000-0005-0000-0000-0000F9100000}"/>
    <cellStyle name="Normal 2 4 7 6 3 2" xfId="15681" xr:uid="{8159E93E-AB92-4EB8-AA1B-C755E7375B07}"/>
    <cellStyle name="Normal 2 4 7 6 4" xfId="11464" xr:uid="{EAFCF15D-A477-4348-AC84-99CC173DA762}"/>
    <cellStyle name="Normal 2 4 7 7" xfId="2485" xr:uid="{00000000-0005-0000-0000-0000FA100000}"/>
    <cellStyle name="Normal 2 4 7 7 2" xfId="6768" xr:uid="{00000000-0005-0000-0000-0000FB100000}"/>
    <cellStyle name="Normal 2 4 7 7 2 2" xfId="16094" xr:uid="{32BE79F4-BFDA-49C1-B814-8E2B01FB1D06}"/>
    <cellStyle name="Normal 2 4 7 7 3" xfId="11877" xr:uid="{C588DEB0-F351-4BE8-86C0-0D51FB014FFB}"/>
    <cellStyle name="Normal 2 4 7 8" xfId="4702" xr:uid="{00000000-0005-0000-0000-0000FC100000}"/>
    <cellStyle name="Normal 2 4 7 8 2" xfId="14028" xr:uid="{80466528-2C15-4CF6-8096-4BEA72AB4A7D}"/>
    <cellStyle name="Normal 2 4 7 9" xfId="8851" xr:uid="{6946A6C1-9296-4D8F-B36F-8F7964FD7AC6}"/>
    <cellStyle name="Normal 2 4 7 9 2" xfId="18175" xr:uid="{2E0AE752-E784-4E6B-A8CC-C387F4FC1278}"/>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5D8C5DE6-F666-49C2-BA3E-D14AFB355155}"/>
    <cellStyle name="Normal 2 4 8 2 2 3" xfId="12372" xr:uid="{A7DC3FA7-AF4A-486C-8F89-9A1C7A47ECFB}"/>
    <cellStyle name="Normal 2 4 8 2 3" xfId="5118" xr:uid="{00000000-0005-0000-0000-000001110000}"/>
    <cellStyle name="Normal 2 4 8 2 3 2" xfId="14444" xr:uid="{8074D5D2-0A0C-4493-82E4-A596641CB112}"/>
    <cellStyle name="Normal 2 4 8 2 4" xfId="9392" xr:uid="{812B973E-E5C9-43CD-85B0-C8CA30BD9BF3}"/>
    <cellStyle name="Normal 2 4 8 2 4 2" xfId="18707" xr:uid="{BB849761-F5E3-46CC-84BD-C05FAC678C56}"/>
    <cellStyle name="Normal 2 4 8 2 5" xfId="10227" xr:uid="{58856AA3-4F02-449B-BE1A-C75AECDEA545}"/>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042A6A59-559D-408F-824D-E5C0ADFFB20F}"/>
    <cellStyle name="Normal 2 4 8 3 2 3" xfId="12785" xr:uid="{BACF14AB-A586-4054-A598-FD58DCE2909C}"/>
    <cellStyle name="Normal 2 4 8 3 3" xfId="5531" xr:uid="{00000000-0005-0000-0000-000005110000}"/>
    <cellStyle name="Normal 2 4 8 3 3 2" xfId="14857" xr:uid="{39AFBA8D-9096-4A59-9881-532B123863F9}"/>
    <cellStyle name="Normal 2 4 8 3 4" xfId="10640" xr:uid="{5112FBEB-9196-43CA-A288-455B47597385}"/>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F7C1B5AD-9719-48B2-A1ED-CDCF0FF9A92C}"/>
    <cellStyle name="Normal 2 4 8 4 2 3" xfId="13198" xr:uid="{C17B7E32-06B3-44C7-A8D1-9D56EC80B37F}"/>
    <cellStyle name="Normal 2 4 8 4 3" xfId="5944" xr:uid="{00000000-0005-0000-0000-000009110000}"/>
    <cellStyle name="Normal 2 4 8 4 3 2" xfId="15270" xr:uid="{202519F5-43D6-4DB4-8E20-0AE7FCD30253}"/>
    <cellStyle name="Normal 2 4 8 4 4" xfId="11053" xr:uid="{F36C829B-BA41-4A9B-9CF1-5C55D0138C28}"/>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89541F36-B7C4-427F-8AEE-DF75B981DAB2}"/>
    <cellStyle name="Normal 2 4 8 5 2 3" xfId="13611" xr:uid="{8FECAE6F-D1FB-4823-B805-2AB8044C51AF}"/>
    <cellStyle name="Normal 2 4 8 5 3" xfId="6357" xr:uid="{00000000-0005-0000-0000-00000D110000}"/>
    <cellStyle name="Normal 2 4 8 5 3 2" xfId="15683" xr:uid="{7DF3302B-A59C-4949-A637-35F3C2ECE8AB}"/>
    <cellStyle name="Normal 2 4 8 5 4" xfId="11466" xr:uid="{B4DF75C3-4219-4699-B4BE-C9CDD9674B22}"/>
    <cellStyle name="Normal 2 4 8 6" xfId="2487" xr:uid="{00000000-0005-0000-0000-00000E110000}"/>
    <cellStyle name="Normal 2 4 8 6 2" xfId="6770" xr:uid="{00000000-0005-0000-0000-00000F110000}"/>
    <cellStyle name="Normal 2 4 8 6 2 2" xfId="16096" xr:uid="{EEF53759-A834-4491-8C67-72EC015CCC69}"/>
    <cellStyle name="Normal 2 4 8 6 3" xfId="11879" xr:uid="{FAD3A2FE-32E7-4E61-BB0A-580B0DE7572F}"/>
    <cellStyle name="Normal 2 4 8 7" xfId="4704" xr:uid="{00000000-0005-0000-0000-000010110000}"/>
    <cellStyle name="Normal 2 4 8 7 2" xfId="14030" xr:uid="{489E8412-4ECF-4B09-A944-DFF0EE3F3505}"/>
    <cellStyle name="Normal 2 4 8 8" xfId="8967" xr:uid="{32AC97CD-D3FD-4AE1-A8B2-07BEA9D5DE52}"/>
    <cellStyle name="Normal 2 4 8 8 2" xfId="18291" xr:uid="{D266D2A6-21D2-493D-AA98-6519A3A35CCB}"/>
    <cellStyle name="Normal 2 4 8 9" xfId="9813" xr:uid="{2D22404B-D456-4F1B-860C-0C1E31DFC90E}"/>
    <cellStyle name="Normal 2 4 9" xfId="9170" xr:uid="{5569C060-E090-4551-A44D-517EC3FD1834}"/>
    <cellStyle name="Normal 2 4 9 2" xfId="18488" xr:uid="{F88F0B58-14D3-4C1A-8674-9804C213A462}"/>
    <cellStyle name="Normal 2 5" xfId="315" xr:uid="{00000000-0005-0000-0000-000011110000}"/>
    <cellStyle name="Normal 2 5 10" xfId="4705" xr:uid="{00000000-0005-0000-0000-000012110000}"/>
    <cellStyle name="Normal 2 5 10 2" xfId="14031" xr:uid="{593BE10F-F413-41B0-9B52-57DB32E3FFD8}"/>
    <cellStyle name="Normal 2 5 11" xfId="9814" xr:uid="{079CF461-6157-4DA4-A758-20662DA5EF95}"/>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0 2" xfId="18140" xr:uid="{94872CA3-24C5-450B-955D-8B638F503865}"/>
    <cellStyle name="Normal 2 5 4 11" xfId="9815" xr:uid="{8CDD13DA-4329-4138-BB9A-D93618B3E960}"/>
    <cellStyle name="Normal 2 5 4 2" xfId="319" xr:uid="{00000000-0005-0000-0000-000016110000}"/>
    <cellStyle name="Normal 2 5 4 2 10" xfId="9816" xr:uid="{23B48068-FCB2-438A-8C3F-D8C153114D0C}"/>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C5E60129-A1CC-40D1-8E8C-2F3ADC9F0E20}"/>
    <cellStyle name="Normal 2 5 4 2 2 2 2 3" xfId="12376" xr:uid="{C6F65BDF-CFE7-4B0D-B4E8-B86DCF90407E}"/>
    <cellStyle name="Normal 2 5 4 2 2 2 3" xfId="5122" xr:uid="{00000000-0005-0000-0000-00001B110000}"/>
    <cellStyle name="Normal 2 5 4 2 2 2 3 2" xfId="14448" xr:uid="{DF6C996F-3FAF-409A-B351-5EC0919F3F02}"/>
    <cellStyle name="Normal 2 5 4 2 2 2 4" xfId="9551" xr:uid="{392D7741-6781-4EA5-9C28-040053C1B05B}"/>
    <cellStyle name="Normal 2 5 4 2 2 2 4 2" xfId="18866" xr:uid="{ED84D094-8B6A-4001-B1F9-776BF33E8A8E}"/>
    <cellStyle name="Normal 2 5 4 2 2 2 5" xfId="10231" xr:uid="{A67733D1-C847-4C22-B39F-8EEA936BD98A}"/>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385A99D8-28DE-4A46-9CC8-580B57CAB97C}"/>
    <cellStyle name="Normal 2 5 4 2 2 3 2 3" xfId="12789" xr:uid="{7FFE40BE-5126-4C6A-B5C6-E64B6FE6B0CB}"/>
    <cellStyle name="Normal 2 5 4 2 2 3 3" xfId="5535" xr:uid="{00000000-0005-0000-0000-00001F110000}"/>
    <cellStyle name="Normal 2 5 4 2 2 3 3 2" xfId="14861" xr:uid="{9984C759-E42B-4EA9-A6D4-370BFAE5B8B9}"/>
    <cellStyle name="Normal 2 5 4 2 2 3 4" xfId="10644" xr:uid="{76DA16F6-2958-4BDA-A6EE-7A732CA9375F}"/>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BF13D2CD-3029-4D5E-9603-986E0C3512A1}"/>
    <cellStyle name="Normal 2 5 4 2 2 4 2 3" xfId="13202" xr:uid="{8948433B-A65F-4AC5-8A2B-D65C3782B592}"/>
    <cellStyle name="Normal 2 5 4 2 2 4 3" xfId="5948" xr:uid="{00000000-0005-0000-0000-000023110000}"/>
    <cellStyle name="Normal 2 5 4 2 2 4 3 2" xfId="15274" xr:uid="{E4BF4294-26C1-4CD6-A525-1B3E13D6D562}"/>
    <cellStyle name="Normal 2 5 4 2 2 4 4" xfId="11057" xr:uid="{7925F22C-7E11-4BF1-BFEB-24D1CD5B7FF2}"/>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696E6808-DF32-4527-9548-CE55C7DD229E}"/>
    <cellStyle name="Normal 2 5 4 2 2 5 2 3" xfId="13615" xr:uid="{5BC4B5B4-213A-4D43-AAE9-1C0E2DF28A6D}"/>
    <cellStyle name="Normal 2 5 4 2 2 5 3" xfId="6361" xr:uid="{00000000-0005-0000-0000-000027110000}"/>
    <cellStyle name="Normal 2 5 4 2 2 5 3 2" xfId="15687" xr:uid="{198BF7A9-DCED-4F8B-9E88-38BC43E5E04A}"/>
    <cellStyle name="Normal 2 5 4 2 2 5 4" xfId="11470" xr:uid="{EA4E710D-83A8-4E16-97F1-D58D70B5DCEC}"/>
    <cellStyle name="Normal 2 5 4 2 2 6" xfId="2491" xr:uid="{00000000-0005-0000-0000-000028110000}"/>
    <cellStyle name="Normal 2 5 4 2 2 6 2" xfId="6774" xr:uid="{00000000-0005-0000-0000-000029110000}"/>
    <cellStyle name="Normal 2 5 4 2 2 6 2 2" xfId="16100" xr:uid="{7F7DB3C9-8B00-4C31-A0FE-948AF27F2425}"/>
    <cellStyle name="Normal 2 5 4 2 2 6 3" xfId="11883" xr:uid="{3E0FE6A0-5452-4868-A6FA-31DE59389909}"/>
    <cellStyle name="Normal 2 5 4 2 2 7" xfId="4708" xr:uid="{00000000-0005-0000-0000-00002A110000}"/>
    <cellStyle name="Normal 2 5 4 2 2 7 2" xfId="14034" xr:uid="{CD7B1FA9-628D-4B0A-8C3B-7A4E5D3DF5AB}"/>
    <cellStyle name="Normal 2 5 4 2 2 8" xfId="9126" xr:uid="{C2CF4AFD-4082-4555-941B-6E9759C32D63}"/>
    <cellStyle name="Normal 2 5 4 2 2 8 2" xfId="18450" xr:uid="{C9A4ABE7-C56B-491D-874A-BD72F6412B45}"/>
    <cellStyle name="Normal 2 5 4 2 2 9" xfId="9817" xr:uid="{BDE36D39-0ED3-4363-B41D-21922B17A01A}"/>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5C681BFF-2012-4A9D-AE72-DEC33C1F679C}"/>
    <cellStyle name="Normal 2 5 4 2 3 2 3" xfId="12375" xr:uid="{AC047143-5A78-424C-B260-58E5E4D05321}"/>
    <cellStyle name="Normal 2 5 4 2 3 3" xfId="5121" xr:uid="{00000000-0005-0000-0000-00002E110000}"/>
    <cellStyle name="Normal 2 5 4 2 3 3 2" xfId="14447" xr:uid="{4E0EAC41-FA5C-4DDE-BC94-028214C24A0C}"/>
    <cellStyle name="Normal 2 5 4 2 3 4" xfId="9344" xr:uid="{207B8A34-09D9-4349-A9C7-5A5A998C6B6F}"/>
    <cellStyle name="Normal 2 5 4 2 3 4 2" xfId="18659" xr:uid="{61A9F598-3EB0-4631-A0C7-639FA6EF9DD9}"/>
    <cellStyle name="Normal 2 5 4 2 3 5" xfId="10230" xr:uid="{5E811799-E20C-43E3-B434-2DC2B3BA09C5}"/>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C51082A8-E4A6-4124-B0CC-0B8D24EC8189}"/>
    <cellStyle name="Normal 2 5 4 2 4 2 3" xfId="12788" xr:uid="{72A3499C-63D5-4C68-8B3F-8E8ACFDCE33F}"/>
    <cellStyle name="Normal 2 5 4 2 4 3" xfId="5534" xr:uid="{00000000-0005-0000-0000-000032110000}"/>
    <cellStyle name="Normal 2 5 4 2 4 3 2" xfId="14860" xr:uid="{659FA266-69F6-4247-B2C9-1AECD66C2C4B}"/>
    <cellStyle name="Normal 2 5 4 2 4 4" xfId="10643" xr:uid="{586641A9-153B-435C-B90D-B14CB09FE5DE}"/>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1CAEB5F4-B60C-41F2-B65D-24A408B6FD86}"/>
    <cellStyle name="Normal 2 5 4 2 5 2 3" xfId="13201" xr:uid="{5AA6ACCF-EDCB-4756-89E8-50EEC25DAE48}"/>
    <cellStyle name="Normal 2 5 4 2 5 3" xfId="5947" xr:uid="{00000000-0005-0000-0000-000036110000}"/>
    <cellStyle name="Normal 2 5 4 2 5 3 2" xfId="15273" xr:uid="{92ED9948-8DB8-4728-AFBE-49112B3CED66}"/>
    <cellStyle name="Normal 2 5 4 2 5 4" xfId="11056" xr:uid="{71066571-8C77-484C-AF15-78DCDDADA99D}"/>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92E8E644-0A2D-4120-B88B-D395B7576640}"/>
    <cellStyle name="Normal 2 5 4 2 6 2 3" xfId="13614" xr:uid="{157DD0E8-93E3-41B1-A04A-E349D0C24214}"/>
    <cellStyle name="Normal 2 5 4 2 6 3" xfId="6360" xr:uid="{00000000-0005-0000-0000-00003A110000}"/>
    <cellStyle name="Normal 2 5 4 2 6 3 2" xfId="15686" xr:uid="{4CB123D5-DF5C-4D87-B8C0-72523A9E5A25}"/>
    <cellStyle name="Normal 2 5 4 2 6 4" xfId="11469" xr:uid="{1455E3FF-FFD5-4F00-BDC3-8A92783BBB64}"/>
    <cellStyle name="Normal 2 5 4 2 7" xfId="2490" xr:uid="{00000000-0005-0000-0000-00003B110000}"/>
    <cellStyle name="Normal 2 5 4 2 7 2" xfId="6773" xr:uid="{00000000-0005-0000-0000-00003C110000}"/>
    <cellStyle name="Normal 2 5 4 2 7 2 2" xfId="16099" xr:uid="{21564FCC-B72E-416B-A10C-9E157EBF4568}"/>
    <cellStyle name="Normal 2 5 4 2 7 3" xfId="11882" xr:uid="{712449F3-A0B7-420E-A2EB-61CCCA4F25C6}"/>
    <cellStyle name="Normal 2 5 4 2 8" xfId="4707" xr:uid="{00000000-0005-0000-0000-00003D110000}"/>
    <cellStyle name="Normal 2 5 4 2 8 2" xfId="14033" xr:uid="{56E7EA7F-B643-409E-9B1A-13E07F0432F8}"/>
    <cellStyle name="Normal 2 5 4 2 9" xfId="8919" xr:uid="{2A8C96F6-0F22-4271-BCA3-7E5B2E35A54F}"/>
    <cellStyle name="Normal 2 5 4 2 9 2" xfId="18243" xr:uid="{D0841D2E-9BC3-485F-B85B-FCC0F1CE41FB}"/>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11A3616F-71C1-4936-969A-AE2F53B8D6AD}"/>
    <cellStyle name="Normal 2 5 4 3 2 2 3" xfId="12377" xr:uid="{34204485-054B-42B3-9DB1-D69AF6C26D72}"/>
    <cellStyle name="Normal 2 5 4 3 2 3" xfId="5123" xr:uid="{00000000-0005-0000-0000-000042110000}"/>
    <cellStyle name="Normal 2 5 4 3 2 3 2" xfId="14449" xr:uid="{DB06CEEF-D07E-44F2-9FB3-205561F00A08}"/>
    <cellStyle name="Normal 2 5 4 3 2 4" xfId="9448" xr:uid="{0C1738F2-697E-4430-8A3F-E67747B3EDB0}"/>
    <cellStyle name="Normal 2 5 4 3 2 4 2" xfId="18763" xr:uid="{4F2558C1-0B66-4DFE-BE29-0801969D5AC2}"/>
    <cellStyle name="Normal 2 5 4 3 2 5" xfId="10232" xr:uid="{7A10A1ED-46F3-4BE1-AFF2-1C1C304CD6EE}"/>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18F87DF0-42D4-4C80-93DB-E470B08AEF8A}"/>
    <cellStyle name="Normal 2 5 4 3 3 2 3" xfId="12790" xr:uid="{6F8F50FB-5EEF-4AFA-AE53-6B4BEC4A09C1}"/>
    <cellStyle name="Normal 2 5 4 3 3 3" xfId="5536" xr:uid="{00000000-0005-0000-0000-000046110000}"/>
    <cellStyle name="Normal 2 5 4 3 3 3 2" xfId="14862" xr:uid="{9E34DB5B-14AC-4A66-A012-FA9BAED111A5}"/>
    <cellStyle name="Normal 2 5 4 3 3 4" xfId="10645" xr:uid="{8B806922-2764-45FF-8FEB-464930831569}"/>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FCA20F64-C738-42F4-8381-111D02F11289}"/>
    <cellStyle name="Normal 2 5 4 3 4 2 3" xfId="13203" xr:uid="{68C82843-F4B8-4997-B979-A9B1CDB10D52}"/>
    <cellStyle name="Normal 2 5 4 3 4 3" xfId="5949" xr:uid="{00000000-0005-0000-0000-00004A110000}"/>
    <cellStyle name="Normal 2 5 4 3 4 3 2" xfId="15275" xr:uid="{687F2B34-B720-4008-BC9F-0435E01D8DF6}"/>
    <cellStyle name="Normal 2 5 4 3 4 4" xfId="11058" xr:uid="{9B416399-C883-465B-B5C7-14CB3C987642}"/>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773A0D36-A74E-4E16-8B2D-9CBD7525B7EB}"/>
    <cellStyle name="Normal 2 5 4 3 5 2 3" xfId="13616" xr:uid="{5F04DA5D-AC7A-4FC3-B355-51ED3EEC6D7F}"/>
    <cellStyle name="Normal 2 5 4 3 5 3" xfId="6362" xr:uid="{00000000-0005-0000-0000-00004E110000}"/>
    <cellStyle name="Normal 2 5 4 3 5 3 2" xfId="15688" xr:uid="{97D2A1E4-1D1B-4CA7-9869-125E5F2395BB}"/>
    <cellStyle name="Normal 2 5 4 3 5 4" xfId="11471" xr:uid="{CA1E736E-3FBB-4B88-A823-92267C2A139F}"/>
    <cellStyle name="Normal 2 5 4 3 6" xfId="2492" xr:uid="{00000000-0005-0000-0000-00004F110000}"/>
    <cellStyle name="Normal 2 5 4 3 6 2" xfId="6775" xr:uid="{00000000-0005-0000-0000-000050110000}"/>
    <cellStyle name="Normal 2 5 4 3 6 2 2" xfId="16101" xr:uid="{BA3B61C1-3E02-4312-9872-46463CD09695}"/>
    <cellStyle name="Normal 2 5 4 3 6 3" xfId="11884" xr:uid="{BE532EF6-0330-444C-A0F0-5CF56F3F52B0}"/>
    <cellStyle name="Normal 2 5 4 3 7" xfId="4709" xr:uid="{00000000-0005-0000-0000-000051110000}"/>
    <cellStyle name="Normal 2 5 4 3 7 2" xfId="14035" xr:uid="{C57242E6-5B40-465F-AF52-F60C92C4B432}"/>
    <cellStyle name="Normal 2 5 4 3 8" xfId="9023" xr:uid="{9B869639-3DD4-4511-AD70-D5125D34938F}"/>
    <cellStyle name="Normal 2 5 4 3 8 2" xfId="18347" xr:uid="{B1C927E7-94EF-4BA4-96DF-34F3877075AA}"/>
    <cellStyle name="Normal 2 5 4 3 9" xfId="9818" xr:uid="{DCEF598D-F51B-4190-8597-B608355E34B7}"/>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BEC57303-561B-4589-9EF6-FEAD26F32CE9}"/>
    <cellStyle name="Normal 2 5 4 4 2 3" xfId="12374" xr:uid="{606A0A50-261D-4247-A05B-DCBAFA44CD1C}"/>
    <cellStyle name="Normal 2 5 4 4 3" xfId="5120" xr:uid="{00000000-0005-0000-0000-000055110000}"/>
    <cellStyle name="Normal 2 5 4 4 3 2" xfId="14446" xr:uid="{4E05FD08-C00D-4C20-AEB5-34A05E33DBED}"/>
    <cellStyle name="Normal 2 5 4 4 4" xfId="9241" xr:uid="{2BD2F05F-E4C9-46B4-B3C9-F0D081C1F38F}"/>
    <cellStyle name="Normal 2 5 4 4 4 2" xfId="18556" xr:uid="{CB87523A-75F2-42A1-9255-B0F1B87FD6D9}"/>
    <cellStyle name="Normal 2 5 4 4 5" xfId="10229" xr:uid="{F93BFC1D-1CFA-471D-A270-26715B679D11}"/>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39FECBA2-D38E-4DA0-8A3D-C1A308574417}"/>
    <cellStyle name="Normal 2 5 4 5 2 3" xfId="12787" xr:uid="{04058C8F-A8E7-4081-A581-A948F8B3EF96}"/>
    <cellStyle name="Normal 2 5 4 5 3" xfId="5533" xr:uid="{00000000-0005-0000-0000-000059110000}"/>
    <cellStyle name="Normal 2 5 4 5 3 2" xfId="14859" xr:uid="{F4B7A8AC-EA31-4C86-A10E-81119039CA22}"/>
    <cellStyle name="Normal 2 5 4 5 4" xfId="10642" xr:uid="{E2612596-8785-4217-A59D-2E029AC55EFD}"/>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E464144F-D486-494C-89D3-931839303E5D}"/>
    <cellStyle name="Normal 2 5 4 6 2 3" xfId="13200" xr:uid="{BA2EECD4-2F0D-4FCA-9039-48D391638773}"/>
    <cellStyle name="Normal 2 5 4 6 3" xfId="5946" xr:uid="{00000000-0005-0000-0000-00005D110000}"/>
    <cellStyle name="Normal 2 5 4 6 3 2" xfId="15272" xr:uid="{9449C7EB-194E-45C6-A205-2354D5121152}"/>
    <cellStyle name="Normal 2 5 4 6 4" xfId="11055" xr:uid="{4C5D1583-F99A-4DD5-B5AE-C99B29C484F1}"/>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676C1B47-C0D1-443F-9F94-FCE8A5DA4374}"/>
    <cellStyle name="Normal 2 5 4 7 2 3" xfId="13613" xr:uid="{1760BEB0-E3A1-4C1A-939D-8556984D411D}"/>
    <cellStyle name="Normal 2 5 4 7 3" xfId="6359" xr:uid="{00000000-0005-0000-0000-000061110000}"/>
    <cellStyle name="Normal 2 5 4 7 3 2" xfId="15685" xr:uid="{B4C87301-0582-43F0-8606-1D1A4F2A6822}"/>
    <cellStyle name="Normal 2 5 4 7 4" xfId="11468" xr:uid="{13BBF4C2-DFBE-4BC0-9D2B-13A7ABCE2417}"/>
    <cellStyle name="Normal 2 5 4 8" xfId="2489" xr:uid="{00000000-0005-0000-0000-000062110000}"/>
    <cellStyle name="Normal 2 5 4 8 2" xfId="6772" xr:uid="{00000000-0005-0000-0000-000063110000}"/>
    <cellStyle name="Normal 2 5 4 8 2 2" xfId="16098" xr:uid="{AB7C67B7-9AFE-4A2C-9C02-9FCBDDADF37A}"/>
    <cellStyle name="Normal 2 5 4 8 3" xfId="11881" xr:uid="{F824FCFB-3081-4295-AB1C-C5E42300AB7F}"/>
    <cellStyle name="Normal 2 5 4 9" xfId="4706" xr:uid="{00000000-0005-0000-0000-000064110000}"/>
    <cellStyle name="Normal 2 5 4 9 2" xfId="14032" xr:uid="{41D145D2-64B1-4E7E-A872-87627ADDE808}"/>
    <cellStyle name="Normal 2 5 5" xfId="803" xr:uid="{00000000-0005-0000-0000-000065110000}"/>
    <cellStyle name="Normal 2 5 5 2" xfId="3042" xr:uid="{00000000-0005-0000-0000-000066110000}"/>
    <cellStyle name="Normal 2 5 5 2 2" xfId="7264" xr:uid="{00000000-0005-0000-0000-000067110000}"/>
    <cellStyle name="Normal 2 5 5 2 2 2" xfId="16590" xr:uid="{961DAFEE-E270-4FF3-9BFC-B77936E17B36}"/>
    <cellStyle name="Normal 2 5 5 2 3" xfId="12373" xr:uid="{01F44ECA-D810-475B-95F8-189827D25034}"/>
    <cellStyle name="Normal 2 5 5 3" xfId="5119" xr:uid="{00000000-0005-0000-0000-000068110000}"/>
    <cellStyle name="Normal 2 5 5 3 2" xfId="14445" xr:uid="{558935E5-D814-4B30-9B0A-CD4ED26B8C1C}"/>
    <cellStyle name="Normal 2 5 5 4" xfId="9606" xr:uid="{3AE4D77A-44EE-40C2-9F71-05FBDE2746B2}"/>
    <cellStyle name="Normal 2 5 5 4 2" xfId="18907" xr:uid="{D054213E-6817-4F75-A7EF-AE3CE826E3EC}"/>
    <cellStyle name="Normal 2 5 5 5" xfId="10228" xr:uid="{B661CACA-EBA5-4BA1-804E-119EFFF36FFF}"/>
    <cellStyle name="Normal 2 5 6" xfId="1225" xr:uid="{00000000-0005-0000-0000-000069110000}"/>
    <cellStyle name="Normal 2 5 6 2" xfId="3455" xr:uid="{00000000-0005-0000-0000-00006A110000}"/>
    <cellStyle name="Normal 2 5 6 2 2" xfId="7677" xr:uid="{00000000-0005-0000-0000-00006B110000}"/>
    <cellStyle name="Normal 2 5 6 2 2 2" xfId="17003" xr:uid="{FBB9A186-150A-4604-9031-8D13363B0F70}"/>
    <cellStyle name="Normal 2 5 6 2 3" xfId="12786" xr:uid="{9963A8D8-FA7F-4F6F-BB48-FB0D67D77FD4}"/>
    <cellStyle name="Normal 2 5 6 3" xfId="5532" xr:uid="{00000000-0005-0000-0000-00006C110000}"/>
    <cellStyle name="Normal 2 5 6 3 2" xfId="14858" xr:uid="{A02C62D9-83C9-4821-8647-78E14E552328}"/>
    <cellStyle name="Normal 2 5 6 4" xfId="10641" xr:uid="{88AABEEF-FDFD-427D-8EA5-464D1A73950A}"/>
    <cellStyle name="Normal 2 5 7" xfId="1638" xr:uid="{00000000-0005-0000-0000-00006D110000}"/>
    <cellStyle name="Normal 2 5 7 2" xfId="3868" xr:uid="{00000000-0005-0000-0000-00006E110000}"/>
    <cellStyle name="Normal 2 5 7 2 2" xfId="8090" xr:uid="{00000000-0005-0000-0000-00006F110000}"/>
    <cellStyle name="Normal 2 5 7 2 2 2" xfId="17416" xr:uid="{953EFFBE-5D58-44A4-9904-963B76F22A4D}"/>
    <cellStyle name="Normal 2 5 7 2 3" xfId="13199" xr:uid="{E858DE39-CC0D-4C58-863A-5AD7D66AE986}"/>
    <cellStyle name="Normal 2 5 7 3" xfId="5945" xr:uid="{00000000-0005-0000-0000-000070110000}"/>
    <cellStyle name="Normal 2 5 7 3 2" xfId="15271" xr:uid="{87DA312D-4BDD-49DF-B3D9-FB3097ABE1C2}"/>
    <cellStyle name="Normal 2 5 7 4" xfId="11054" xr:uid="{49EA3CAA-D05E-4922-BFDB-24F6BC77246C}"/>
    <cellStyle name="Normal 2 5 8" xfId="2052" xr:uid="{00000000-0005-0000-0000-000071110000}"/>
    <cellStyle name="Normal 2 5 8 2" xfId="4281" xr:uid="{00000000-0005-0000-0000-000072110000}"/>
    <cellStyle name="Normal 2 5 8 2 2" xfId="8503" xr:uid="{00000000-0005-0000-0000-000073110000}"/>
    <cellStyle name="Normal 2 5 8 2 2 2" xfId="17829" xr:uid="{66A4FCBC-8208-4C64-A3E2-940EA70BAB82}"/>
    <cellStyle name="Normal 2 5 8 2 3" xfId="13612" xr:uid="{91F95526-A54C-4294-A232-D45EBA5BC50B}"/>
    <cellStyle name="Normal 2 5 8 3" xfId="6358" xr:uid="{00000000-0005-0000-0000-000074110000}"/>
    <cellStyle name="Normal 2 5 8 3 2" xfId="15684" xr:uid="{F65039B1-CAB8-4B3D-BE54-23A81B59E9BB}"/>
    <cellStyle name="Normal 2 5 8 4" xfId="11467" xr:uid="{3C73089F-64BD-42EF-9F81-6F0D6CE65579}"/>
    <cellStyle name="Normal 2 5 9" xfId="2488" xr:uid="{00000000-0005-0000-0000-000075110000}"/>
    <cellStyle name="Normal 2 5 9 2" xfId="6771" xr:uid="{00000000-0005-0000-0000-000076110000}"/>
    <cellStyle name="Normal 2 5 9 2 2" xfId="16097" xr:uid="{0E1DC2EE-2525-4CAC-9201-B08F0D04D29A}"/>
    <cellStyle name="Normal 2 5 9 3" xfId="11880" xr:uid="{DD24A8E5-D1BB-48F1-9630-1392F4A6A55D}"/>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7 3 2" xfId="18479" xr:uid="{D0B72893-7C93-4F2E-BA8D-541842EA355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498D88EE-D144-4D3D-902E-CDB5AC0F0A19}"/>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0 2" xfId="18141" xr:uid="{87FA4ACC-6140-4212-8F0A-2F1079FD64BB}"/>
    <cellStyle name="Normal 3 2 3 11" xfId="9820" xr:uid="{BCE08E48-3F3D-4817-969C-4B85D32ADD3E}"/>
    <cellStyle name="Normal 3 2 3 2" xfId="327" xr:uid="{00000000-0005-0000-0000-00007F110000}"/>
    <cellStyle name="Normal 3 2 3 2 10" xfId="9821" xr:uid="{9245751C-0A46-4040-818E-079E5D266B1A}"/>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DC1D6F0C-6489-4322-B327-B6B702E7094E}"/>
    <cellStyle name="Normal 3 2 3 2 2 2 2 3" xfId="12381" xr:uid="{FAD57EC2-9D83-4824-91D2-D081F6A1704D}"/>
    <cellStyle name="Normal 3 2 3 2 2 2 3" xfId="5127" xr:uid="{00000000-0005-0000-0000-000084110000}"/>
    <cellStyle name="Normal 3 2 3 2 2 2 3 2" xfId="14453" xr:uid="{D8D1D426-50CA-4BBB-9EB3-75AAD35466F3}"/>
    <cellStyle name="Normal 3 2 3 2 2 2 4" xfId="9552" xr:uid="{54198C1B-8B77-4C07-BFED-28C4D4E00A0C}"/>
    <cellStyle name="Normal 3 2 3 2 2 2 4 2" xfId="18867" xr:uid="{F85555A8-E0A7-46C5-B230-573DF5958315}"/>
    <cellStyle name="Normal 3 2 3 2 2 2 5" xfId="10236" xr:uid="{EACEF866-8FDF-45BE-BE0F-1916D9F4BD86}"/>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DD1910F3-DA61-4F8F-9050-23B50117C33F}"/>
    <cellStyle name="Normal 3 2 3 2 2 3 2 3" xfId="12794" xr:uid="{36081714-2B15-4FB4-B4DE-F0B2F1365047}"/>
    <cellStyle name="Normal 3 2 3 2 2 3 3" xfId="5540" xr:uid="{00000000-0005-0000-0000-000088110000}"/>
    <cellStyle name="Normal 3 2 3 2 2 3 3 2" xfId="14866" xr:uid="{E17E2E3A-A2BC-4FE7-9E3F-5FF421DEB7FD}"/>
    <cellStyle name="Normal 3 2 3 2 2 3 4" xfId="10649" xr:uid="{0DF21D96-4829-4F84-A9D0-E193B4E907DE}"/>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3F7FC80F-FD7B-433C-ACEF-E62C74803C54}"/>
    <cellStyle name="Normal 3 2 3 2 2 4 2 3" xfId="13207" xr:uid="{C151B107-3D66-41A1-B4D1-08A8459AC388}"/>
    <cellStyle name="Normal 3 2 3 2 2 4 3" xfId="5953" xr:uid="{00000000-0005-0000-0000-00008C110000}"/>
    <cellStyle name="Normal 3 2 3 2 2 4 3 2" xfId="15279" xr:uid="{AE90E401-D792-44D2-9034-B0030C34AC91}"/>
    <cellStyle name="Normal 3 2 3 2 2 4 4" xfId="11062" xr:uid="{F3E2B514-74E9-47DD-BBDC-7B06FD271E2F}"/>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70F0119B-B20E-4927-A91F-6E09D9A7BBE8}"/>
    <cellStyle name="Normal 3 2 3 2 2 5 2 3" xfId="13620" xr:uid="{836A1D2B-4AD4-46B8-A841-883D6572F4AE}"/>
    <cellStyle name="Normal 3 2 3 2 2 5 3" xfId="6366" xr:uid="{00000000-0005-0000-0000-000090110000}"/>
    <cellStyle name="Normal 3 2 3 2 2 5 3 2" xfId="15692" xr:uid="{1D1D5602-5D58-4525-AC30-F4C3F6DAEEEE}"/>
    <cellStyle name="Normal 3 2 3 2 2 5 4" xfId="11475" xr:uid="{EBF29C10-DBAD-4979-9600-5B600463BE7B}"/>
    <cellStyle name="Normal 3 2 3 2 2 6" xfId="2496" xr:uid="{00000000-0005-0000-0000-000091110000}"/>
    <cellStyle name="Normal 3 2 3 2 2 6 2" xfId="6779" xr:uid="{00000000-0005-0000-0000-000092110000}"/>
    <cellStyle name="Normal 3 2 3 2 2 6 2 2" xfId="16105" xr:uid="{544CB309-D2E8-47A3-B07E-66A7F66680CB}"/>
    <cellStyle name="Normal 3 2 3 2 2 6 3" xfId="11888" xr:uid="{7951635C-7539-4F09-9F4A-22AC0DBAE152}"/>
    <cellStyle name="Normal 3 2 3 2 2 7" xfId="4713" xr:uid="{00000000-0005-0000-0000-000093110000}"/>
    <cellStyle name="Normal 3 2 3 2 2 7 2" xfId="14039" xr:uid="{6B1BAB42-45E6-4357-B75E-E3A6BADC44C5}"/>
    <cellStyle name="Normal 3 2 3 2 2 8" xfId="9127" xr:uid="{0583B12A-AAD6-4358-9C0C-42D6EBC3DFD8}"/>
    <cellStyle name="Normal 3 2 3 2 2 8 2" xfId="18451" xr:uid="{4447AF4D-B72E-4CF0-9A12-4D17953B4767}"/>
    <cellStyle name="Normal 3 2 3 2 2 9" xfId="9822" xr:uid="{00BA5F69-9213-47E4-A29B-B3771D8A0984}"/>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578D8018-0592-413B-901A-82C5777B59C1}"/>
    <cellStyle name="Normal 3 2 3 2 3 2 3" xfId="12380" xr:uid="{7DCF17DC-543E-4324-B5D1-9E8D4A418550}"/>
    <cellStyle name="Normal 3 2 3 2 3 3" xfId="5126" xr:uid="{00000000-0005-0000-0000-000097110000}"/>
    <cellStyle name="Normal 3 2 3 2 3 3 2" xfId="14452" xr:uid="{0D82E115-36D3-4288-BD50-D34741F8C9E8}"/>
    <cellStyle name="Normal 3 2 3 2 3 4" xfId="9345" xr:uid="{C34A3811-3C7F-4E99-A17A-CCF74A426C86}"/>
    <cellStyle name="Normal 3 2 3 2 3 4 2" xfId="18660" xr:uid="{3398367D-CBF7-4B43-B3D6-77F0021A4D4D}"/>
    <cellStyle name="Normal 3 2 3 2 3 5" xfId="10235" xr:uid="{C9281F65-65A5-4B01-AFDF-F543CB320961}"/>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ECDF3192-9031-4A32-A8B8-E09A3EDF7960}"/>
    <cellStyle name="Normal 3 2 3 2 4 2 3" xfId="12793" xr:uid="{E13FDA53-2A6E-4736-8328-69A307759099}"/>
    <cellStyle name="Normal 3 2 3 2 4 3" xfId="5539" xr:uid="{00000000-0005-0000-0000-00009B110000}"/>
    <cellStyle name="Normal 3 2 3 2 4 3 2" xfId="14865" xr:uid="{E9AF6311-7125-4187-AC2C-0B6836A730D7}"/>
    <cellStyle name="Normal 3 2 3 2 4 4" xfId="10648" xr:uid="{1AE0811F-0F50-4CED-A879-F30DC03B630B}"/>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BCA5FD49-4545-4FEA-AAD6-DC183227E8A1}"/>
    <cellStyle name="Normal 3 2 3 2 5 2 3" xfId="13206" xr:uid="{E0DA26F8-8B04-4D16-AA64-5299B6F35192}"/>
    <cellStyle name="Normal 3 2 3 2 5 3" xfId="5952" xr:uid="{00000000-0005-0000-0000-00009F110000}"/>
    <cellStyle name="Normal 3 2 3 2 5 3 2" xfId="15278" xr:uid="{236894BB-45A1-4E45-9867-2CAA19F62A91}"/>
    <cellStyle name="Normal 3 2 3 2 5 4" xfId="11061" xr:uid="{060EB20E-D102-4B08-81CC-73333294D086}"/>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0B84FEDB-D29D-4AE0-B2C2-EE99EB10AC9C}"/>
    <cellStyle name="Normal 3 2 3 2 6 2 3" xfId="13619" xr:uid="{78FC388A-0657-4B52-90AB-D89A91E0CAE9}"/>
    <cellStyle name="Normal 3 2 3 2 6 3" xfId="6365" xr:uid="{00000000-0005-0000-0000-0000A3110000}"/>
    <cellStyle name="Normal 3 2 3 2 6 3 2" xfId="15691" xr:uid="{501009BC-D0A7-4199-B525-39308C528CA7}"/>
    <cellStyle name="Normal 3 2 3 2 6 4" xfId="11474" xr:uid="{69242C39-559F-46A6-A2D3-F1C39BC7A66D}"/>
    <cellStyle name="Normal 3 2 3 2 7" xfId="2495" xr:uid="{00000000-0005-0000-0000-0000A4110000}"/>
    <cellStyle name="Normal 3 2 3 2 7 2" xfId="6778" xr:uid="{00000000-0005-0000-0000-0000A5110000}"/>
    <cellStyle name="Normal 3 2 3 2 7 2 2" xfId="16104" xr:uid="{5F95C6C6-FAB0-462F-B42E-7C5A1E44DF55}"/>
    <cellStyle name="Normal 3 2 3 2 7 3" xfId="11887" xr:uid="{A8216BAE-44D6-4B96-A43E-81F7ED1AFD9D}"/>
    <cellStyle name="Normal 3 2 3 2 8" xfId="4712" xr:uid="{00000000-0005-0000-0000-0000A6110000}"/>
    <cellStyle name="Normal 3 2 3 2 8 2" xfId="14038" xr:uid="{7B3EF55A-92D3-47BF-B0D7-DF42C3428AE1}"/>
    <cellStyle name="Normal 3 2 3 2 9" xfId="8920" xr:uid="{D9E0825A-068A-435C-BDBE-2C0571A11FAF}"/>
    <cellStyle name="Normal 3 2 3 2 9 2" xfId="18244" xr:uid="{CCEA12B0-D619-4C7E-BBDC-99C6FB667F4D}"/>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3B2A1853-22F2-496D-BF98-A3ABB5E9F1CF}"/>
    <cellStyle name="Normal 3 2 3 3 2 2 3" xfId="12382" xr:uid="{17D39634-5562-403A-8C62-E6EBDED37D6C}"/>
    <cellStyle name="Normal 3 2 3 3 2 3" xfId="5128" xr:uid="{00000000-0005-0000-0000-0000AB110000}"/>
    <cellStyle name="Normal 3 2 3 3 2 3 2" xfId="14454" xr:uid="{F3900638-D17E-48DE-871D-083D50DB251A}"/>
    <cellStyle name="Normal 3 2 3 3 2 4" xfId="9449" xr:uid="{7F58A2DC-DF16-44D1-8D09-04DD41EF4468}"/>
    <cellStyle name="Normal 3 2 3 3 2 4 2" xfId="18764" xr:uid="{09618ADA-02F2-4DFE-96C1-D75973E3C892}"/>
    <cellStyle name="Normal 3 2 3 3 2 5" xfId="10237" xr:uid="{41168EF1-2C31-47DF-9E30-EF84AD7B849C}"/>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F8661A83-E2E6-4FD4-95AE-2EB5BAAC9815}"/>
    <cellStyle name="Normal 3 2 3 3 3 2 3" xfId="12795" xr:uid="{B7421E97-BF24-4B87-8C52-B252D92E184E}"/>
    <cellStyle name="Normal 3 2 3 3 3 3" xfId="5541" xr:uid="{00000000-0005-0000-0000-0000AF110000}"/>
    <cellStyle name="Normal 3 2 3 3 3 3 2" xfId="14867" xr:uid="{9197B8E9-0231-444A-B1C5-695BFB68FDF6}"/>
    <cellStyle name="Normal 3 2 3 3 3 4" xfId="10650" xr:uid="{C67DB17A-8EE2-416A-95B2-7DAE912A7736}"/>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9918B8A1-2F2E-45B1-BF7E-5013026AA0CF}"/>
    <cellStyle name="Normal 3 2 3 3 4 2 3" xfId="13208" xr:uid="{939D171D-2B21-4470-940C-8A3C5A235211}"/>
    <cellStyle name="Normal 3 2 3 3 4 3" xfId="5954" xr:uid="{00000000-0005-0000-0000-0000B3110000}"/>
    <cellStyle name="Normal 3 2 3 3 4 3 2" xfId="15280" xr:uid="{151549E8-68BA-4B60-B98C-1CD307418318}"/>
    <cellStyle name="Normal 3 2 3 3 4 4" xfId="11063" xr:uid="{C6AAEAE7-A9C7-46F9-9CD7-60BD58EDBC89}"/>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7752C8ED-2DF7-47E1-B5BE-2CE894EDEB3E}"/>
    <cellStyle name="Normal 3 2 3 3 5 2 3" xfId="13621" xr:uid="{65F2BF5A-F7A4-4CC9-80E1-E7F39EBF1BE1}"/>
    <cellStyle name="Normal 3 2 3 3 5 3" xfId="6367" xr:uid="{00000000-0005-0000-0000-0000B7110000}"/>
    <cellStyle name="Normal 3 2 3 3 5 3 2" xfId="15693" xr:uid="{5A0800DD-D65D-494D-BC47-1F17F8F38253}"/>
    <cellStyle name="Normal 3 2 3 3 5 4" xfId="11476" xr:uid="{18524790-2EA5-4AC5-985C-373EA2D52D3C}"/>
    <cellStyle name="Normal 3 2 3 3 6" xfId="2497" xr:uid="{00000000-0005-0000-0000-0000B8110000}"/>
    <cellStyle name="Normal 3 2 3 3 6 2" xfId="6780" xr:uid="{00000000-0005-0000-0000-0000B9110000}"/>
    <cellStyle name="Normal 3 2 3 3 6 2 2" xfId="16106" xr:uid="{7F507999-6286-46FC-B466-2B4DCCC42FAB}"/>
    <cellStyle name="Normal 3 2 3 3 6 3" xfId="11889" xr:uid="{48BA5D98-F511-4CB1-8BBF-F0C2B80EC638}"/>
    <cellStyle name="Normal 3 2 3 3 7" xfId="4714" xr:uid="{00000000-0005-0000-0000-0000BA110000}"/>
    <cellStyle name="Normal 3 2 3 3 7 2" xfId="14040" xr:uid="{0DBA4FC4-6936-483F-BF30-02FAD590D742}"/>
    <cellStyle name="Normal 3 2 3 3 8" xfId="9024" xr:uid="{AE2F680F-18A3-47B5-ADCF-6BEAD71D50CE}"/>
    <cellStyle name="Normal 3 2 3 3 8 2" xfId="18348" xr:uid="{EDA1647A-55DD-4636-9AB2-ADF0CEAEB477}"/>
    <cellStyle name="Normal 3 2 3 3 9" xfId="9823" xr:uid="{036AE62D-AE9D-418A-A036-0C0251A683F9}"/>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FF6499FE-DD60-4F4A-8247-4DA4AC32A6B1}"/>
    <cellStyle name="Normal 3 2 3 4 2 3" xfId="12379" xr:uid="{98898496-891D-41F5-BA26-D2A9BBB135EB}"/>
    <cellStyle name="Normal 3 2 3 4 3" xfId="5125" xr:uid="{00000000-0005-0000-0000-0000BE110000}"/>
    <cellStyle name="Normal 3 2 3 4 3 2" xfId="14451" xr:uid="{C5A02636-C659-4FD5-A587-3AD3EC1BC844}"/>
    <cellStyle name="Normal 3 2 3 4 4" xfId="9242" xr:uid="{05AEEDFF-7EEB-40DB-B13D-145C971A771B}"/>
    <cellStyle name="Normal 3 2 3 4 4 2" xfId="18557" xr:uid="{8FE90C51-E7E3-4125-9887-287DCC53E22F}"/>
    <cellStyle name="Normal 3 2 3 4 5" xfId="10234" xr:uid="{6CC9C376-2E83-40CF-B18C-99ED0D862EBA}"/>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E7539BD3-8EB3-459D-A965-CA6C156BA6A6}"/>
    <cellStyle name="Normal 3 2 3 5 2 3" xfId="12792" xr:uid="{3551F5E0-8BE3-4965-BBBD-0D1FC3E3EF61}"/>
    <cellStyle name="Normal 3 2 3 5 3" xfId="5538" xr:uid="{00000000-0005-0000-0000-0000C2110000}"/>
    <cellStyle name="Normal 3 2 3 5 3 2" xfId="14864" xr:uid="{B6C78AC7-77DA-4F25-A7A5-9BAFA3FB6C3B}"/>
    <cellStyle name="Normal 3 2 3 5 4" xfId="10647" xr:uid="{494253CC-F126-4AA0-80D0-6689354281D8}"/>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CFCB27CC-0297-487F-8870-B45E6D67B631}"/>
    <cellStyle name="Normal 3 2 3 6 2 3" xfId="13205" xr:uid="{01FA1F52-3D7B-4E30-A9A7-00BA0E306396}"/>
    <cellStyle name="Normal 3 2 3 6 3" xfId="5951" xr:uid="{00000000-0005-0000-0000-0000C6110000}"/>
    <cellStyle name="Normal 3 2 3 6 3 2" xfId="15277" xr:uid="{94522D1F-D7F1-434F-AE9E-21437F9833AC}"/>
    <cellStyle name="Normal 3 2 3 6 4" xfId="11060" xr:uid="{91873288-AB93-435E-B408-9C7C0F1D0430}"/>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FFF4D6F7-1487-4086-AC60-DDDBF62E4296}"/>
    <cellStyle name="Normal 3 2 3 7 2 3" xfId="13618" xr:uid="{F962BDA9-C8B8-40A3-9171-8452F7DCAFE8}"/>
    <cellStyle name="Normal 3 2 3 7 3" xfId="6364" xr:uid="{00000000-0005-0000-0000-0000CA110000}"/>
    <cellStyle name="Normal 3 2 3 7 3 2" xfId="15690" xr:uid="{1B277149-1972-4180-890A-5A09E64D65A5}"/>
    <cellStyle name="Normal 3 2 3 7 4" xfId="11473" xr:uid="{5BC34ED2-8637-41F1-8E9D-8B4817D78797}"/>
    <cellStyle name="Normal 3 2 3 8" xfId="2494" xr:uid="{00000000-0005-0000-0000-0000CB110000}"/>
    <cellStyle name="Normal 3 2 3 8 2" xfId="6777" xr:uid="{00000000-0005-0000-0000-0000CC110000}"/>
    <cellStyle name="Normal 3 2 3 8 2 2" xfId="16103" xr:uid="{36748946-FECF-4B1F-8047-CD8E6870EDE7}"/>
    <cellStyle name="Normal 3 2 3 8 3" xfId="11886" xr:uid="{021E9487-8719-43DD-8357-58E5D4CA9F7B}"/>
    <cellStyle name="Normal 3 2 3 9" xfId="4711" xr:uid="{00000000-0005-0000-0000-0000CD110000}"/>
    <cellStyle name="Normal 3 2 3 9 2" xfId="14037" xr:uid="{D35C14FE-0A6E-429C-8B11-8D0FB71F351C}"/>
    <cellStyle name="Normal 3 2 4" xfId="809" xr:uid="{00000000-0005-0000-0000-0000CE110000}"/>
    <cellStyle name="Normal 3 2 4 2" xfId="3047" xr:uid="{00000000-0005-0000-0000-0000CF110000}"/>
    <cellStyle name="Normal 3 2 4 2 2" xfId="7269" xr:uid="{00000000-0005-0000-0000-0000D0110000}"/>
    <cellStyle name="Normal 3 2 4 2 2 2" xfId="16595" xr:uid="{6D7A4367-1A96-46CC-81F5-C0D9F7720C93}"/>
    <cellStyle name="Normal 3 2 4 2 3" xfId="12378" xr:uid="{987B1B42-02DE-4E56-8125-473D296A8951}"/>
    <cellStyle name="Normal 3 2 4 3" xfId="5124" xr:uid="{00000000-0005-0000-0000-0000D1110000}"/>
    <cellStyle name="Normal 3 2 4 3 2" xfId="14450" xr:uid="{957BC01D-315D-457F-8ABE-B317F0846AE1}"/>
    <cellStyle name="Normal 3 2 4 4" xfId="9607" xr:uid="{7D769806-7069-4B8D-8CAC-B3B91BBA8D64}"/>
    <cellStyle name="Normal 3 2 4 4 2" xfId="18908" xr:uid="{8F4E5500-641B-4C4F-9704-99B76821C8CA}"/>
    <cellStyle name="Normal 3 2 4 5" xfId="10233" xr:uid="{42085312-3547-4B08-A1CB-F411DF2C34AB}"/>
    <cellStyle name="Normal 3 2 5" xfId="1230" xr:uid="{00000000-0005-0000-0000-0000D2110000}"/>
    <cellStyle name="Normal 3 2 5 2" xfId="3460" xr:uid="{00000000-0005-0000-0000-0000D3110000}"/>
    <cellStyle name="Normal 3 2 5 2 2" xfId="7682" xr:uid="{00000000-0005-0000-0000-0000D4110000}"/>
    <cellStyle name="Normal 3 2 5 2 2 2" xfId="17008" xr:uid="{AE465996-27CE-43A0-A992-CE6240F5B9F2}"/>
    <cellStyle name="Normal 3 2 5 2 3" xfId="12791" xr:uid="{B275FB6F-AA6A-48C0-9AC6-913F85615099}"/>
    <cellStyle name="Normal 3 2 5 3" xfId="5537" xr:uid="{00000000-0005-0000-0000-0000D5110000}"/>
    <cellStyle name="Normal 3 2 5 3 2" xfId="14863" xr:uid="{AAAB9505-B86D-4255-AF1B-3DB060FA512B}"/>
    <cellStyle name="Normal 3 2 5 4" xfId="10646" xr:uid="{25B3F73A-F64F-40CE-A6A0-150D819774A0}"/>
    <cellStyle name="Normal 3 2 6" xfId="1643" xr:uid="{00000000-0005-0000-0000-0000D6110000}"/>
    <cellStyle name="Normal 3 2 6 2" xfId="3873" xr:uid="{00000000-0005-0000-0000-0000D7110000}"/>
    <cellStyle name="Normal 3 2 6 2 2" xfId="8095" xr:uid="{00000000-0005-0000-0000-0000D8110000}"/>
    <cellStyle name="Normal 3 2 6 2 2 2" xfId="17421" xr:uid="{75074FB8-F3D7-49C8-85B3-98B2EB72C997}"/>
    <cellStyle name="Normal 3 2 6 2 3" xfId="13204" xr:uid="{C6D039FE-678A-4541-A025-E9DF71713D28}"/>
    <cellStyle name="Normal 3 2 6 3" xfId="5950" xr:uid="{00000000-0005-0000-0000-0000D9110000}"/>
    <cellStyle name="Normal 3 2 6 3 2" xfId="15276" xr:uid="{F0EE1CCC-0549-433C-BC50-938B5600EFBE}"/>
    <cellStyle name="Normal 3 2 6 4" xfId="11059" xr:uid="{C1F840D3-2828-41F1-A95F-03EC6651E130}"/>
    <cellStyle name="Normal 3 2 7" xfId="2057" xr:uid="{00000000-0005-0000-0000-0000DA110000}"/>
    <cellStyle name="Normal 3 2 7 2" xfId="4286" xr:uid="{00000000-0005-0000-0000-0000DB110000}"/>
    <cellStyle name="Normal 3 2 7 2 2" xfId="8508" xr:uid="{00000000-0005-0000-0000-0000DC110000}"/>
    <cellStyle name="Normal 3 2 7 2 2 2" xfId="17834" xr:uid="{E1C5C256-56A4-4EB6-9325-FBA4BEC0CCB1}"/>
    <cellStyle name="Normal 3 2 7 2 3" xfId="13617" xr:uid="{6B794D86-3950-4339-8E6E-F218D12B5B9E}"/>
    <cellStyle name="Normal 3 2 7 3" xfId="6363" xr:uid="{00000000-0005-0000-0000-0000DD110000}"/>
    <cellStyle name="Normal 3 2 7 3 2" xfId="15689" xr:uid="{5C0CE836-336D-4417-9403-DBE3E79ED6CF}"/>
    <cellStyle name="Normal 3 2 7 4" xfId="11472" xr:uid="{744229E4-F70B-4666-8679-E3CB8470DC5A}"/>
    <cellStyle name="Normal 3 2 8" xfId="2493" xr:uid="{00000000-0005-0000-0000-0000DE110000}"/>
    <cellStyle name="Normal 3 2 8 2" xfId="6776" xr:uid="{00000000-0005-0000-0000-0000DF110000}"/>
    <cellStyle name="Normal 3 2 8 2 2" xfId="16102" xr:uid="{45CA2E0B-A239-439A-A87E-627358E489B5}"/>
    <cellStyle name="Normal 3 2 8 3" xfId="11885" xr:uid="{5C148195-A7E8-47BE-8C42-9FB29967ADD2}"/>
    <cellStyle name="Normal 3 2 9" xfId="4710" xr:uid="{00000000-0005-0000-0000-0000E0110000}"/>
    <cellStyle name="Normal 3 2 9 2" xfId="14036" xr:uid="{535DBCC6-9DED-4441-A39E-B80DBD0A5D34}"/>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0 2" xfId="18064" xr:uid="{CEBBB9B5-42C2-471F-9882-90612143ED74}"/>
    <cellStyle name="Normal 4 11" xfId="9824" xr:uid="{B8D6D1C3-1FE4-47B6-AA0C-A990B152A778}"/>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0C3114B2-AFC4-4123-AEC9-CC62FC275D9A}"/>
    <cellStyle name="Normal 4 2 2 10 2 3" xfId="13622" xr:uid="{E1227AAB-72CA-4366-ABE8-A1D9F4A2EF1D}"/>
    <cellStyle name="Normal 4 2 2 10 3" xfId="6368" xr:uid="{00000000-0005-0000-0000-0000ED110000}"/>
    <cellStyle name="Normal 4 2 2 10 3 2" xfId="15694" xr:uid="{A058EB4E-96A6-47CA-954A-F38312115DCF}"/>
    <cellStyle name="Normal 4 2 2 10 4" xfId="11477" xr:uid="{D3CEACBB-23BD-483B-80FA-3836A1AD3E09}"/>
    <cellStyle name="Normal 4 2 2 11" xfId="2498" xr:uid="{00000000-0005-0000-0000-0000EE110000}"/>
    <cellStyle name="Normal 4 2 2 11 2" xfId="6781" xr:uid="{00000000-0005-0000-0000-0000EF110000}"/>
    <cellStyle name="Normal 4 2 2 11 2 2" xfId="16107" xr:uid="{963324F2-5ABC-4CB4-A0B8-4C055EE643DA}"/>
    <cellStyle name="Normal 4 2 2 11 3" xfId="11890" xr:uid="{D88643FE-EB39-416A-89FA-B070FAB109E5}"/>
    <cellStyle name="Normal 4 2 2 12" xfId="4716" xr:uid="{00000000-0005-0000-0000-0000F0110000}"/>
    <cellStyle name="Normal 4 2 2 12 2" xfId="14042" xr:uid="{C0AADC90-15DF-47E9-8EC9-7257F0586B8B}"/>
    <cellStyle name="Normal 4 2 2 13" xfId="8752" xr:uid="{7B61EFAC-4165-4615-9A47-7AF5DAE027C9}"/>
    <cellStyle name="Normal 4 2 2 13 2" xfId="18076" xr:uid="{A54AB0D1-F1A3-4792-9F4B-D66940CA830A}"/>
    <cellStyle name="Normal 4 2 2 14" xfId="9825" xr:uid="{1D43CF84-3FF2-4FE2-9FF5-F11A739D29AD}"/>
    <cellStyle name="Normal 4 2 2 2" xfId="338" xr:uid="{00000000-0005-0000-0000-0000F1110000}"/>
    <cellStyle name="Normal 4 2 2 3" xfId="339" xr:uid="{00000000-0005-0000-0000-0000F2110000}"/>
    <cellStyle name="Normal 4 2 2 3 10" xfId="4717" xr:uid="{00000000-0005-0000-0000-0000F3110000}"/>
    <cellStyle name="Normal 4 2 2 3 10 2" xfId="14043" xr:uid="{FBFE6A9E-1376-408B-AC69-57F6C976EF56}"/>
    <cellStyle name="Normal 4 2 2 3 11" xfId="8784" xr:uid="{8AA3A883-811C-4C4A-AFFF-9AAED56BF228}"/>
    <cellStyle name="Normal 4 2 2 3 11 2" xfId="18108" xr:uid="{4B0BB3D9-E84A-4FE3-A562-E9EEF56AFBAC}"/>
    <cellStyle name="Normal 4 2 2 3 12" xfId="9826" xr:uid="{CDED8BAA-3FE2-41DE-87EA-36D5103E205B}"/>
    <cellStyle name="Normal 4 2 2 3 2" xfId="340" xr:uid="{00000000-0005-0000-0000-0000F4110000}"/>
    <cellStyle name="Normal 4 2 2 3 2 10" xfId="8819" xr:uid="{16629302-3759-4242-B07E-BB5D034B10E8}"/>
    <cellStyle name="Normal 4 2 2 3 2 10 2" xfId="18143" xr:uid="{7CE29E28-661E-4A9E-AF58-5F48075F1E74}"/>
    <cellStyle name="Normal 4 2 2 3 2 11" xfId="9827" xr:uid="{DB7D762D-3DB8-44D6-AA6C-951CB39E38DF}"/>
    <cellStyle name="Normal 4 2 2 3 2 2" xfId="341" xr:uid="{00000000-0005-0000-0000-0000F5110000}"/>
    <cellStyle name="Normal 4 2 2 3 2 2 10" xfId="9828" xr:uid="{9D8596F8-3E0D-449B-A1D2-1F9ABC98E787}"/>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AA4869FC-9E1E-42F3-B857-BE9FDA0AE1B5}"/>
    <cellStyle name="Normal 4 2 2 3 2 2 2 2 2 3" xfId="12387" xr:uid="{22F0ABDA-1ABE-4FAA-8E00-2CAFBB8B8C27}"/>
    <cellStyle name="Normal 4 2 2 3 2 2 2 2 3" xfId="5133" xr:uid="{00000000-0005-0000-0000-0000FA110000}"/>
    <cellStyle name="Normal 4 2 2 3 2 2 2 2 3 2" xfId="14459" xr:uid="{D913824F-399A-43BB-897B-88AA5C43C9F0}"/>
    <cellStyle name="Normal 4 2 2 3 2 2 2 2 4" xfId="9554" xr:uid="{BAC669EC-8948-4716-90C3-0688F03300CE}"/>
    <cellStyle name="Normal 4 2 2 3 2 2 2 2 4 2" xfId="18869" xr:uid="{3396201A-E03B-41CA-8907-23F153E52017}"/>
    <cellStyle name="Normal 4 2 2 3 2 2 2 2 5" xfId="10242" xr:uid="{ECF28103-49DB-47EF-A7A2-71A0DC9C5FB5}"/>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5E8E02B7-E591-4355-96F9-21D52543A9F6}"/>
    <cellStyle name="Normal 4 2 2 3 2 2 2 3 2 3" xfId="12800" xr:uid="{7B3B0B7A-946B-4126-9926-F5B6E17829A8}"/>
    <cellStyle name="Normal 4 2 2 3 2 2 2 3 3" xfId="5546" xr:uid="{00000000-0005-0000-0000-0000FE110000}"/>
    <cellStyle name="Normal 4 2 2 3 2 2 2 3 3 2" xfId="14872" xr:uid="{09BA42F5-F62B-463D-A691-FDA1E7D21764}"/>
    <cellStyle name="Normal 4 2 2 3 2 2 2 3 4" xfId="10655" xr:uid="{9C7E76EC-F4A4-436E-9818-C3094A8BE412}"/>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48DE5FD0-5716-43A5-B9E3-04EC20C2C791}"/>
    <cellStyle name="Normal 4 2 2 3 2 2 2 4 2 3" xfId="13213" xr:uid="{5BC42899-4ADC-43C4-8B82-82395C45D4CA}"/>
    <cellStyle name="Normal 4 2 2 3 2 2 2 4 3" xfId="5959" xr:uid="{00000000-0005-0000-0000-000002120000}"/>
    <cellStyle name="Normal 4 2 2 3 2 2 2 4 3 2" xfId="15285" xr:uid="{7D93EAA6-A571-4AD0-9075-8215AB1ACD4B}"/>
    <cellStyle name="Normal 4 2 2 3 2 2 2 4 4" xfId="11068" xr:uid="{E76F1854-BDB4-4659-82BE-CEFE9D9D40EC}"/>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28FDFEB1-C127-4CF9-9EF8-C4C65BACEF1F}"/>
    <cellStyle name="Normal 4 2 2 3 2 2 2 5 2 3" xfId="13626" xr:uid="{951D5165-0E92-48FA-ABA4-A06691356FEA}"/>
    <cellStyle name="Normal 4 2 2 3 2 2 2 5 3" xfId="6372" xr:uid="{00000000-0005-0000-0000-000006120000}"/>
    <cellStyle name="Normal 4 2 2 3 2 2 2 5 3 2" xfId="15698" xr:uid="{9B078AE3-B5DA-4433-A42C-16C20AEEEBD5}"/>
    <cellStyle name="Normal 4 2 2 3 2 2 2 5 4" xfId="11481" xr:uid="{285FE223-95A7-43FB-A0D6-6733E2D2D1B2}"/>
    <cellStyle name="Normal 4 2 2 3 2 2 2 6" xfId="2502" xr:uid="{00000000-0005-0000-0000-000007120000}"/>
    <cellStyle name="Normal 4 2 2 3 2 2 2 6 2" xfId="6785" xr:uid="{00000000-0005-0000-0000-000008120000}"/>
    <cellStyle name="Normal 4 2 2 3 2 2 2 6 2 2" xfId="16111" xr:uid="{2D17CCF1-EB3A-4C11-A943-D16AECC1323D}"/>
    <cellStyle name="Normal 4 2 2 3 2 2 2 6 3" xfId="11894" xr:uid="{F34E5CC3-B300-4843-A43B-4ADAB7CA50F7}"/>
    <cellStyle name="Normal 4 2 2 3 2 2 2 7" xfId="4720" xr:uid="{00000000-0005-0000-0000-000009120000}"/>
    <cellStyle name="Normal 4 2 2 3 2 2 2 7 2" xfId="14046" xr:uid="{77ECFDEF-9B5B-4229-9A28-CD70C41807D5}"/>
    <cellStyle name="Normal 4 2 2 3 2 2 2 8" xfId="9129" xr:uid="{970F8072-C8D6-4D17-95D6-EBF431EAD262}"/>
    <cellStyle name="Normal 4 2 2 3 2 2 2 8 2" xfId="18453" xr:uid="{77DDAEE7-E5F5-41A1-A833-D2AA44906FE7}"/>
    <cellStyle name="Normal 4 2 2 3 2 2 2 9" xfId="9829" xr:uid="{FDDBE47B-9931-4C24-91CF-BE6CFD2AB083}"/>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BFFBCE98-669A-476C-A892-28C59673A06B}"/>
    <cellStyle name="Normal 4 2 2 3 2 2 3 2 3" xfId="12386" xr:uid="{4871E5EA-6D1C-4B4A-9ED3-0669020947DF}"/>
    <cellStyle name="Normal 4 2 2 3 2 2 3 3" xfId="5132" xr:uid="{00000000-0005-0000-0000-00000D120000}"/>
    <cellStyle name="Normal 4 2 2 3 2 2 3 3 2" xfId="14458" xr:uid="{8A516C8B-D4EA-4176-8418-03B416D16E5A}"/>
    <cellStyle name="Normal 4 2 2 3 2 2 3 4" xfId="9347" xr:uid="{8C9012CB-19BB-4242-9F43-373358B13B52}"/>
    <cellStyle name="Normal 4 2 2 3 2 2 3 4 2" xfId="18662" xr:uid="{87B770BC-888D-4931-83E8-FA0E59E69EF7}"/>
    <cellStyle name="Normal 4 2 2 3 2 2 3 5" xfId="10241" xr:uid="{4DE1810D-94C6-40BF-B064-03D2A25826FE}"/>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F23D3732-12D5-4DF9-AE94-741DDE503112}"/>
    <cellStyle name="Normal 4 2 2 3 2 2 4 2 3" xfId="12799" xr:uid="{5BB3D95F-2D6E-4813-932F-00A9D312C4A9}"/>
    <cellStyle name="Normal 4 2 2 3 2 2 4 3" xfId="5545" xr:uid="{00000000-0005-0000-0000-000011120000}"/>
    <cellStyle name="Normal 4 2 2 3 2 2 4 3 2" xfId="14871" xr:uid="{94AFF287-8D03-45B5-AFFD-2B0DA8191875}"/>
    <cellStyle name="Normal 4 2 2 3 2 2 4 4" xfId="10654" xr:uid="{1788AA49-7100-4852-93C7-6896251FA197}"/>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01EB8744-0AB3-4177-8933-7F5766909A2A}"/>
    <cellStyle name="Normal 4 2 2 3 2 2 5 2 3" xfId="13212" xr:uid="{849C59F4-E103-4EE0-9101-41BACF4728B4}"/>
    <cellStyle name="Normal 4 2 2 3 2 2 5 3" xfId="5958" xr:uid="{00000000-0005-0000-0000-000015120000}"/>
    <cellStyle name="Normal 4 2 2 3 2 2 5 3 2" xfId="15284" xr:uid="{7EBD2D80-ECD5-4446-93E8-2256D87043CF}"/>
    <cellStyle name="Normal 4 2 2 3 2 2 5 4" xfId="11067" xr:uid="{32C5E6C1-5451-4FF9-906C-577BE89C24A9}"/>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42D995CF-3C8D-4F82-A009-4AB514EC1F7B}"/>
    <cellStyle name="Normal 4 2 2 3 2 2 6 2 3" xfId="13625" xr:uid="{C800F69E-4D37-42A5-8D11-CE154D6D351A}"/>
    <cellStyle name="Normal 4 2 2 3 2 2 6 3" xfId="6371" xr:uid="{00000000-0005-0000-0000-000019120000}"/>
    <cellStyle name="Normal 4 2 2 3 2 2 6 3 2" xfId="15697" xr:uid="{C1B07E22-8698-4D32-9187-6B2F2D8605F6}"/>
    <cellStyle name="Normal 4 2 2 3 2 2 6 4" xfId="11480" xr:uid="{5639C5F0-DE93-434C-8690-DE8F9A063E4D}"/>
    <cellStyle name="Normal 4 2 2 3 2 2 7" xfId="2501" xr:uid="{00000000-0005-0000-0000-00001A120000}"/>
    <cellStyle name="Normal 4 2 2 3 2 2 7 2" xfId="6784" xr:uid="{00000000-0005-0000-0000-00001B120000}"/>
    <cellStyle name="Normal 4 2 2 3 2 2 7 2 2" xfId="16110" xr:uid="{633C2C50-1C29-4319-84D6-203276814EF8}"/>
    <cellStyle name="Normal 4 2 2 3 2 2 7 3" xfId="11893" xr:uid="{4F22264A-C1E6-4AEC-9CE7-C62D5F31C5AE}"/>
    <cellStyle name="Normal 4 2 2 3 2 2 8" xfId="4719" xr:uid="{00000000-0005-0000-0000-00001C120000}"/>
    <cellStyle name="Normal 4 2 2 3 2 2 8 2" xfId="14045" xr:uid="{B46C9A88-453D-4F84-A4A5-0A7CFA875FBD}"/>
    <cellStyle name="Normal 4 2 2 3 2 2 9" xfId="8922" xr:uid="{32C9E21B-8C85-4874-B28C-82BF39BA84E2}"/>
    <cellStyle name="Normal 4 2 2 3 2 2 9 2" xfId="18246" xr:uid="{9E3DAD74-A8EB-466B-85C6-E9225204660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5BA49D0E-CBF9-4F15-B8B2-A9E926C07EB8}"/>
    <cellStyle name="Normal 4 2 2 3 2 3 2 2 3" xfId="12388" xr:uid="{5554383D-D268-4627-822C-0A68C3E9F010}"/>
    <cellStyle name="Normal 4 2 2 3 2 3 2 3" xfId="5134" xr:uid="{00000000-0005-0000-0000-000021120000}"/>
    <cellStyle name="Normal 4 2 2 3 2 3 2 3 2" xfId="14460" xr:uid="{1D8196E9-F457-41C0-B2F7-6AC6AB92F398}"/>
    <cellStyle name="Normal 4 2 2 3 2 3 2 4" xfId="9451" xr:uid="{85AA9164-95F1-48F2-907A-54AD445D074F}"/>
    <cellStyle name="Normal 4 2 2 3 2 3 2 4 2" xfId="18766" xr:uid="{86D6B8D7-3AAE-4392-982C-C5BB6D239186}"/>
    <cellStyle name="Normal 4 2 2 3 2 3 2 5" xfId="10243" xr:uid="{EDE03990-0D2C-4E5F-BDE5-44208865B976}"/>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B1AAA804-A080-40D6-8632-B9B0998AD6CB}"/>
    <cellStyle name="Normal 4 2 2 3 2 3 3 2 3" xfId="12801" xr:uid="{2730EDA2-5A32-42FF-9D70-4806CF2269C6}"/>
    <cellStyle name="Normal 4 2 2 3 2 3 3 3" xfId="5547" xr:uid="{00000000-0005-0000-0000-000025120000}"/>
    <cellStyle name="Normal 4 2 2 3 2 3 3 3 2" xfId="14873" xr:uid="{6C1483D9-5240-4DD0-A799-76A79B36B7B9}"/>
    <cellStyle name="Normal 4 2 2 3 2 3 3 4" xfId="10656" xr:uid="{0D36902F-327C-49B9-984B-BD824B5EA45E}"/>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D2C3D10B-C509-4493-A4C9-18BAE724FB5A}"/>
    <cellStyle name="Normal 4 2 2 3 2 3 4 2 3" xfId="13214" xr:uid="{8622F07B-93EE-457F-B991-11E780075A67}"/>
    <cellStyle name="Normal 4 2 2 3 2 3 4 3" xfId="5960" xr:uid="{00000000-0005-0000-0000-000029120000}"/>
    <cellStyle name="Normal 4 2 2 3 2 3 4 3 2" xfId="15286" xr:uid="{55178636-7C50-4AFB-AFEC-4475AB25157D}"/>
    <cellStyle name="Normal 4 2 2 3 2 3 4 4" xfId="11069" xr:uid="{F9852DAA-9588-4619-949B-4EAEE49FA9A1}"/>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EB5F3A8F-C376-4902-92E7-A82E1CE7345F}"/>
    <cellStyle name="Normal 4 2 2 3 2 3 5 2 3" xfId="13627" xr:uid="{5FC55D3E-584A-4042-8AD3-6C828A45F972}"/>
    <cellStyle name="Normal 4 2 2 3 2 3 5 3" xfId="6373" xr:uid="{00000000-0005-0000-0000-00002D120000}"/>
    <cellStyle name="Normal 4 2 2 3 2 3 5 3 2" xfId="15699" xr:uid="{3A95C2CE-A07C-4B78-840E-E5BEBF2F776C}"/>
    <cellStyle name="Normal 4 2 2 3 2 3 5 4" xfId="11482" xr:uid="{2D738E2E-CDB9-4605-A54F-419A35BF46C8}"/>
    <cellStyle name="Normal 4 2 2 3 2 3 6" xfId="2503" xr:uid="{00000000-0005-0000-0000-00002E120000}"/>
    <cellStyle name="Normal 4 2 2 3 2 3 6 2" xfId="6786" xr:uid="{00000000-0005-0000-0000-00002F120000}"/>
    <cellStyle name="Normal 4 2 2 3 2 3 6 2 2" xfId="16112" xr:uid="{1AEFB90B-8137-42B5-B790-DB28D24325DE}"/>
    <cellStyle name="Normal 4 2 2 3 2 3 6 3" xfId="11895" xr:uid="{78A801EA-04A1-47B5-BBC1-30B1DA5F6C85}"/>
    <cellStyle name="Normal 4 2 2 3 2 3 7" xfId="4721" xr:uid="{00000000-0005-0000-0000-000030120000}"/>
    <cellStyle name="Normal 4 2 2 3 2 3 7 2" xfId="14047" xr:uid="{3FF95372-A601-40FD-A301-056B053E5410}"/>
    <cellStyle name="Normal 4 2 2 3 2 3 8" xfId="9026" xr:uid="{319D63D3-F71C-4F99-9FD1-E3D0665567E8}"/>
    <cellStyle name="Normal 4 2 2 3 2 3 8 2" xfId="18350" xr:uid="{310E28F2-04DA-485C-99EF-5D205BB88008}"/>
    <cellStyle name="Normal 4 2 2 3 2 3 9" xfId="9830" xr:uid="{86C7F1FB-7389-4932-86CF-3A9AE050CF69}"/>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CF819DD4-4771-4C15-AE97-46473C76D8F2}"/>
    <cellStyle name="Normal 4 2 2 3 2 4 2 3" xfId="12385" xr:uid="{811F3770-A49A-47CB-A7D6-B250DDA621AF}"/>
    <cellStyle name="Normal 4 2 2 3 2 4 3" xfId="5131" xr:uid="{00000000-0005-0000-0000-000034120000}"/>
    <cellStyle name="Normal 4 2 2 3 2 4 3 2" xfId="14457" xr:uid="{66AC51B4-AEFA-454E-B4ED-F7B0FA7415A1}"/>
    <cellStyle name="Normal 4 2 2 3 2 4 4" xfId="9244" xr:uid="{98623F27-324A-40DE-AA2B-56E1FCE087EE}"/>
    <cellStyle name="Normal 4 2 2 3 2 4 4 2" xfId="18559" xr:uid="{0C156825-D699-49F2-8A49-F95E2922B01B}"/>
    <cellStyle name="Normal 4 2 2 3 2 4 5" xfId="10240" xr:uid="{E07C0E68-D28F-4943-9328-8517CE1C1883}"/>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EA6E3E67-011A-4F33-82DF-6EC3ACD0FE2C}"/>
    <cellStyle name="Normal 4 2 2 3 2 5 2 3" xfId="12798" xr:uid="{0C0AF2FA-0D58-44AA-A1BD-DEBC7F1ACE1A}"/>
    <cellStyle name="Normal 4 2 2 3 2 5 3" xfId="5544" xr:uid="{00000000-0005-0000-0000-000038120000}"/>
    <cellStyle name="Normal 4 2 2 3 2 5 3 2" xfId="14870" xr:uid="{77D405AC-5B26-4263-8571-B274D6F28193}"/>
    <cellStyle name="Normal 4 2 2 3 2 5 4" xfId="10653" xr:uid="{A66E03B2-739F-4C2D-AB2C-1B652B62486D}"/>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13C94FA9-1672-488C-B001-EF246161E09F}"/>
    <cellStyle name="Normal 4 2 2 3 2 6 2 3" xfId="13211" xr:uid="{431CA6F8-35B3-4ADF-AFB4-A11A2701D3E5}"/>
    <cellStyle name="Normal 4 2 2 3 2 6 3" xfId="5957" xr:uid="{00000000-0005-0000-0000-00003C120000}"/>
    <cellStyle name="Normal 4 2 2 3 2 6 3 2" xfId="15283" xr:uid="{2645189E-FB71-4978-B9A1-9CC0A070CDF5}"/>
    <cellStyle name="Normal 4 2 2 3 2 6 4" xfId="11066" xr:uid="{5B50DEF6-C3BF-44E5-A00B-9D65DE558C9D}"/>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E24B4F57-7E76-4924-972A-EDA807378B0D}"/>
    <cellStyle name="Normal 4 2 2 3 2 7 2 3" xfId="13624" xr:uid="{89D4CB5E-E3A2-487F-A0F6-431C112724B9}"/>
    <cellStyle name="Normal 4 2 2 3 2 7 3" xfId="6370" xr:uid="{00000000-0005-0000-0000-000040120000}"/>
    <cellStyle name="Normal 4 2 2 3 2 7 3 2" xfId="15696" xr:uid="{4AB2F03C-283A-40E6-946A-8A8753D88FD2}"/>
    <cellStyle name="Normal 4 2 2 3 2 7 4" xfId="11479" xr:uid="{CC790C76-4D6F-4F03-B024-55002A6D0D94}"/>
    <cellStyle name="Normal 4 2 2 3 2 8" xfId="2500" xr:uid="{00000000-0005-0000-0000-000041120000}"/>
    <cellStyle name="Normal 4 2 2 3 2 8 2" xfId="6783" xr:uid="{00000000-0005-0000-0000-000042120000}"/>
    <cellStyle name="Normal 4 2 2 3 2 8 2 2" xfId="16109" xr:uid="{E0837DCE-BED9-40C0-9C09-5148CD0FF391}"/>
    <cellStyle name="Normal 4 2 2 3 2 8 3" xfId="11892" xr:uid="{0F7196B8-A953-4C21-9D4C-B214373EF6C9}"/>
    <cellStyle name="Normal 4 2 2 3 2 9" xfId="4718" xr:uid="{00000000-0005-0000-0000-000043120000}"/>
    <cellStyle name="Normal 4 2 2 3 2 9 2" xfId="14044" xr:uid="{29E58577-70AF-4499-A801-7D95B3EEA334}"/>
    <cellStyle name="Normal 4 2 2 3 3" xfId="344" xr:uid="{00000000-0005-0000-0000-000044120000}"/>
    <cellStyle name="Normal 4 2 2 3 3 10" xfId="9831" xr:uid="{887A8BEF-9465-4E46-A7ED-8B03EDF1CEF3}"/>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CFC58300-BAEF-4872-9338-0381B159AD93}"/>
    <cellStyle name="Normal 4 2 2 3 3 2 2 2 3" xfId="12390" xr:uid="{7E4FE873-B818-47FF-9A73-04214F519254}"/>
    <cellStyle name="Normal 4 2 2 3 3 2 2 3" xfId="5136" xr:uid="{00000000-0005-0000-0000-000049120000}"/>
    <cellStyle name="Normal 4 2 2 3 3 2 2 3 2" xfId="14462" xr:uid="{95E803EF-3323-494D-9303-C3C0E1114844}"/>
    <cellStyle name="Normal 4 2 2 3 3 2 2 4" xfId="9519" xr:uid="{FB4BBD6E-D73B-4ABD-8656-6C15D7932E02}"/>
    <cellStyle name="Normal 4 2 2 3 3 2 2 4 2" xfId="18834" xr:uid="{5DD2E721-9947-4792-9952-38750C13077C}"/>
    <cellStyle name="Normal 4 2 2 3 3 2 2 5" xfId="10245" xr:uid="{F2776DFB-A4FE-4908-B5F8-63881D6EC63A}"/>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B12692A9-B64F-4CF7-BF56-EB8B3AC39C96}"/>
    <cellStyle name="Normal 4 2 2 3 3 2 3 2 3" xfId="12803" xr:uid="{E14A4D69-70B9-46B2-88B5-18E530FCD8D4}"/>
    <cellStyle name="Normal 4 2 2 3 3 2 3 3" xfId="5549" xr:uid="{00000000-0005-0000-0000-00004D120000}"/>
    <cellStyle name="Normal 4 2 2 3 3 2 3 3 2" xfId="14875" xr:uid="{C9D501EC-4E7A-4331-B0CB-F30E224DF696}"/>
    <cellStyle name="Normal 4 2 2 3 3 2 3 4" xfId="10658" xr:uid="{495A83D5-C932-4F5D-BFDB-E4232005ABD7}"/>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E5A98D07-BA53-4DC2-814E-73C2F81D6BBB}"/>
    <cellStyle name="Normal 4 2 2 3 3 2 4 2 3" xfId="13216" xr:uid="{0581FC9A-F49E-4B3A-A85F-F411B06FC282}"/>
    <cellStyle name="Normal 4 2 2 3 3 2 4 3" xfId="5962" xr:uid="{00000000-0005-0000-0000-000051120000}"/>
    <cellStyle name="Normal 4 2 2 3 3 2 4 3 2" xfId="15288" xr:uid="{5B15182C-A38C-45AA-A81B-BE2AC3BFFE56}"/>
    <cellStyle name="Normal 4 2 2 3 3 2 4 4" xfId="11071" xr:uid="{25294E8E-F048-46E7-8131-8C3134325FA4}"/>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6115764D-A0CA-42B5-B8B2-8600420D3590}"/>
    <cellStyle name="Normal 4 2 2 3 3 2 5 2 3" xfId="13629" xr:uid="{D12A430A-FB04-449C-8541-E5E2F57BC379}"/>
    <cellStyle name="Normal 4 2 2 3 3 2 5 3" xfId="6375" xr:uid="{00000000-0005-0000-0000-000055120000}"/>
    <cellStyle name="Normal 4 2 2 3 3 2 5 3 2" xfId="15701" xr:uid="{11AE1D7F-3FEF-4F5F-949C-BBA84BABA3E3}"/>
    <cellStyle name="Normal 4 2 2 3 3 2 5 4" xfId="11484" xr:uid="{343EE63D-B041-4505-8839-706EC5317800}"/>
    <cellStyle name="Normal 4 2 2 3 3 2 6" xfId="2505" xr:uid="{00000000-0005-0000-0000-000056120000}"/>
    <cellStyle name="Normal 4 2 2 3 3 2 6 2" xfId="6788" xr:uid="{00000000-0005-0000-0000-000057120000}"/>
    <cellStyle name="Normal 4 2 2 3 3 2 6 2 2" xfId="16114" xr:uid="{44C9D304-AA7E-4142-A10A-8B8D176EF939}"/>
    <cellStyle name="Normal 4 2 2 3 3 2 6 3" xfId="11897" xr:uid="{4922E5BD-7E0B-4567-9CEE-5925F05BC496}"/>
    <cellStyle name="Normal 4 2 2 3 3 2 7" xfId="4723" xr:uid="{00000000-0005-0000-0000-000058120000}"/>
    <cellStyle name="Normal 4 2 2 3 3 2 7 2" xfId="14049" xr:uid="{E86EFD7F-9DD3-4269-B397-6EC39C81D71D}"/>
    <cellStyle name="Normal 4 2 2 3 3 2 8" xfId="9094" xr:uid="{1333D468-E252-4686-88C1-38A56B910A8E}"/>
    <cellStyle name="Normal 4 2 2 3 3 2 8 2" xfId="18418" xr:uid="{EAAABAC1-B4D6-4E57-BC41-76CA1B85496B}"/>
    <cellStyle name="Normal 4 2 2 3 3 2 9" xfId="9832" xr:uid="{6B72EB9E-0592-4F94-85C5-AF465051152F}"/>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0F3D4A9B-0F31-42CB-9203-0A270F557171}"/>
    <cellStyle name="Normal 4 2 2 3 3 3 2 3" xfId="12389" xr:uid="{410452D1-96E9-41FE-ABA0-AD7D1047C59E}"/>
    <cellStyle name="Normal 4 2 2 3 3 3 3" xfId="5135" xr:uid="{00000000-0005-0000-0000-00005C120000}"/>
    <cellStyle name="Normal 4 2 2 3 3 3 3 2" xfId="14461" xr:uid="{7938741D-D1D6-408B-8D44-F9CCD83BD352}"/>
    <cellStyle name="Normal 4 2 2 3 3 3 4" xfId="9312" xr:uid="{0065946C-778C-4913-8F8B-68BBB1A30769}"/>
    <cellStyle name="Normal 4 2 2 3 3 3 4 2" xfId="18627" xr:uid="{7B96F0DA-483B-42F5-A0BB-7050BEE2F314}"/>
    <cellStyle name="Normal 4 2 2 3 3 3 5" xfId="10244" xr:uid="{51EEDC9C-2CF0-40DB-AF35-3C8EFD56B867}"/>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7554BC14-1440-4BAC-A8A8-96B4518EEF1F}"/>
    <cellStyle name="Normal 4 2 2 3 3 4 2 3" xfId="12802" xr:uid="{6D277EC1-9A6F-46C2-9E67-AE0785D95A35}"/>
    <cellStyle name="Normal 4 2 2 3 3 4 3" xfId="5548" xr:uid="{00000000-0005-0000-0000-000060120000}"/>
    <cellStyle name="Normal 4 2 2 3 3 4 3 2" xfId="14874" xr:uid="{D9CCD205-75CC-49B1-B5CE-754A8F741085}"/>
    <cellStyle name="Normal 4 2 2 3 3 4 4" xfId="10657" xr:uid="{E5F9C94D-EDDE-49A6-B6C7-DAB83BEAE77D}"/>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A8F33F2A-F197-4EDB-8002-EE9F1D664157}"/>
    <cellStyle name="Normal 4 2 2 3 3 5 2 3" xfId="13215" xr:uid="{51B7D42A-BB49-4D99-9E0B-A8B8175CB4E2}"/>
    <cellStyle name="Normal 4 2 2 3 3 5 3" xfId="5961" xr:uid="{00000000-0005-0000-0000-000064120000}"/>
    <cellStyle name="Normal 4 2 2 3 3 5 3 2" xfId="15287" xr:uid="{00F6A74D-3F54-4FCE-84A3-53FBA8474FA9}"/>
    <cellStyle name="Normal 4 2 2 3 3 5 4" xfId="11070" xr:uid="{3A8D3C0F-D814-490B-A8E6-399857221D52}"/>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6D3228A1-880B-4858-A793-76AFC199523A}"/>
    <cellStyle name="Normal 4 2 2 3 3 6 2 3" xfId="13628" xr:uid="{756DA05B-63C5-443A-86B7-AE0CB9DFF454}"/>
    <cellStyle name="Normal 4 2 2 3 3 6 3" xfId="6374" xr:uid="{00000000-0005-0000-0000-000068120000}"/>
    <cellStyle name="Normal 4 2 2 3 3 6 3 2" xfId="15700" xr:uid="{EC65CD06-DED6-46F3-B14A-CE79F5C925D4}"/>
    <cellStyle name="Normal 4 2 2 3 3 6 4" xfId="11483" xr:uid="{90D1CBB0-EC58-4D8F-A267-FFC1A20D1328}"/>
    <cellStyle name="Normal 4 2 2 3 3 7" xfId="2504" xr:uid="{00000000-0005-0000-0000-000069120000}"/>
    <cellStyle name="Normal 4 2 2 3 3 7 2" xfId="6787" xr:uid="{00000000-0005-0000-0000-00006A120000}"/>
    <cellStyle name="Normal 4 2 2 3 3 7 2 2" xfId="16113" xr:uid="{9F7887EF-A034-4D43-BBCA-C3265BCB55E6}"/>
    <cellStyle name="Normal 4 2 2 3 3 7 3" xfId="11896" xr:uid="{5E42752B-4453-40E7-90BB-C0743530EBC0}"/>
    <cellStyle name="Normal 4 2 2 3 3 8" xfId="4722" xr:uid="{00000000-0005-0000-0000-00006B120000}"/>
    <cellStyle name="Normal 4 2 2 3 3 8 2" xfId="14048" xr:uid="{3E87B506-427D-4B75-9C1D-BE412FE6FD27}"/>
    <cellStyle name="Normal 4 2 2 3 3 9" xfId="8887" xr:uid="{FD79599D-FD4F-44F4-A7A6-B948A2C15DD2}"/>
    <cellStyle name="Normal 4 2 2 3 3 9 2" xfId="18211" xr:uid="{8F8C4495-2A9B-42C7-9F09-759E9200603B}"/>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424E370F-279F-4E38-8D50-196A5C854453}"/>
    <cellStyle name="Normal 4 2 2 3 4 2 2 3" xfId="12391" xr:uid="{A50A5566-EC65-476A-9E1B-12210FBD34EC}"/>
    <cellStyle name="Normal 4 2 2 3 4 2 3" xfId="5137" xr:uid="{00000000-0005-0000-0000-000070120000}"/>
    <cellStyle name="Normal 4 2 2 3 4 2 3 2" xfId="14463" xr:uid="{5A6E55FD-C8B1-44D6-B06B-B9766BF50CBE}"/>
    <cellStyle name="Normal 4 2 2 3 4 2 4" xfId="9416" xr:uid="{B0F1A5CD-0EDE-48A7-9669-6902681F696C}"/>
    <cellStyle name="Normal 4 2 2 3 4 2 4 2" xfId="18731" xr:uid="{C78047D7-A41A-4A0B-AC33-A4693C2172C4}"/>
    <cellStyle name="Normal 4 2 2 3 4 2 5" xfId="10246" xr:uid="{AF06D08A-FFD6-41DA-85B1-93B04CA9938F}"/>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07E26F49-2C04-474D-B15A-D15D6AD44CED}"/>
    <cellStyle name="Normal 4 2 2 3 4 3 2 3" xfId="12804" xr:uid="{53A706C6-1515-420D-B5C9-7F241EE550A3}"/>
    <cellStyle name="Normal 4 2 2 3 4 3 3" xfId="5550" xr:uid="{00000000-0005-0000-0000-000074120000}"/>
    <cellStyle name="Normal 4 2 2 3 4 3 3 2" xfId="14876" xr:uid="{D91F833C-3B4C-4246-B977-88DAA729852C}"/>
    <cellStyle name="Normal 4 2 2 3 4 3 4" xfId="10659" xr:uid="{42512D19-822D-4508-8E5C-C23054D0877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9FF55847-0CE7-49F2-86E6-9B6D6E83958B}"/>
    <cellStyle name="Normal 4 2 2 3 4 4 2 3" xfId="13217" xr:uid="{525E2C03-3C05-44FD-8DB1-58BDB3410F2E}"/>
    <cellStyle name="Normal 4 2 2 3 4 4 3" xfId="5963" xr:uid="{00000000-0005-0000-0000-000078120000}"/>
    <cellStyle name="Normal 4 2 2 3 4 4 3 2" xfId="15289" xr:uid="{B276F1C0-CE0D-423B-867C-080B49B8CCB7}"/>
    <cellStyle name="Normal 4 2 2 3 4 4 4" xfId="11072" xr:uid="{588907AB-3A55-468D-B8C1-7F47707AD795}"/>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4E37ACA0-651C-46AF-9D5A-6B64E4737218}"/>
    <cellStyle name="Normal 4 2 2 3 4 5 2 3" xfId="13630" xr:uid="{C2E13556-58F5-49D9-B80C-B005C1BD0729}"/>
    <cellStyle name="Normal 4 2 2 3 4 5 3" xfId="6376" xr:uid="{00000000-0005-0000-0000-00007C120000}"/>
    <cellStyle name="Normal 4 2 2 3 4 5 3 2" xfId="15702" xr:uid="{1E141E08-DE7B-4008-87E0-493DF425BF8F}"/>
    <cellStyle name="Normal 4 2 2 3 4 5 4" xfId="11485" xr:uid="{B015F66C-6EBA-49F6-85D6-D7956CB9150B}"/>
    <cellStyle name="Normal 4 2 2 3 4 6" xfId="2506" xr:uid="{00000000-0005-0000-0000-00007D120000}"/>
    <cellStyle name="Normal 4 2 2 3 4 6 2" xfId="6789" xr:uid="{00000000-0005-0000-0000-00007E120000}"/>
    <cellStyle name="Normal 4 2 2 3 4 6 2 2" xfId="16115" xr:uid="{A9A9DAB4-1416-4BAE-83D7-7AC29CAA3B7D}"/>
    <cellStyle name="Normal 4 2 2 3 4 6 3" xfId="11898" xr:uid="{CA436549-7DAD-4335-8074-40C28CAAC3EA}"/>
    <cellStyle name="Normal 4 2 2 3 4 7" xfId="4724" xr:uid="{00000000-0005-0000-0000-00007F120000}"/>
    <cellStyle name="Normal 4 2 2 3 4 7 2" xfId="14050" xr:uid="{9641AACB-3F4A-419A-9E1A-F740DADF5B82}"/>
    <cellStyle name="Normal 4 2 2 3 4 8" xfId="8991" xr:uid="{84464EC3-90C2-4B18-8399-135C935528F7}"/>
    <cellStyle name="Normal 4 2 2 3 4 8 2" xfId="18315" xr:uid="{E9720A6F-B70A-459A-9751-F5C23035879C}"/>
    <cellStyle name="Normal 4 2 2 3 4 9" xfId="9833" xr:uid="{0566A0AF-4DA0-4197-9C21-8E1BE3FCB5D1}"/>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1780BC08-59D8-4BEB-961B-2660C88ECBBA}"/>
    <cellStyle name="Normal 4 2 2 3 5 2 3" xfId="12384" xr:uid="{DD3FB2D1-150E-45EA-9E85-C41CAFDECFA4}"/>
    <cellStyle name="Normal 4 2 2 3 5 3" xfId="5130" xr:uid="{00000000-0005-0000-0000-000083120000}"/>
    <cellStyle name="Normal 4 2 2 3 5 3 2" xfId="14456" xr:uid="{19383C0B-CBEF-4890-854E-9F35B0D5479E}"/>
    <cellStyle name="Normal 4 2 2 3 5 4" xfId="9208" xr:uid="{7BF9CD11-B90D-42F2-928D-A8BE344C6F46}"/>
    <cellStyle name="Normal 4 2 2 3 5 4 2" xfId="18524" xr:uid="{C233479F-1154-4A44-846D-B8A1FBE9F5ED}"/>
    <cellStyle name="Normal 4 2 2 3 5 5" xfId="10239" xr:uid="{E28286D6-FAC2-4E1B-8911-3DF29C1F91E8}"/>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3F144ED6-7E05-474B-B8E1-6711876E109A}"/>
    <cellStyle name="Normal 4 2 2 3 6 2 3" xfId="12797" xr:uid="{34B4CF26-AF15-4461-AF2E-739EF9716D72}"/>
    <cellStyle name="Normal 4 2 2 3 6 3" xfId="5543" xr:uid="{00000000-0005-0000-0000-000087120000}"/>
    <cellStyle name="Normal 4 2 2 3 6 3 2" xfId="14869" xr:uid="{23D19625-76FF-4EDC-9446-ABA03A0AF7C0}"/>
    <cellStyle name="Normal 4 2 2 3 6 4" xfId="10652" xr:uid="{0A212EB4-D6A3-428E-98E6-4B544E5F3F75}"/>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F1146E30-B0D3-41BA-8497-DD95BA109FB4}"/>
    <cellStyle name="Normal 4 2 2 3 7 2 3" xfId="13210" xr:uid="{C06302F5-FC13-4C28-B864-DFC81B9070F7}"/>
    <cellStyle name="Normal 4 2 2 3 7 3" xfId="5956" xr:uid="{00000000-0005-0000-0000-00008B120000}"/>
    <cellStyle name="Normal 4 2 2 3 7 3 2" xfId="15282" xr:uid="{4AC8295D-46B6-4F1D-8EAB-25871A4C9CB5}"/>
    <cellStyle name="Normal 4 2 2 3 7 4" xfId="11065" xr:uid="{B2E2399D-E21A-48F5-81BB-93512864C8C3}"/>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65FABE0E-3FAF-4587-BB18-2728405646F2}"/>
    <cellStyle name="Normal 4 2 2 3 8 2 3" xfId="13623" xr:uid="{15181579-308D-47B6-8753-02BFD17507F3}"/>
    <cellStyle name="Normal 4 2 2 3 8 3" xfId="6369" xr:uid="{00000000-0005-0000-0000-00008F120000}"/>
    <cellStyle name="Normal 4 2 2 3 8 3 2" xfId="15695" xr:uid="{8FEAEBFB-8D30-41EB-8E4B-3B05F2557107}"/>
    <cellStyle name="Normal 4 2 2 3 8 4" xfId="11478" xr:uid="{616F025F-57FA-46B4-B87D-5FC2E60237CF}"/>
    <cellStyle name="Normal 4 2 2 3 9" xfId="2499" xr:uid="{00000000-0005-0000-0000-000090120000}"/>
    <cellStyle name="Normal 4 2 2 3 9 2" xfId="6782" xr:uid="{00000000-0005-0000-0000-000091120000}"/>
    <cellStyle name="Normal 4 2 2 3 9 2 2" xfId="16108" xr:uid="{BD0EA37A-C83E-42F6-8666-16E0AF197DEB}"/>
    <cellStyle name="Normal 4 2 2 3 9 3" xfId="11891" xr:uid="{B4C72AB8-4AC1-457F-BAA5-EAB23BD8D609}"/>
    <cellStyle name="Normal 4 2 2 4" xfId="347" xr:uid="{00000000-0005-0000-0000-000092120000}"/>
    <cellStyle name="Normal 4 2 2 4 10" xfId="8818" xr:uid="{A73977A7-52C6-4368-9F59-166E1B99BBDE}"/>
    <cellStyle name="Normal 4 2 2 4 10 2" xfId="18142" xr:uid="{546A1CBD-882D-4359-B44F-3D7290A97D6F}"/>
    <cellStyle name="Normal 4 2 2 4 11" xfId="9834" xr:uid="{8AEE6F7C-5205-4BBE-982C-3EFD80003A9C}"/>
    <cellStyle name="Normal 4 2 2 4 2" xfId="348" xr:uid="{00000000-0005-0000-0000-000093120000}"/>
    <cellStyle name="Normal 4 2 2 4 2 10" xfId="9835" xr:uid="{F4899BBE-72E3-42D7-8473-FBD892DA4693}"/>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A6C57C14-45F2-469A-B2EF-21A385C13E2A}"/>
    <cellStyle name="Normal 4 2 2 4 2 2 2 2 3" xfId="12394" xr:uid="{930FAFD7-F02A-4DF4-B052-172958ACB7FE}"/>
    <cellStyle name="Normal 4 2 2 4 2 2 2 3" xfId="5140" xr:uid="{00000000-0005-0000-0000-000098120000}"/>
    <cellStyle name="Normal 4 2 2 4 2 2 2 3 2" xfId="14466" xr:uid="{EDE9ED5F-EB59-4EA6-AF60-69F5F20D3396}"/>
    <cellStyle name="Normal 4 2 2 4 2 2 2 4" xfId="9553" xr:uid="{7FCAF883-2374-4470-BA95-AD8EB054639C}"/>
    <cellStyle name="Normal 4 2 2 4 2 2 2 4 2" xfId="18868" xr:uid="{B7FC1430-0E84-4E3D-B67C-8181B3191B5C}"/>
    <cellStyle name="Normal 4 2 2 4 2 2 2 5" xfId="10249" xr:uid="{42C07588-0721-4836-BA2B-B5EA29D68D6A}"/>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6D7C6C5A-921C-4D59-AFA3-6B9CCAC2D3C8}"/>
    <cellStyle name="Normal 4 2 2 4 2 2 3 2 3" xfId="12807" xr:uid="{74C685F3-80F1-4B7D-B228-ADAF3291F7C7}"/>
    <cellStyle name="Normal 4 2 2 4 2 2 3 3" xfId="5553" xr:uid="{00000000-0005-0000-0000-00009C120000}"/>
    <cellStyle name="Normal 4 2 2 4 2 2 3 3 2" xfId="14879" xr:uid="{548A4E8C-9BF4-4DBB-9C0D-9700CF28043D}"/>
    <cellStyle name="Normal 4 2 2 4 2 2 3 4" xfId="10662" xr:uid="{E8B2BDDC-E995-40C8-9EE5-0FFB61536694}"/>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C01051C5-DCB7-46D9-85D9-66F6C034AE51}"/>
    <cellStyle name="Normal 4 2 2 4 2 2 4 2 3" xfId="13220" xr:uid="{BBE8C17E-6713-445B-8E65-58935F16C306}"/>
    <cellStyle name="Normal 4 2 2 4 2 2 4 3" xfId="5966" xr:uid="{00000000-0005-0000-0000-0000A0120000}"/>
    <cellStyle name="Normal 4 2 2 4 2 2 4 3 2" xfId="15292" xr:uid="{8686D080-F74C-4D1F-82B8-1782C1CD4633}"/>
    <cellStyle name="Normal 4 2 2 4 2 2 4 4" xfId="11075" xr:uid="{6A32EA7A-23E0-4399-8BA8-ACABE03FCAEB}"/>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F66054F0-D05E-4564-BC6B-DC079230E693}"/>
    <cellStyle name="Normal 4 2 2 4 2 2 5 2 3" xfId="13633" xr:uid="{A5EE3862-5DC6-4321-9CF5-8A742FF50D6E}"/>
    <cellStyle name="Normal 4 2 2 4 2 2 5 3" xfId="6379" xr:uid="{00000000-0005-0000-0000-0000A4120000}"/>
    <cellStyle name="Normal 4 2 2 4 2 2 5 3 2" xfId="15705" xr:uid="{03D8E121-3D11-4987-A0D2-D0872B4A2121}"/>
    <cellStyle name="Normal 4 2 2 4 2 2 5 4" xfId="11488" xr:uid="{8B4AA10F-3610-440E-B594-0D341075123F}"/>
    <cellStyle name="Normal 4 2 2 4 2 2 6" xfId="2509" xr:uid="{00000000-0005-0000-0000-0000A5120000}"/>
    <cellStyle name="Normal 4 2 2 4 2 2 6 2" xfId="6792" xr:uid="{00000000-0005-0000-0000-0000A6120000}"/>
    <cellStyle name="Normal 4 2 2 4 2 2 6 2 2" xfId="16118" xr:uid="{C1AE7BE0-C2B1-4D39-BD1F-A4BCC2B9FEC8}"/>
    <cellStyle name="Normal 4 2 2 4 2 2 6 3" xfId="11901" xr:uid="{9B8814AF-EFDB-471A-8811-7732BEB21FF1}"/>
    <cellStyle name="Normal 4 2 2 4 2 2 7" xfId="4727" xr:uid="{00000000-0005-0000-0000-0000A7120000}"/>
    <cellStyle name="Normal 4 2 2 4 2 2 7 2" xfId="14053" xr:uid="{105FC9EB-5B65-430E-BCC4-B7D2BB3F9E43}"/>
    <cellStyle name="Normal 4 2 2 4 2 2 8" xfId="9128" xr:uid="{3D9AD2A4-E3D1-4BAF-8F43-BFB1FE8E222D}"/>
    <cellStyle name="Normal 4 2 2 4 2 2 8 2" xfId="18452" xr:uid="{5AB83676-D845-4C43-8640-28EC952C04A0}"/>
    <cellStyle name="Normal 4 2 2 4 2 2 9" xfId="9836" xr:uid="{6F03E864-EC0D-4A56-9C0E-F443B0A20E45}"/>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30B448AA-C3A6-4D88-97CD-D8E895C8A749}"/>
    <cellStyle name="Normal 4 2 2 4 2 3 2 3" xfId="12393" xr:uid="{A077D67A-4F26-4DAD-BDAB-29D3EDF50993}"/>
    <cellStyle name="Normal 4 2 2 4 2 3 3" xfId="5139" xr:uid="{00000000-0005-0000-0000-0000AB120000}"/>
    <cellStyle name="Normal 4 2 2 4 2 3 3 2" xfId="14465" xr:uid="{269D4C18-EED0-4B24-BFFF-C1BA3E2B58E6}"/>
    <cellStyle name="Normal 4 2 2 4 2 3 4" xfId="9346" xr:uid="{11110DEC-01F5-467C-B0F9-3286FF7E57CB}"/>
    <cellStyle name="Normal 4 2 2 4 2 3 4 2" xfId="18661" xr:uid="{D6C76421-F2D6-46EE-AE22-56D3F1BDD1B5}"/>
    <cellStyle name="Normal 4 2 2 4 2 3 5" xfId="10248" xr:uid="{AF4D8B18-E8B3-415B-97A2-58E18118B0D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FBA59506-2A7B-48A7-AC82-DEF0C5649BBD}"/>
    <cellStyle name="Normal 4 2 2 4 2 4 2 3" xfId="12806" xr:uid="{BED48C7A-D956-4308-97BE-A18B86D17FB5}"/>
    <cellStyle name="Normal 4 2 2 4 2 4 3" xfId="5552" xr:uid="{00000000-0005-0000-0000-0000AF120000}"/>
    <cellStyle name="Normal 4 2 2 4 2 4 3 2" xfId="14878" xr:uid="{0E367C43-D00B-45B7-8560-948BF9033097}"/>
    <cellStyle name="Normal 4 2 2 4 2 4 4" xfId="10661" xr:uid="{62546006-AA04-40A4-98DD-CDF8906EA912}"/>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E2A73249-767B-4B5F-8663-7999CC82FBCC}"/>
    <cellStyle name="Normal 4 2 2 4 2 5 2 3" xfId="13219" xr:uid="{6742D595-7B52-4A9F-8503-C2F359FC8D2F}"/>
    <cellStyle name="Normal 4 2 2 4 2 5 3" xfId="5965" xr:uid="{00000000-0005-0000-0000-0000B3120000}"/>
    <cellStyle name="Normal 4 2 2 4 2 5 3 2" xfId="15291" xr:uid="{C6934C37-C051-4864-B398-F334FE1351AC}"/>
    <cellStyle name="Normal 4 2 2 4 2 5 4" xfId="11074" xr:uid="{949A1115-130D-4857-A12C-90C0BDCBB0A7}"/>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B680ABE9-0945-4385-9464-41C56629DA02}"/>
    <cellStyle name="Normal 4 2 2 4 2 6 2 3" xfId="13632" xr:uid="{B9C73DE1-48EB-41DF-978C-0D0D652E6151}"/>
    <cellStyle name="Normal 4 2 2 4 2 6 3" xfId="6378" xr:uid="{00000000-0005-0000-0000-0000B7120000}"/>
    <cellStyle name="Normal 4 2 2 4 2 6 3 2" xfId="15704" xr:uid="{A96710A4-469A-4D40-A647-5E094E011046}"/>
    <cellStyle name="Normal 4 2 2 4 2 6 4" xfId="11487" xr:uid="{769D70FF-4B72-49F2-8990-02D9421F89CF}"/>
    <cellStyle name="Normal 4 2 2 4 2 7" xfId="2508" xr:uid="{00000000-0005-0000-0000-0000B8120000}"/>
    <cellStyle name="Normal 4 2 2 4 2 7 2" xfId="6791" xr:uid="{00000000-0005-0000-0000-0000B9120000}"/>
    <cellStyle name="Normal 4 2 2 4 2 7 2 2" xfId="16117" xr:uid="{9CA4A3D8-1EA1-402D-A492-BF7A793BCED1}"/>
    <cellStyle name="Normal 4 2 2 4 2 7 3" xfId="11900" xr:uid="{8830D41B-8D1E-4846-AB8B-1C1F2DC98D62}"/>
    <cellStyle name="Normal 4 2 2 4 2 8" xfId="4726" xr:uid="{00000000-0005-0000-0000-0000BA120000}"/>
    <cellStyle name="Normal 4 2 2 4 2 8 2" xfId="14052" xr:uid="{BD9B9601-3ED2-42A6-BEDA-D5833F33EE8F}"/>
    <cellStyle name="Normal 4 2 2 4 2 9" xfId="8921" xr:uid="{43AA3CA1-A6D2-47CC-8276-CBFAB7238AA6}"/>
    <cellStyle name="Normal 4 2 2 4 2 9 2" xfId="18245" xr:uid="{EA197727-D096-4ECC-BD53-000CBB4C90C3}"/>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C198AAD3-4324-41CC-B7DE-8670D7092ACE}"/>
    <cellStyle name="Normal 4 2 2 4 3 2 2 3" xfId="12395" xr:uid="{A1E50CA3-98F2-4BA1-ABD0-CC01C9326621}"/>
    <cellStyle name="Normal 4 2 2 4 3 2 3" xfId="5141" xr:uid="{00000000-0005-0000-0000-0000BF120000}"/>
    <cellStyle name="Normal 4 2 2 4 3 2 3 2" xfId="14467" xr:uid="{D8C01CC2-0845-4A0D-ABD9-D8A20ABE9CEF}"/>
    <cellStyle name="Normal 4 2 2 4 3 2 4" xfId="9450" xr:uid="{0F54578A-5DA3-4B6E-9E36-71CC7CD6BFE8}"/>
    <cellStyle name="Normal 4 2 2 4 3 2 4 2" xfId="18765" xr:uid="{E9B4526A-2359-4545-A0F5-2621C4FCE889}"/>
    <cellStyle name="Normal 4 2 2 4 3 2 5" xfId="10250" xr:uid="{F052A454-D662-4B93-BE2C-5AE52B07C3F2}"/>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C3007DFF-E99C-404A-A1B8-5E2C2789994E}"/>
    <cellStyle name="Normal 4 2 2 4 3 3 2 3" xfId="12808" xr:uid="{101BECE6-F7C3-4E1A-8774-48D79D4D0A3C}"/>
    <cellStyle name="Normal 4 2 2 4 3 3 3" xfId="5554" xr:uid="{00000000-0005-0000-0000-0000C3120000}"/>
    <cellStyle name="Normal 4 2 2 4 3 3 3 2" xfId="14880" xr:uid="{84952A4D-936E-404D-9A8F-D83959BCFCA1}"/>
    <cellStyle name="Normal 4 2 2 4 3 3 4" xfId="10663" xr:uid="{B77A799B-DB6A-40B6-ABA9-E6A0FD45AE51}"/>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4B8D1E7B-92C1-42AD-B8FB-AEC9D7669FBA}"/>
    <cellStyle name="Normal 4 2 2 4 3 4 2 3" xfId="13221" xr:uid="{E7E33ECD-442B-45A0-9E2F-76F0C26F0F8F}"/>
    <cellStyle name="Normal 4 2 2 4 3 4 3" xfId="5967" xr:uid="{00000000-0005-0000-0000-0000C7120000}"/>
    <cellStyle name="Normal 4 2 2 4 3 4 3 2" xfId="15293" xr:uid="{3646F41E-40EC-4844-B0BE-5CBC66C90253}"/>
    <cellStyle name="Normal 4 2 2 4 3 4 4" xfId="11076" xr:uid="{1F8DAB2C-B253-412B-A2A5-8CC92837228D}"/>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A1B8C659-C365-4A86-AA1C-3876255D6392}"/>
    <cellStyle name="Normal 4 2 2 4 3 5 2 3" xfId="13634" xr:uid="{8A36A3C7-3652-40DC-8BE7-4ACB01A6E4FA}"/>
    <cellStyle name="Normal 4 2 2 4 3 5 3" xfId="6380" xr:uid="{00000000-0005-0000-0000-0000CB120000}"/>
    <cellStyle name="Normal 4 2 2 4 3 5 3 2" xfId="15706" xr:uid="{A1B57056-6337-4746-B0EB-6E3835EC0B98}"/>
    <cellStyle name="Normal 4 2 2 4 3 5 4" xfId="11489" xr:uid="{FD2C6A95-BCE9-4575-BD2F-FC253E7C699B}"/>
    <cellStyle name="Normal 4 2 2 4 3 6" xfId="2510" xr:uid="{00000000-0005-0000-0000-0000CC120000}"/>
    <cellStyle name="Normal 4 2 2 4 3 6 2" xfId="6793" xr:uid="{00000000-0005-0000-0000-0000CD120000}"/>
    <cellStyle name="Normal 4 2 2 4 3 6 2 2" xfId="16119" xr:uid="{5C72CBE7-CF39-4F08-AA67-63433D2659BB}"/>
    <cellStyle name="Normal 4 2 2 4 3 6 3" xfId="11902" xr:uid="{C0226A8F-D590-41B4-A636-D2043D4BEF73}"/>
    <cellStyle name="Normal 4 2 2 4 3 7" xfId="4728" xr:uid="{00000000-0005-0000-0000-0000CE120000}"/>
    <cellStyle name="Normal 4 2 2 4 3 7 2" xfId="14054" xr:uid="{C2B3E604-F0FF-4A7B-95BD-2A1B04FFCE87}"/>
    <cellStyle name="Normal 4 2 2 4 3 8" xfId="9025" xr:uid="{436CB353-A916-4AB2-B5E2-8C1BDAEA1182}"/>
    <cellStyle name="Normal 4 2 2 4 3 8 2" xfId="18349" xr:uid="{F97B18A6-0F23-45CD-B42D-4CA9003C3ED0}"/>
    <cellStyle name="Normal 4 2 2 4 3 9" xfId="9837" xr:uid="{24F100D4-6BF4-4F8A-B9ED-2C60F382EC44}"/>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DBC6EFB1-36E1-4A2D-A75F-3261E0141139}"/>
    <cellStyle name="Normal 4 2 2 4 4 2 3" xfId="12392" xr:uid="{B72D39F9-8B7F-4F85-B6F2-846998286860}"/>
    <cellStyle name="Normal 4 2 2 4 4 3" xfId="5138" xr:uid="{00000000-0005-0000-0000-0000D2120000}"/>
    <cellStyle name="Normal 4 2 2 4 4 3 2" xfId="14464" xr:uid="{63A6C6AA-5870-4573-9CD0-90DA5198C1D9}"/>
    <cellStyle name="Normal 4 2 2 4 4 4" xfId="9243" xr:uid="{FD46A281-F5BE-478B-950E-209D1D56FC0E}"/>
    <cellStyle name="Normal 4 2 2 4 4 4 2" xfId="18558" xr:uid="{B50BE62D-06E4-4E3D-9040-02C71D86891B}"/>
    <cellStyle name="Normal 4 2 2 4 4 5" xfId="10247" xr:uid="{684C43DE-A97E-4F3C-A266-4A27D3BA6475}"/>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D294C75F-D25F-4251-AE87-2B177FECF5D1}"/>
    <cellStyle name="Normal 4 2 2 4 5 2 3" xfId="12805" xr:uid="{67E4B1AC-C7DD-4270-887C-5CAEBBE84692}"/>
    <cellStyle name="Normal 4 2 2 4 5 3" xfId="5551" xr:uid="{00000000-0005-0000-0000-0000D6120000}"/>
    <cellStyle name="Normal 4 2 2 4 5 3 2" xfId="14877" xr:uid="{F8DDE997-215B-4E67-BFBA-504EE14577D6}"/>
    <cellStyle name="Normal 4 2 2 4 5 4" xfId="10660" xr:uid="{1B61A21D-E55C-489A-B66D-FC8956A7CD58}"/>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A271814C-6648-4F95-8367-7B4B3B1B1FDD}"/>
    <cellStyle name="Normal 4 2 2 4 6 2 3" xfId="13218" xr:uid="{2AFA03B2-6393-422C-8F76-3B3AC7E4CF98}"/>
    <cellStyle name="Normal 4 2 2 4 6 3" xfId="5964" xr:uid="{00000000-0005-0000-0000-0000DA120000}"/>
    <cellStyle name="Normal 4 2 2 4 6 3 2" xfId="15290" xr:uid="{FFA45EA1-1E8E-4B55-A2A6-FE251FDA3ECF}"/>
    <cellStyle name="Normal 4 2 2 4 6 4" xfId="11073" xr:uid="{2C9D3AD2-D737-4117-BC16-E77C2DB39EE3}"/>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4BBA4520-EE38-42F1-A0F3-C077198E913D}"/>
    <cellStyle name="Normal 4 2 2 4 7 2 3" xfId="13631" xr:uid="{C30165F3-13FF-4672-B559-24EB3D668BD6}"/>
    <cellStyle name="Normal 4 2 2 4 7 3" xfId="6377" xr:uid="{00000000-0005-0000-0000-0000DE120000}"/>
    <cellStyle name="Normal 4 2 2 4 7 3 2" xfId="15703" xr:uid="{765FF8DB-3D79-4AC8-AC36-F395512B4706}"/>
    <cellStyle name="Normal 4 2 2 4 7 4" xfId="11486" xr:uid="{64A77B7F-970C-4C09-8D4B-6B80CFAA8BEA}"/>
    <cellStyle name="Normal 4 2 2 4 8" xfId="2507" xr:uid="{00000000-0005-0000-0000-0000DF120000}"/>
    <cellStyle name="Normal 4 2 2 4 8 2" xfId="6790" xr:uid="{00000000-0005-0000-0000-0000E0120000}"/>
    <cellStyle name="Normal 4 2 2 4 8 2 2" xfId="16116" xr:uid="{B4B12AD8-45E3-4B23-A7DA-0D7FBB8BAE4B}"/>
    <cellStyle name="Normal 4 2 2 4 8 3" xfId="11899" xr:uid="{A9B61E61-FBAC-45BE-8DAB-057293F232A8}"/>
    <cellStyle name="Normal 4 2 2 4 9" xfId="4725" xr:uid="{00000000-0005-0000-0000-0000E1120000}"/>
    <cellStyle name="Normal 4 2 2 4 9 2" xfId="14051" xr:uid="{99456E25-C5F7-42E3-B523-65451478BCFF}"/>
    <cellStyle name="Normal 4 2 2 5" xfId="351" xr:uid="{00000000-0005-0000-0000-0000E2120000}"/>
    <cellStyle name="Normal 4 2 2 5 10" xfId="9838" xr:uid="{0F99677D-03B7-4D49-947F-A18244D9E063}"/>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B4537247-D800-4159-82F1-7BD16DF09445}"/>
    <cellStyle name="Normal 4 2 2 5 2 2 2 3" xfId="12397" xr:uid="{331AFE7A-DD68-4D89-AA8D-F597AF74A152}"/>
    <cellStyle name="Normal 4 2 2 5 2 2 3" xfId="5143" xr:uid="{00000000-0005-0000-0000-0000E7120000}"/>
    <cellStyle name="Normal 4 2 2 5 2 2 3 2" xfId="14469" xr:uid="{78784F7F-ACF2-497F-BCEB-E0DA0C48E6ED}"/>
    <cellStyle name="Normal 4 2 2 5 2 2 4" xfId="9487" xr:uid="{83D2756E-B983-4EA9-AB48-FF4D3E821CE4}"/>
    <cellStyle name="Normal 4 2 2 5 2 2 4 2" xfId="18802" xr:uid="{E47ABD2C-A7E6-495F-B568-35FB07A7A6DD}"/>
    <cellStyle name="Normal 4 2 2 5 2 2 5" xfId="10252" xr:uid="{BE9B3B4F-00B4-4E3D-B7FC-808481C5BF2B}"/>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33102FA5-072E-4284-BA78-D8AA87D2EA03}"/>
    <cellStyle name="Normal 4 2 2 5 2 3 2 3" xfId="12810" xr:uid="{87DCE89E-116C-477D-AC2D-8705315E29C9}"/>
    <cellStyle name="Normal 4 2 2 5 2 3 3" xfId="5556" xr:uid="{00000000-0005-0000-0000-0000EB120000}"/>
    <cellStyle name="Normal 4 2 2 5 2 3 3 2" xfId="14882" xr:uid="{F268BB63-93E4-4717-8F27-A29C3357A7AD}"/>
    <cellStyle name="Normal 4 2 2 5 2 3 4" xfId="10665" xr:uid="{C6FE5DEE-2CC9-4B35-BDE4-FB84E582828E}"/>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3C426DEC-1E1E-47A3-B1E0-0526C60EC3B6}"/>
    <cellStyle name="Normal 4 2 2 5 2 4 2 3" xfId="13223" xr:uid="{2A0EA5D7-8382-4AEF-9693-CBB531392712}"/>
    <cellStyle name="Normal 4 2 2 5 2 4 3" xfId="5969" xr:uid="{00000000-0005-0000-0000-0000EF120000}"/>
    <cellStyle name="Normal 4 2 2 5 2 4 3 2" xfId="15295" xr:uid="{AFBB1729-73C5-4845-ACA5-CAF20082B3F7}"/>
    <cellStyle name="Normal 4 2 2 5 2 4 4" xfId="11078" xr:uid="{B3B00D64-999C-4F53-BEB5-9F107D465638}"/>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83E8F7E1-BA83-4A3E-93FB-1F0A706B4E54}"/>
    <cellStyle name="Normal 4 2 2 5 2 5 2 3" xfId="13636" xr:uid="{8BA83A6C-EDFC-466D-90A1-DF193D6FE59C}"/>
    <cellStyle name="Normal 4 2 2 5 2 5 3" xfId="6382" xr:uid="{00000000-0005-0000-0000-0000F3120000}"/>
    <cellStyle name="Normal 4 2 2 5 2 5 3 2" xfId="15708" xr:uid="{6FAC4654-84EF-4837-806A-83D46CD61094}"/>
    <cellStyle name="Normal 4 2 2 5 2 5 4" xfId="11491" xr:uid="{0E4E67C3-A126-49A6-B208-81E642100CB8}"/>
    <cellStyle name="Normal 4 2 2 5 2 6" xfId="2512" xr:uid="{00000000-0005-0000-0000-0000F4120000}"/>
    <cellStyle name="Normal 4 2 2 5 2 6 2" xfId="6795" xr:uid="{00000000-0005-0000-0000-0000F5120000}"/>
    <cellStyle name="Normal 4 2 2 5 2 6 2 2" xfId="16121" xr:uid="{7EACCA10-1BA1-4261-8651-8CB5B7A5B8B5}"/>
    <cellStyle name="Normal 4 2 2 5 2 6 3" xfId="11904" xr:uid="{1EA23E38-A34C-4FD2-B790-19021A786E4F}"/>
    <cellStyle name="Normal 4 2 2 5 2 7" xfId="4730" xr:uid="{00000000-0005-0000-0000-0000F6120000}"/>
    <cellStyle name="Normal 4 2 2 5 2 7 2" xfId="14056" xr:uid="{6CC7C1FC-53F0-4F93-A56C-DF0504C13A6B}"/>
    <cellStyle name="Normal 4 2 2 5 2 8" xfId="9062" xr:uid="{FED54422-C2E5-44B3-AA7C-C6088F47A385}"/>
    <cellStyle name="Normal 4 2 2 5 2 8 2" xfId="18386" xr:uid="{5C42D7A3-BF28-4C35-856B-BC3D9A4DD2DF}"/>
    <cellStyle name="Normal 4 2 2 5 2 9" xfId="9839" xr:uid="{BF87ED4F-E5F6-4DAD-AF4F-A40DD192B142}"/>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EA35B3DB-7003-4267-B702-E2F02E889BB8}"/>
    <cellStyle name="Normal 4 2 2 5 3 2 3" xfId="12396" xr:uid="{13AA2472-F6CE-4B53-9E31-8F10B470E469}"/>
    <cellStyle name="Normal 4 2 2 5 3 3" xfId="5142" xr:uid="{00000000-0005-0000-0000-0000FA120000}"/>
    <cellStyle name="Normal 4 2 2 5 3 3 2" xfId="14468" xr:uid="{44F7D1F4-3895-47EA-B432-9B7C8E3D9DA1}"/>
    <cellStyle name="Normal 4 2 2 5 3 4" xfId="9280" xr:uid="{C70B18D8-E279-4D37-82EF-3177E9FA554F}"/>
    <cellStyle name="Normal 4 2 2 5 3 4 2" xfId="18595" xr:uid="{E19BE3DD-6202-4E51-960F-25D43A5F31B4}"/>
    <cellStyle name="Normal 4 2 2 5 3 5" xfId="10251" xr:uid="{7ABB2619-1517-4874-AD7B-6AFE1DC727F5}"/>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905B2820-440B-4A3E-9E69-C8C250FB7AAE}"/>
    <cellStyle name="Normal 4 2 2 5 4 2 3" xfId="12809" xr:uid="{456E6329-6AD1-46C7-B454-85B50BA0C53F}"/>
    <cellStyle name="Normal 4 2 2 5 4 3" xfId="5555" xr:uid="{00000000-0005-0000-0000-0000FE120000}"/>
    <cellStyle name="Normal 4 2 2 5 4 3 2" xfId="14881" xr:uid="{56984961-C126-4A5D-A364-D3B19BF762FC}"/>
    <cellStyle name="Normal 4 2 2 5 4 4" xfId="10664" xr:uid="{4DFB04F1-8171-4EEB-B246-54FB380A8E4E}"/>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8899399D-2975-4305-A70B-98DE72009AB3}"/>
    <cellStyle name="Normal 4 2 2 5 5 2 3" xfId="13222" xr:uid="{73DFF943-F9AC-4C2C-9029-94D42C4EAE0C}"/>
    <cellStyle name="Normal 4 2 2 5 5 3" xfId="5968" xr:uid="{00000000-0005-0000-0000-000002130000}"/>
    <cellStyle name="Normal 4 2 2 5 5 3 2" xfId="15294" xr:uid="{B6984B51-1C16-4CC2-9C72-DA78D7551D4D}"/>
    <cellStyle name="Normal 4 2 2 5 5 4" xfId="11077" xr:uid="{45660A3D-1778-4665-A4A9-01D8001D782D}"/>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EA275EF0-B106-4066-98DD-22810A630B42}"/>
    <cellStyle name="Normal 4 2 2 5 6 2 3" xfId="13635" xr:uid="{61FBA65D-6F18-41E5-B74A-A81FA2AABE6C}"/>
    <cellStyle name="Normal 4 2 2 5 6 3" xfId="6381" xr:uid="{00000000-0005-0000-0000-000006130000}"/>
    <cellStyle name="Normal 4 2 2 5 6 3 2" xfId="15707" xr:uid="{F455EF70-7304-4C26-A2D3-502077363338}"/>
    <cellStyle name="Normal 4 2 2 5 6 4" xfId="11490" xr:uid="{1608315E-CE32-4CC0-B3EF-A8777D98CD80}"/>
    <cellStyle name="Normal 4 2 2 5 7" xfId="2511" xr:uid="{00000000-0005-0000-0000-000007130000}"/>
    <cellStyle name="Normal 4 2 2 5 7 2" xfId="6794" xr:uid="{00000000-0005-0000-0000-000008130000}"/>
    <cellStyle name="Normal 4 2 2 5 7 2 2" xfId="16120" xr:uid="{07260D6F-13C0-4543-9793-3EF049B06F32}"/>
    <cellStyle name="Normal 4 2 2 5 7 3" xfId="11903" xr:uid="{692052BE-4780-4F60-9D6A-D05F0DADA869}"/>
    <cellStyle name="Normal 4 2 2 5 8" xfId="4729" xr:uid="{00000000-0005-0000-0000-000009130000}"/>
    <cellStyle name="Normal 4 2 2 5 8 2" xfId="14055" xr:uid="{09BF606F-1F34-45D2-885D-EA0BE0BF2547}"/>
    <cellStyle name="Normal 4 2 2 5 9" xfId="8855" xr:uid="{894DEE8B-A5CD-4C4E-B41D-DCEB92717109}"/>
    <cellStyle name="Normal 4 2 2 5 9 2" xfId="18179" xr:uid="{B2E32CD5-6B84-4BBD-BE9F-564EF52B7CEB}"/>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80674A7A-3B4F-4686-A139-DDFD856DF5EB}"/>
    <cellStyle name="Normal 4 2 2 6 2 2 3" xfId="12398" xr:uid="{BD58D309-6847-4044-8D3A-43E3D075C11A}"/>
    <cellStyle name="Normal 4 2 2 6 2 3" xfId="5144" xr:uid="{00000000-0005-0000-0000-00000E130000}"/>
    <cellStyle name="Normal 4 2 2 6 2 3 2" xfId="14470" xr:uid="{C9A63ABB-8F89-4EA3-9DA1-E912C0D8B933}"/>
    <cellStyle name="Normal 4 2 2 6 2 4" xfId="9396" xr:uid="{5B10E6C6-987A-4149-BB81-321A07C7666F}"/>
    <cellStyle name="Normal 4 2 2 6 2 4 2" xfId="18711" xr:uid="{DA42715F-B681-42B4-A5BB-3EAD8AA43B78}"/>
    <cellStyle name="Normal 4 2 2 6 2 5" xfId="10253" xr:uid="{28372FEA-0CF8-46DB-8721-02EC0FCF411D}"/>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710A703E-5027-4E24-B781-5C98DB74F173}"/>
    <cellStyle name="Normal 4 2 2 6 3 2 3" xfId="12811" xr:uid="{05FEB496-A054-412D-95A7-72C909BEE5BA}"/>
    <cellStyle name="Normal 4 2 2 6 3 3" xfId="5557" xr:uid="{00000000-0005-0000-0000-000012130000}"/>
    <cellStyle name="Normal 4 2 2 6 3 3 2" xfId="14883" xr:uid="{4456A52A-D560-44C8-8851-7906FA2FA07E}"/>
    <cellStyle name="Normal 4 2 2 6 3 4" xfId="10666" xr:uid="{187E5B17-F7F5-4D7E-8E73-2F58DD814AEA}"/>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15F7BC71-8EE5-4FF6-9813-FCBE4847382E}"/>
    <cellStyle name="Normal 4 2 2 6 4 2 3" xfId="13224" xr:uid="{12480FD7-E047-42D9-8C33-1D5C74FF17D9}"/>
    <cellStyle name="Normal 4 2 2 6 4 3" xfId="5970" xr:uid="{00000000-0005-0000-0000-000016130000}"/>
    <cellStyle name="Normal 4 2 2 6 4 3 2" xfId="15296" xr:uid="{44A49BC2-B5AB-40DA-9C57-085E08CC6609}"/>
    <cellStyle name="Normal 4 2 2 6 4 4" xfId="11079" xr:uid="{2151C9B3-9AEA-4CA2-81F8-B53C1BACEE09}"/>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A402FA2C-7CD5-4FAB-856B-42AA20D140B2}"/>
    <cellStyle name="Normal 4 2 2 6 5 2 3" xfId="13637" xr:uid="{511F6C25-85BF-4992-9F8E-B0C1C43CBA39}"/>
    <cellStyle name="Normal 4 2 2 6 5 3" xfId="6383" xr:uid="{00000000-0005-0000-0000-00001A130000}"/>
    <cellStyle name="Normal 4 2 2 6 5 3 2" xfId="15709" xr:uid="{9E1E412C-C01E-43EB-ACD7-F0EF7A2B53F7}"/>
    <cellStyle name="Normal 4 2 2 6 5 4" xfId="11492" xr:uid="{A421851D-4967-4252-8305-8D392D0475B4}"/>
    <cellStyle name="Normal 4 2 2 6 6" xfId="2513" xr:uid="{00000000-0005-0000-0000-00001B130000}"/>
    <cellStyle name="Normal 4 2 2 6 6 2" xfId="6796" xr:uid="{00000000-0005-0000-0000-00001C130000}"/>
    <cellStyle name="Normal 4 2 2 6 6 2 2" xfId="16122" xr:uid="{8CCA2C17-291A-43FE-93C2-C7237FEC762C}"/>
    <cellStyle name="Normal 4 2 2 6 6 3" xfId="11905" xr:uid="{75DD0FD4-D1A8-4F2B-B8A1-08DE44F886AD}"/>
    <cellStyle name="Normal 4 2 2 6 7" xfId="4731" xr:uid="{00000000-0005-0000-0000-00001D130000}"/>
    <cellStyle name="Normal 4 2 2 6 7 2" xfId="14057" xr:uid="{AD5C0A1A-F2EF-4FD5-958A-0A597C59C943}"/>
    <cellStyle name="Normal 4 2 2 6 8" xfId="8971" xr:uid="{7BBA3CD4-2D32-439A-A2D5-9F7EB5E5A47E}"/>
    <cellStyle name="Normal 4 2 2 6 8 2" xfId="18295" xr:uid="{F46A9A39-B8A6-4549-91F0-2A0FA466E9C1}"/>
    <cellStyle name="Normal 4 2 2 6 9" xfId="9840" xr:uid="{C2570832-A981-4B8F-8EF0-471EE0C7AFDE}"/>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F5991E42-E9FF-461E-BB8A-B200C3C17090}"/>
    <cellStyle name="Normal 4 2 2 7 2 3" xfId="12383" xr:uid="{351F2EC8-15B7-48CF-8BE7-31D496F10C66}"/>
    <cellStyle name="Normal 4 2 2 7 3" xfId="5129" xr:uid="{00000000-0005-0000-0000-000021130000}"/>
    <cellStyle name="Normal 4 2 2 7 3 2" xfId="14455" xr:uid="{841D6AF3-7FAA-4FF5-BEB5-84F13F46AD09}"/>
    <cellStyle name="Normal 4 2 2 7 4" xfId="9174" xr:uid="{5FB177AF-8B2E-4B7E-A1B7-4F6E323AF880}"/>
    <cellStyle name="Normal 4 2 2 7 4 2" xfId="18492" xr:uid="{54BDEEA6-24F1-4C34-8B39-D38EA1AD2E19}"/>
    <cellStyle name="Normal 4 2 2 7 5" xfId="10238" xr:uid="{8454633E-B325-4B65-B36F-296F32412843}"/>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6726C859-AFF4-4885-AC98-6443CFB0B448}"/>
    <cellStyle name="Normal 4 2 2 8 2 3" xfId="12796" xr:uid="{2A60EB8A-86DB-42FD-93A1-C17E3AE9F7BB}"/>
    <cellStyle name="Normal 4 2 2 8 3" xfId="5542" xr:uid="{00000000-0005-0000-0000-000025130000}"/>
    <cellStyle name="Normal 4 2 2 8 3 2" xfId="14868" xr:uid="{425F1352-CA37-43DF-9065-20E8C7366AC8}"/>
    <cellStyle name="Normal 4 2 2 8 4" xfId="10651" xr:uid="{A3D4130E-D825-4DF0-8B30-40DBC085F7FA}"/>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9A40DA66-7B31-4D2F-9D0D-1366D184C47E}"/>
    <cellStyle name="Normal 4 2 2 9 2 3" xfId="13209" xr:uid="{A6FC4EB1-6E52-4F57-9595-1947BC5D0521}"/>
    <cellStyle name="Normal 4 2 2 9 3" xfId="5955" xr:uid="{00000000-0005-0000-0000-000029130000}"/>
    <cellStyle name="Normal 4 2 2 9 3 2" xfId="15281" xr:uid="{F55035B2-62A6-4418-9982-2D9303407F89}"/>
    <cellStyle name="Normal 4 2 2 9 4" xfId="11064" xr:uid="{D6B74897-439D-4CDB-B28B-7EBFEFD8457E}"/>
    <cellStyle name="Normal 4 2 3" xfId="354" xr:uid="{00000000-0005-0000-0000-00002A130000}"/>
    <cellStyle name="Normal 4 2 4" xfId="355" xr:uid="{00000000-0005-0000-0000-00002B130000}"/>
    <cellStyle name="Normal 4 2 4 10" xfId="4732" xr:uid="{00000000-0005-0000-0000-00002C130000}"/>
    <cellStyle name="Normal 4 2 4 10 2" xfId="14058" xr:uid="{A16CDC6A-CD0E-4185-AD08-59ED1C19C6F3}"/>
    <cellStyle name="Normal 4 2 4 11" xfId="8775" xr:uid="{7AC259AB-9C32-4DC1-A787-2E2187A7C2D6}"/>
    <cellStyle name="Normal 4 2 4 11 2" xfId="18099" xr:uid="{52A405AB-7CA1-47CD-8207-1C638C1B7981}"/>
    <cellStyle name="Normal 4 2 4 12" xfId="9841" xr:uid="{CA04D9A9-E882-40DC-9CA9-7807673AD69E}"/>
    <cellStyle name="Normal 4 2 4 2" xfId="356" xr:uid="{00000000-0005-0000-0000-00002D130000}"/>
    <cellStyle name="Normal 4 2 4 2 10" xfId="8820" xr:uid="{8B50D4F4-4786-467C-8322-69D665B73C2B}"/>
    <cellStyle name="Normal 4 2 4 2 10 2" xfId="18144" xr:uid="{3D5C9FB4-F7FD-4A1B-B081-335740AC4782}"/>
    <cellStyle name="Normal 4 2 4 2 11" xfId="9842" xr:uid="{81FDA300-D9CF-40ED-985E-A45B0126D658}"/>
    <cellStyle name="Normal 4 2 4 2 2" xfId="357" xr:uid="{00000000-0005-0000-0000-00002E130000}"/>
    <cellStyle name="Normal 4 2 4 2 2 10" xfId="9843" xr:uid="{0F1CCA7A-BA21-430B-82E8-D52A3CAE04FC}"/>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4F2D5E26-9A22-47D3-9A90-7D2190E6F619}"/>
    <cellStyle name="Normal 4 2 4 2 2 2 2 2 3" xfId="12402" xr:uid="{C1DC3AB9-ADD2-4F41-B274-4D16343010DE}"/>
    <cellStyle name="Normal 4 2 4 2 2 2 2 3" xfId="5148" xr:uid="{00000000-0005-0000-0000-000033130000}"/>
    <cellStyle name="Normal 4 2 4 2 2 2 2 3 2" xfId="14474" xr:uid="{7E836F0A-7C4B-418E-9D54-1EFB6AD19D6C}"/>
    <cellStyle name="Normal 4 2 4 2 2 2 2 4" xfId="9555" xr:uid="{31AE7BD4-4F26-4658-9939-15FCE733560E}"/>
    <cellStyle name="Normal 4 2 4 2 2 2 2 4 2" xfId="18870" xr:uid="{F3601593-AA6E-4844-8B05-F2318026A318}"/>
    <cellStyle name="Normal 4 2 4 2 2 2 2 5" xfId="10257" xr:uid="{DF957045-FBA2-4FC6-AA87-0FF6BADB07A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CA20D65D-2E31-4FF8-9733-9424C2476103}"/>
    <cellStyle name="Normal 4 2 4 2 2 2 3 2 3" xfId="12815" xr:uid="{20BC597F-20B9-484B-8AF3-5B506A5E0373}"/>
    <cellStyle name="Normal 4 2 4 2 2 2 3 3" xfId="5561" xr:uid="{00000000-0005-0000-0000-000037130000}"/>
    <cellStyle name="Normal 4 2 4 2 2 2 3 3 2" xfId="14887" xr:uid="{92B7C0CC-C7B8-494C-AA70-9B6EE647CFDD}"/>
    <cellStyle name="Normal 4 2 4 2 2 2 3 4" xfId="10670" xr:uid="{9C02910B-FC19-412B-8A27-97AA2310CC2E}"/>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52AC32C1-454F-4D28-B61E-E34C80100FCE}"/>
    <cellStyle name="Normal 4 2 4 2 2 2 4 2 3" xfId="13228" xr:uid="{C85C7D50-FA38-4921-A9AF-FB1B31BE6B13}"/>
    <cellStyle name="Normal 4 2 4 2 2 2 4 3" xfId="5974" xr:uid="{00000000-0005-0000-0000-00003B130000}"/>
    <cellStyle name="Normal 4 2 4 2 2 2 4 3 2" xfId="15300" xr:uid="{0CAC41B3-556E-4ED3-A89E-5E99779DF9AB}"/>
    <cellStyle name="Normal 4 2 4 2 2 2 4 4" xfId="11083" xr:uid="{CD5F2F45-AA10-4BEE-908B-3397B75751BB}"/>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722CABDB-7CE0-485F-AB83-E61AAE3E09B1}"/>
    <cellStyle name="Normal 4 2 4 2 2 2 5 2 3" xfId="13641" xr:uid="{F2B50787-F15D-4903-A231-08E00D79D529}"/>
    <cellStyle name="Normal 4 2 4 2 2 2 5 3" xfId="6387" xr:uid="{00000000-0005-0000-0000-00003F130000}"/>
    <cellStyle name="Normal 4 2 4 2 2 2 5 3 2" xfId="15713" xr:uid="{EC9E3DA1-E096-4D32-BCAE-2D56D05D4419}"/>
    <cellStyle name="Normal 4 2 4 2 2 2 5 4" xfId="11496" xr:uid="{2EBBBD3E-3EFF-4AB3-B246-A38AA9A59310}"/>
    <cellStyle name="Normal 4 2 4 2 2 2 6" xfId="2517" xr:uid="{00000000-0005-0000-0000-000040130000}"/>
    <cellStyle name="Normal 4 2 4 2 2 2 6 2" xfId="6800" xr:uid="{00000000-0005-0000-0000-000041130000}"/>
    <cellStyle name="Normal 4 2 4 2 2 2 6 2 2" xfId="16126" xr:uid="{4B3F6E2E-871D-417A-ADED-25A2BB371349}"/>
    <cellStyle name="Normal 4 2 4 2 2 2 6 3" xfId="11909" xr:uid="{90CC26CA-577F-46ED-BA96-103789E0D7D9}"/>
    <cellStyle name="Normal 4 2 4 2 2 2 7" xfId="4735" xr:uid="{00000000-0005-0000-0000-000042130000}"/>
    <cellStyle name="Normal 4 2 4 2 2 2 7 2" xfId="14061" xr:uid="{8B311BBF-896D-44FF-83C0-2A7E71D68F34}"/>
    <cellStyle name="Normal 4 2 4 2 2 2 8" xfId="9130" xr:uid="{E4AAEB37-D6CE-4BD9-A166-BE52F754DAC4}"/>
    <cellStyle name="Normal 4 2 4 2 2 2 8 2" xfId="18454" xr:uid="{6667F6CB-22FC-490C-9E27-816480C27DBA}"/>
    <cellStyle name="Normal 4 2 4 2 2 2 9" xfId="9844" xr:uid="{ED02F8B7-66E9-4817-BE92-A3C35B7664F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C547BE8F-113E-4243-B919-64F00097A38A}"/>
    <cellStyle name="Normal 4 2 4 2 2 3 2 3" xfId="12401" xr:uid="{76C85277-3846-42D2-9A9C-F0D4C6690BD3}"/>
    <cellStyle name="Normal 4 2 4 2 2 3 3" xfId="5147" xr:uid="{00000000-0005-0000-0000-000046130000}"/>
    <cellStyle name="Normal 4 2 4 2 2 3 3 2" xfId="14473" xr:uid="{53ECD08B-EDFC-4F50-B80D-8673DDAACBAE}"/>
    <cellStyle name="Normal 4 2 4 2 2 3 4" xfId="9348" xr:uid="{E9E52CF6-B3CF-482F-B496-A22B0452951D}"/>
    <cellStyle name="Normal 4 2 4 2 2 3 4 2" xfId="18663" xr:uid="{FD6DEDA6-44C1-4DA5-8400-297682DA017F}"/>
    <cellStyle name="Normal 4 2 4 2 2 3 5" xfId="10256" xr:uid="{F4218242-97C4-4DCF-9711-E1718EB1572E}"/>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BBF87262-DB08-4265-A8C7-AAFDD4CB4867}"/>
    <cellStyle name="Normal 4 2 4 2 2 4 2 3" xfId="12814" xr:uid="{9AE685DB-1E18-47C4-92D9-39D18D149DE4}"/>
    <cellStyle name="Normal 4 2 4 2 2 4 3" xfId="5560" xr:uid="{00000000-0005-0000-0000-00004A130000}"/>
    <cellStyle name="Normal 4 2 4 2 2 4 3 2" xfId="14886" xr:uid="{E4ADC575-4956-428C-94EA-0B7436C00813}"/>
    <cellStyle name="Normal 4 2 4 2 2 4 4" xfId="10669" xr:uid="{0E467E69-D702-4C70-A896-5835E937FC04}"/>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D1414C6E-8DDA-4796-BA10-61235F860453}"/>
    <cellStyle name="Normal 4 2 4 2 2 5 2 3" xfId="13227" xr:uid="{C452A6A5-F99A-47C3-BF73-95F72FE27F0C}"/>
    <cellStyle name="Normal 4 2 4 2 2 5 3" xfId="5973" xr:uid="{00000000-0005-0000-0000-00004E130000}"/>
    <cellStyle name="Normal 4 2 4 2 2 5 3 2" xfId="15299" xr:uid="{9EDDE72D-8B56-484D-9D3F-8F6FA0AFD535}"/>
    <cellStyle name="Normal 4 2 4 2 2 5 4" xfId="11082" xr:uid="{A1FED20E-62ED-4D2F-AC23-50C7C5F53344}"/>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12D64EBB-6506-4CEF-9A15-A2FCBFCAB859}"/>
    <cellStyle name="Normal 4 2 4 2 2 6 2 3" xfId="13640" xr:uid="{BCD87300-B21A-4832-9C87-2F542FDA9FB2}"/>
    <cellStyle name="Normal 4 2 4 2 2 6 3" xfId="6386" xr:uid="{00000000-0005-0000-0000-000052130000}"/>
    <cellStyle name="Normal 4 2 4 2 2 6 3 2" xfId="15712" xr:uid="{A68D978A-99A3-4417-A4DC-6F17210C906A}"/>
    <cellStyle name="Normal 4 2 4 2 2 6 4" xfId="11495" xr:uid="{4E402914-84ED-41C0-9E19-2D0C3378AF57}"/>
    <cellStyle name="Normal 4 2 4 2 2 7" xfId="2516" xr:uid="{00000000-0005-0000-0000-000053130000}"/>
    <cellStyle name="Normal 4 2 4 2 2 7 2" xfId="6799" xr:uid="{00000000-0005-0000-0000-000054130000}"/>
    <cellStyle name="Normal 4 2 4 2 2 7 2 2" xfId="16125" xr:uid="{1903F604-18CD-4E72-AF61-367FE45EAFE8}"/>
    <cellStyle name="Normal 4 2 4 2 2 7 3" xfId="11908" xr:uid="{51C8DA98-3B19-4DFF-A803-D863B2C4E88C}"/>
    <cellStyle name="Normal 4 2 4 2 2 8" xfId="4734" xr:uid="{00000000-0005-0000-0000-000055130000}"/>
    <cellStyle name="Normal 4 2 4 2 2 8 2" xfId="14060" xr:uid="{3E0A28F8-0311-41BF-9116-7DDB162AAEEB}"/>
    <cellStyle name="Normal 4 2 4 2 2 9" xfId="8923" xr:uid="{2BBE6936-33B8-4624-9F85-2EE83C62ACB2}"/>
    <cellStyle name="Normal 4 2 4 2 2 9 2" xfId="18247" xr:uid="{834243C8-4D8E-4317-BF78-DAD4E258F036}"/>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E1FEEAED-D157-4500-A491-1E3482D49A45}"/>
    <cellStyle name="Normal 4 2 4 2 3 2 2 3" xfId="12403" xr:uid="{474D84EB-9DF2-40A7-8FBF-3CD33B766398}"/>
    <cellStyle name="Normal 4 2 4 2 3 2 3" xfId="5149" xr:uid="{00000000-0005-0000-0000-00005A130000}"/>
    <cellStyle name="Normal 4 2 4 2 3 2 3 2" xfId="14475" xr:uid="{8E755C96-410B-4492-B0B7-8B54EE32B72C}"/>
    <cellStyle name="Normal 4 2 4 2 3 2 4" xfId="9452" xr:uid="{58F46659-8F00-4705-8554-54AEBE9B8A77}"/>
    <cellStyle name="Normal 4 2 4 2 3 2 4 2" xfId="18767" xr:uid="{67701278-13CA-49CB-91F2-296769239E7B}"/>
    <cellStyle name="Normal 4 2 4 2 3 2 5" xfId="10258" xr:uid="{2115207F-0B43-41F9-9EB8-41D185E8CA6C}"/>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8E1680ED-A213-4D59-8BC4-C7632A9AD05A}"/>
    <cellStyle name="Normal 4 2 4 2 3 3 2 3" xfId="12816" xr:uid="{577F4312-E19E-48D5-BBB6-C4B6504C9121}"/>
    <cellStyle name="Normal 4 2 4 2 3 3 3" xfId="5562" xr:uid="{00000000-0005-0000-0000-00005E130000}"/>
    <cellStyle name="Normal 4 2 4 2 3 3 3 2" xfId="14888" xr:uid="{39655675-1BD1-42C5-A1E8-53E42F23B818}"/>
    <cellStyle name="Normal 4 2 4 2 3 3 4" xfId="10671" xr:uid="{F248CE66-4B5A-4642-A8F4-30530CB3ABD6}"/>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12ADED9F-D959-4300-B89A-D04191F530D3}"/>
    <cellStyle name="Normal 4 2 4 2 3 4 2 3" xfId="13229" xr:uid="{3D44D802-84E0-4C4F-825A-137A7D820CE7}"/>
    <cellStyle name="Normal 4 2 4 2 3 4 3" xfId="5975" xr:uid="{00000000-0005-0000-0000-000062130000}"/>
    <cellStyle name="Normal 4 2 4 2 3 4 3 2" xfId="15301" xr:uid="{9575FD3D-EF24-4E41-A2D9-62B6E33DE289}"/>
    <cellStyle name="Normal 4 2 4 2 3 4 4" xfId="11084" xr:uid="{C4FB5357-7EA3-484B-9947-6BCE2C1C472F}"/>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08DFB493-7D2A-4020-8FFA-A1C911AF01CF}"/>
    <cellStyle name="Normal 4 2 4 2 3 5 2 3" xfId="13642" xr:uid="{E11B9292-427B-4766-A95F-0DF81182D67F}"/>
    <cellStyle name="Normal 4 2 4 2 3 5 3" xfId="6388" xr:uid="{00000000-0005-0000-0000-000066130000}"/>
    <cellStyle name="Normal 4 2 4 2 3 5 3 2" xfId="15714" xr:uid="{EF5D1D9C-CC94-4C7F-BEA1-A68D939037CC}"/>
    <cellStyle name="Normal 4 2 4 2 3 5 4" xfId="11497" xr:uid="{7E3154CB-FF2A-4DD8-8CF9-7027E1C3F07E}"/>
    <cellStyle name="Normal 4 2 4 2 3 6" xfId="2518" xr:uid="{00000000-0005-0000-0000-000067130000}"/>
    <cellStyle name="Normal 4 2 4 2 3 6 2" xfId="6801" xr:uid="{00000000-0005-0000-0000-000068130000}"/>
    <cellStyle name="Normal 4 2 4 2 3 6 2 2" xfId="16127" xr:uid="{17CAEE8D-B58C-4DB4-92D2-F460F3B41B27}"/>
    <cellStyle name="Normal 4 2 4 2 3 6 3" xfId="11910" xr:uid="{F7229D0D-D575-4F1B-B798-B20BA647F58C}"/>
    <cellStyle name="Normal 4 2 4 2 3 7" xfId="4736" xr:uid="{00000000-0005-0000-0000-000069130000}"/>
    <cellStyle name="Normal 4 2 4 2 3 7 2" xfId="14062" xr:uid="{F04430AF-E312-4B88-9682-3731820CFED5}"/>
    <cellStyle name="Normal 4 2 4 2 3 8" xfId="9027" xr:uid="{DA430019-E492-48BB-ACD5-5BE853C50FBC}"/>
    <cellStyle name="Normal 4 2 4 2 3 8 2" xfId="18351" xr:uid="{41603B2D-0E7B-43E8-8ACA-32E7620E0B4C}"/>
    <cellStyle name="Normal 4 2 4 2 3 9" xfId="9845" xr:uid="{A61D68BC-E205-4831-A6C0-81A88F222A11}"/>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6945455E-4120-45A9-8B3B-FD531B08089E}"/>
    <cellStyle name="Normal 4 2 4 2 4 2 3" xfId="12400" xr:uid="{57BB38BB-0226-42B9-99E3-029E8FAC85A3}"/>
    <cellStyle name="Normal 4 2 4 2 4 3" xfId="5146" xr:uid="{00000000-0005-0000-0000-00006D130000}"/>
    <cellStyle name="Normal 4 2 4 2 4 3 2" xfId="14472" xr:uid="{FE51F3D5-ADAF-4662-BBE8-6F780871FAD9}"/>
    <cellStyle name="Normal 4 2 4 2 4 4" xfId="9245" xr:uid="{A0383DD8-843E-4601-922A-5CDD979D0589}"/>
    <cellStyle name="Normal 4 2 4 2 4 4 2" xfId="18560" xr:uid="{B01981FB-812C-408D-801A-6B9A29354614}"/>
    <cellStyle name="Normal 4 2 4 2 4 5" xfId="10255" xr:uid="{0CE7ECD2-066E-4A74-8721-7E7CE5FC3AA8}"/>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FE5A1608-1460-42D6-9915-2676F943768F}"/>
    <cellStyle name="Normal 4 2 4 2 5 2 3" xfId="12813" xr:uid="{B895912A-B150-42DE-8188-C7064276D107}"/>
    <cellStyle name="Normal 4 2 4 2 5 3" xfId="5559" xr:uid="{00000000-0005-0000-0000-000071130000}"/>
    <cellStyle name="Normal 4 2 4 2 5 3 2" xfId="14885" xr:uid="{D65C2031-562E-4A1B-9C2C-E3443076D2A9}"/>
    <cellStyle name="Normal 4 2 4 2 5 4" xfId="10668" xr:uid="{9185C573-1698-4BA9-99D7-F90BFE59D3BA}"/>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FDC252EF-6C66-468C-B5ED-8FC289F0FFCD}"/>
    <cellStyle name="Normal 4 2 4 2 6 2 3" xfId="13226" xr:uid="{8287F326-8CF3-4646-BB68-689A7C505153}"/>
    <cellStyle name="Normal 4 2 4 2 6 3" xfId="5972" xr:uid="{00000000-0005-0000-0000-000075130000}"/>
    <cellStyle name="Normal 4 2 4 2 6 3 2" xfId="15298" xr:uid="{885F4171-10C3-4417-9996-B245EF0537E9}"/>
    <cellStyle name="Normal 4 2 4 2 6 4" xfId="11081" xr:uid="{7F457F1C-4ACB-402B-88F6-34C258B1C87F}"/>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9DE692AC-4631-4F2B-9BC8-90B488CD3CCE}"/>
    <cellStyle name="Normal 4 2 4 2 7 2 3" xfId="13639" xr:uid="{4DA80A02-C3D4-47C2-90B3-1DD4D4BFFD92}"/>
    <cellStyle name="Normal 4 2 4 2 7 3" xfId="6385" xr:uid="{00000000-0005-0000-0000-000079130000}"/>
    <cellStyle name="Normal 4 2 4 2 7 3 2" xfId="15711" xr:uid="{5F2EC9F9-B32B-4FF1-86E3-1D1CCDC6514E}"/>
    <cellStyle name="Normal 4 2 4 2 7 4" xfId="11494" xr:uid="{F322DB4B-B920-4FFC-B28A-02B572A0474C}"/>
    <cellStyle name="Normal 4 2 4 2 8" xfId="2515" xr:uid="{00000000-0005-0000-0000-00007A130000}"/>
    <cellStyle name="Normal 4 2 4 2 8 2" xfId="6798" xr:uid="{00000000-0005-0000-0000-00007B130000}"/>
    <cellStyle name="Normal 4 2 4 2 8 2 2" xfId="16124" xr:uid="{0BFE45FA-8925-4FB3-8C52-E0B8A3A2FD37}"/>
    <cellStyle name="Normal 4 2 4 2 8 3" xfId="11907" xr:uid="{91A1EA48-F3CF-4EC5-99CB-CFCF7A256ED7}"/>
    <cellStyle name="Normal 4 2 4 2 9" xfId="4733" xr:uid="{00000000-0005-0000-0000-00007C130000}"/>
    <cellStyle name="Normal 4 2 4 2 9 2" xfId="14059" xr:uid="{D58E4AA8-3326-490C-8BD0-175671EB8A45}"/>
    <cellStyle name="Normal 4 2 4 3" xfId="360" xr:uid="{00000000-0005-0000-0000-00007D130000}"/>
    <cellStyle name="Normal 4 2 4 3 10" xfId="9846" xr:uid="{C24E2B64-1204-41C1-9A48-C11CF4E35EA2}"/>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6EEBC3C9-795F-4FB7-93C5-08C25284C0F4}"/>
    <cellStyle name="Normal 4 2 4 3 2 2 2 3" xfId="12405" xr:uid="{BFEBDE31-B29C-4474-95E7-53EEDBE3FA39}"/>
    <cellStyle name="Normal 4 2 4 3 2 2 3" xfId="5151" xr:uid="{00000000-0005-0000-0000-000082130000}"/>
    <cellStyle name="Normal 4 2 4 3 2 2 3 2" xfId="14477" xr:uid="{AEBC42EF-2829-406D-94CE-9F93996ECD92}"/>
    <cellStyle name="Normal 4 2 4 3 2 2 4" xfId="9510" xr:uid="{AA534F18-B7F5-44D9-AE7D-03E6DE45E4F9}"/>
    <cellStyle name="Normal 4 2 4 3 2 2 4 2" xfId="18825" xr:uid="{2C89E5F4-9102-4F48-88E6-559B94B4F1CA}"/>
    <cellStyle name="Normal 4 2 4 3 2 2 5" xfId="10260" xr:uid="{00C379F3-2F98-470C-83F9-5887D18DA13A}"/>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C2236493-C581-4526-9361-4827778F43C9}"/>
    <cellStyle name="Normal 4 2 4 3 2 3 2 3" xfId="12818" xr:uid="{58BB1ADE-B940-45DA-B2ED-6ECF739D4DA0}"/>
    <cellStyle name="Normal 4 2 4 3 2 3 3" xfId="5564" xr:uid="{00000000-0005-0000-0000-000086130000}"/>
    <cellStyle name="Normal 4 2 4 3 2 3 3 2" xfId="14890" xr:uid="{6B8529B8-A89B-4A38-A3E0-76D29E053A73}"/>
    <cellStyle name="Normal 4 2 4 3 2 3 4" xfId="10673" xr:uid="{F87AD0F6-08B6-4FE2-8A84-ED95DF6F6188}"/>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7E5A36FE-7C8D-4828-B686-545EB4E5F23F}"/>
    <cellStyle name="Normal 4 2 4 3 2 4 2 3" xfId="13231" xr:uid="{42A61D89-F4B8-4099-9845-F46DC3E53EC0}"/>
    <cellStyle name="Normal 4 2 4 3 2 4 3" xfId="5977" xr:uid="{00000000-0005-0000-0000-00008A130000}"/>
    <cellStyle name="Normal 4 2 4 3 2 4 3 2" xfId="15303" xr:uid="{65BD6444-005A-4DF4-A8CA-6A4D1FAE7353}"/>
    <cellStyle name="Normal 4 2 4 3 2 4 4" xfId="11086" xr:uid="{21A43619-69B4-4C0F-9A5A-35DDCFEB22A7}"/>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416A99FC-95B3-403A-8834-DD75449C9DE2}"/>
    <cellStyle name="Normal 4 2 4 3 2 5 2 3" xfId="13644" xr:uid="{D60C5AE2-4503-445C-B843-E6E8433B56D9}"/>
    <cellStyle name="Normal 4 2 4 3 2 5 3" xfId="6390" xr:uid="{00000000-0005-0000-0000-00008E130000}"/>
    <cellStyle name="Normal 4 2 4 3 2 5 3 2" xfId="15716" xr:uid="{C70DDD2E-E5E3-484A-82F8-D94DE542D3CA}"/>
    <cellStyle name="Normal 4 2 4 3 2 5 4" xfId="11499" xr:uid="{70B0ECF2-4B4C-4B16-908C-6BBF78C85C53}"/>
    <cellStyle name="Normal 4 2 4 3 2 6" xfId="2520" xr:uid="{00000000-0005-0000-0000-00008F130000}"/>
    <cellStyle name="Normal 4 2 4 3 2 6 2" xfId="6803" xr:uid="{00000000-0005-0000-0000-000090130000}"/>
    <cellStyle name="Normal 4 2 4 3 2 6 2 2" xfId="16129" xr:uid="{06A90942-3CB0-4860-BFDB-9285672C4378}"/>
    <cellStyle name="Normal 4 2 4 3 2 6 3" xfId="11912" xr:uid="{DF4FBCDC-CE22-4A10-88B8-0DDD7A44F68B}"/>
    <cellStyle name="Normal 4 2 4 3 2 7" xfId="4738" xr:uid="{00000000-0005-0000-0000-000091130000}"/>
    <cellStyle name="Normal 4 2 4 3 2 7 2" xfId="14064" xr:uid="{71CDE9BB-4758-45F2-B21B-FA8778A3B929}"/>
    <cellStyle name="Normal 4 2 4 3 2 8" xfId="9085" xr:uid="{0181E53C-86DC-4588-8447-D559FCF01541}"/>
    <cellStyle name="Normal 4 2 4 3 2 8 2" xfId="18409" xr:uid="{554BDDDB-A7EB-470D-BDCF-16F09B14C455}"/>
    <cellStyle name="Normal 4 2 4 3 2 9" xfId="9847" xr:uid="{AE0AB2E9-FC83-4F00-BC7F-32E0A31CEE57}"/>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D27846BA-075F-43A8-B3CF-0AE59F25BFF3}"/>
    <cellStyle name="Normal 4 2 4 3 3 2 3" xfId="12404" xr:uid="{3330D559-9A17-4F6B-8D0A-C961BD336077}"/>
    <cellStyle name="Normal 4 2 4 3 3 3" xfId="5150" xr:uid="{00000000-0005-0000-0000-000095130000}"/>
    <cellStyle name="Normal 4 2 4 3 3 3 2" xfId="14476" xr:uid="{8E6699E9-9717-4B9D-92CE-0722F718A5F5}"/>
    <cellStyle name="Normal 4 2 4 3 3 4" xfId="9303" xr:uid="{51CE977A-E9B9-47DD-B6CE-3ECF34A578F1}"/>
    <cellStyle name="Normal 4 2 4 3 3 4 2" xfId="18618" xr:uid="{0693BA5E-BF27-427A-9B02-446B3707A9CB}"/>
    <cellStyle name="Normal 4 2 4 3 3 5" xfId="10259" xr:uid="{019F55BD-11CE-48F8-95A6-94504D83CA43}"/>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74F54A38-71BB-4186-A6DF-CDD061E88874}"/>
    <cellStyle name="Normal 4 2 4 3 4 2 3" xfId="12817" xr:uid="{3ED3A8EB-043F-431D-B37B-A2E8A4F1BC85}"/>
    <cellStyle name="Normal 4 2 4 3 4 3" xfId="5563" xr:uid="{00000000-0005-0000-0000-000099130000}"/>
    <cellStyle name="Normal 4 2 4 3 4 3 2" xfId="14889" xr:uid="{55C47202-DB55-40F9-B54F-6A36BCEA2B8A}"/>
    <cellStyle name="Normal 4 2 4 3 4 4" xfId="10672" xr:uid="{3B559054-A9B6-4727-A690-DAC7F6F9370E}"/>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36883A67-7363-42B8-834A-8CF30436A7EB}"/>
    <cellStyle name="Normal 4 2 4 3 5 2 3" xfId="13230" xr:uid="{E095C3AD-3409-4CE1-9DE6-33299EE34E74}"/>
    <cellStyle name="Normal 4 2 4 3 5 3" xfId="5976" xr:uid="{00000000-0005-0000-0000-00009D130000}"/>
    <cellStyle name="Normal 4 2 4 3 5 3 2" xfId="15302" xr:uid="{55BABA7D-735F-44CC-A507-4EB733197BE9}"/>
    <cellStyle name="Normal 4 2 4 3 5 4" xfId="11085" xr:uid="{F1FD5E42-C912-48DB-A151-AEF11CAB23E3}"/>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85DBC490-7961-4969-BC28-D2B8C55A7834}"/>
    <cellStyle name="Normal 4 2 4 3 6 2 3" xfId="13643" xr:uid="{09B4A6DC-44C9-4EFC-AE4F-5CBFCA4643A7}"/>
    <cellStyle name="Normal 4 2 4 3 6 3" xfId="6389" xr:uid="{00000000-0005-0000-0000-0000A1130000}"/>
    <cellStyle name="Normal 4 2 4 3 6 3 2" xfId="15715" xr:uid="{AD62F989-9FF3-4492-9C16-1C75BEEEA005}"/>
    <cellStyle name="Normal 4 2 4 3 6 4" xfId="11498" xr:uid="{F9580CAA-EDF3-4B1B-9D76-2B89E3E42581}"/>
    <cellStyle name="Normal 4 2 4 3 7" xfId="2519" xr:uid="{00000000-0005-0000-0000-0000A2130000}"/>
    <cellStyle name="Normal 4 2 4 3 7 2" xfId="6802" xr:uid="{00000000-0005-0000-0000-0000A3130000}"/>
    <cellStyle name="Normal 4 2 4 3 7 2 2" xfId="16128" xr:uid="{207B17E9-472E-4F43-A246-AA495D5F245E}"/>
    <cellStyle name="Normal 4 2 4 3 7 3" xfId="11911" xr:uid="{E470092D-8AE5-4469-8651-920075CEE30C}"/>
    <cellStyle name="Normal 4 2 4 3 8" xfId="4737" xr:uid="{00000000-0005-0000-0000-0000A4130000}"/>
    <cellStyle name="Normal 4 2 4 3 8 2" xfId="14063" xr:uid="{4A8CB920-4173-4A3B-9F5E-1F1C3F896E30}"/>
    <cellStyle name="Normal 4 2 4 3 9" xfId="8878" xr:uid="{B73EE68A-BBFC-4E7A-B773-E14FCCFC8837}"/>
    <cellStyle name="Normal 4 2 4 3 9 2" xfId="18202" xr:uid="{5B224E0E-90CC-493A-A189-A15E8F9785E3}"/>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7D9520E5-BB90-4F53-9023-1ACB77DF9706}"/>
    <cellStyle name="Normal 4 2 4 4 2 2 3" xfId="12406" xr:uid="{B6B1BC19-A1E1-43E4-BE4E-D448F55D70E2}"/>
    <cellStyle name="Normal 4 2 4 4 2 3" xfId="5152" xr:uid="{00000000-0005-0000-0000-0000A9130000}"/>
    <cellStyle name="Normal 4 2 4 4 2 3 2" xfId="14478" xr:uid="{CE1DC5A8-B40C-4610-A89C-00AFAC81B36F}"/>
    <cellStyle name="Normal 4 2 4 4 2 4" xfId="9407" xr:uid="{5D8D6A7A-388E-41EC-80E9-28307FA015D6}"/>
    <cellStyle name="Normal 4 2 4 4 2 4 2" xfId="18722" xr:uid="{FD419415-76CB-433A-9026-15C2E77611FB}"/>
    <cellStyle name="Normal 4 2 4 4 2 5" xfId="10261" xr:uid="{4FAF94A3-25E8-4D8A-94F7-81AA72FCCB08}"/>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CA21CF05-A8C0-41E3-AD88-80F74668CEAF}"/>
    <cellStyle name="Normal 4 2 4 4 3 2 3" xfId="12819" xr:uid="{64598F6E-4A22-4046-8E0B-856C025588D7}"/>
    <cellStyle name="Normal 4 2 4 4 3 3" xfId="5565" xr:uid="{00000000-0005-0000-0000-0000AD130000}"/>
    <cellStyle name="Normal 4 2 4 4 3 3 2" xfId="14891" xr:uid="{C13CF9E5-AE04-4A07-B7B1-DFEAF888A7E8}"/>
    <cellStyle name="Normal 4 2 4 4 3 4" xfId="10674" xr:uid="{85FBAEEE-9A44-4896-A8CE-30962AD10D64}"/>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BFB341B9-989D-402E-8888-43A38F78A450}"/>
    <cellStyle name="Normal 4 2 4 4 4 2 3" xfId="13232" xr:uid="{13038A8E-F92F-4078-B888-915B639FCCA0}"/>
    <cellStyle name="Normal 4 2 4 4 4 3" xfId="5978" xr:uid="{00000000-0005-0000-0000-0000B1130000}"/>
    <cellStyle name="Normal 4 2 4 4 4 3 2" xfId="15304" xr:uid="{331A7BBA-CAE5-4283-8CFB-9D33A289A30F}"/>
    <cellStyle name="Normal 4 2 4 4 4 4" xfId="11087" xr:uid="{661C583C-B41B-4718-871D-2C9932F24608}"/>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DD5CECE7-B593-4FE1-858A-CD61FFA78C14}"/>
    <cellStyle name="Normal 4 2 4 4 5 2 3" xfId="13645" xr:uid="{D7DA0E21-54FC-4544-AFD3-53B61AADC47E}"/>
    <cellStyle name="Normal 4 2 4 4 5 3" xfId="6391" xr:uid="{00000000-0005-0000-0000-0000B5130000}"/>
    <cellStyle name="Normal 4 2 4 4 5 3 2" xfId="15717" xr:uid="{BD047683-1F05-454F-BA56-56B74C2A8076}"/>
    <cellStyle name="Normal 4 2 4 4 5 4" xfId="11500" xr:uid="{C90F3062-C54E-4673-A39E-DCD17ED13175}"/>
    <cellStyle name="Normal 4 2 4 4 6" xfId="2521" xr:uid="{00000000-0005-0000-0000-0000B6130000}"/>
    <cellStyle name="Normal 4 2 4 4 6 2" xfId="6804" xr:uid="{00000000-0005-0000-0000-0000B7130000}"/>
    <cellStyle name="Normal 4 2 4 4 6 2 2" xfId="16130" xr:uid="{F57BA8D5-42F9-4B2A-A107-6882B8DA926B}"/>
    <cellStyle name="Normal 4 2 4 4 6 3" xfId="11913" xr:uid="{93D93757-1125-4A72-8625-F9C5D56C9C1C}"/>
    <cellStyle name="Normal 4 2 4 4 7" xfId="4739" xr:uid="{00000000-0005-0000-0000-0000B8130000}"/>
    <cellStyle name="Normal 4 2 4 4 7 2" xfId="14065" xr:uid="{72B65F56-D567-4BB4-8EC8-B8FF763C52CB}"/>
    <cellStyle name="Normal 4 2 4 4 8" xfId="8982" xr:uid="{4C273C9B-E12E-4EF2-812F-666600229207}"/>
    <cellStyle name="Normal 4 2 4 4 8 2" xfId="18306" xr:uid="{BB6AB12E-B04A-41B1-B698-A1A9CF0550D0}"/>
    <cellStyle name="Normal 4 2 4 4 9" xfId="9848" xr:uid="{4ADAA3C1-D471-4C23-B4A8-51BEA6EF39F9}"/>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4E998B07-DF25-44C6-A466-B035ED941AB7}"/>
    <cellStyle name="Normal 4 2 4 5 2 3" xfId="12399" xr:uid="{B06FF22F-F851-4BA0-8407-B6455EC51A65}"/>
    <cellStyle name="Normal 4 2 4 5 3" xfId="5145" xr:uid="{00000000-0005-0000-0000-0000BC130000}"/>
    <cellStyle name="Normal 4 2 4 5 3 2" xfId="14471" xr:uid="{8966D7DC-0527-45A3-8830-A8FC52976A11}"/>
    <cellStyle name="Normal 4 2 4 5 4" xfId="9199" xr:uid="{1A9A2DC3-2FEA-4A30-A92C-84708E9B2741}"/>
    <cellStyle name="Normal 4 2 4 5 4 2" xfId="18515" xr:uid="{26112441-4DD9-4B76-99FC-58C0695D55C6}"/>
    <cellStyle name="Normal 4 2 4 5 5" xfId="10254" xr:uid="{36E6409E-F424-47AD-BDC4-5DB06237B06C}"/>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A1AE63BD-023D-45FF-A2AA-683F3980C230}"/>
    <cellStyle name="Normal 4 2 4 6 2 3" xfId="12812" xr:uid="{BC7F2DC7-7510-4C53-B6E4-0BC4303740E6}"/>
    <cellStyle name="Normal 4 2 4 6 3" xfId="5558" xr:uid="{00000000-0005-0000-0000-0000C0130000}"/>
    <cellStyle name="Normal 4 2 4 6 3 2" xfId="14884" xr:uid="{0C970379-B745-486B-811B-E9DD13149899}"/>
    <cellStyle name="Normal 4 2 4 6 4" xfId="10667" xr:uid="{27CB0C76-D7EB-49F5-8C76-B07DF6EA56F8}"/>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98F22D5E-5FA9-456A-91AB-B6A051E5580D}"/>
    <cellStyle name="Normal 4 2 4 7 2 3" xfId="13225" xr:uid="{CAF9A3D4-8D1B-46C7-A8CE-F4C713D7F204}"/>
    <cellStyle name="Normal 4 2 4 7 3" xfId="5971" xr:uid="{00000000-0005-0000-0000-0000C4130000}"/>
    <cellStyle name="Normal 4 2 4 7 3 2" xfId="15297" xr:uid="{0A2F89D5-35CD-4343-99C1-A47FC2A10FA0}"/>
    <cellStyle name="Normal 4 2 4 7 4" xfId="11080" xr:uid="{9A14A9B6-F5F5-4B42-8894-D500EE76737C}"/>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971D1719-A267-4FD9-B566-385AB895425D}"/>
    <cellStyle name="Normal 4 2 4 8 2 3" xfId="13638" xr:uid="{93C8BD94-2B8E-4D8E-90A4-F16FC8C358A0}"/>
    <cellStyle name="Normal 4 2 4 8 3" xfId="6384" xr:uid="{00000000-0005-0000-0000-0000C8130000}"/>
    <cellStyle name="Normal 4 2 4 8 3 2" xfId="15710" xr:uid="{3BC3F0BE-B29D-4E59-B53A-CAFD95C4E63B}"/>
    <cellStyle name="Normal 4 2 4 8 4" xfId="11493" xr:uid="{FA5B87C5-1876-4033-A6D2-B68EEC59814D}"/>
    <cellStyle name="Normal 4 2 4 9" xfId="2514" xr:uid="{00000000-0005-0000-0000-0000C9130000}"/>
    <cellStyle name="Normal 4 2 4 9 2" xfId="6797" xr:uid="{00000000-0005-0000-0000-0000CA130000}"/>
    <cellStyle name="Normal 4 2 4 9 2 2" xfId="16123" xr:uid="{C53E9638-1DD2-4170-B442-F6E765A29925}"/>
    <cellStyle name="Normal 4 2 4 9 3" xfId="11906" xr:uid="{23694D4E-8CCD-46EE-A769-3332FB38686F}"/>
    <cellStyle name="Normal 4 2 5" xfId="363" xr:uid="{00000000-0005-0000-0000-0000CB130000}"/>
    <cellStyle name="Normal 4 2 5 10" xfId="9849" xr:uid="{C80E06B1-0933-4EC1-BAD8-E1AA60186577}"/>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6CAB17D0-15A7-470C-BFDA-0D936F4895E4}"/>
    <cellStyle name="Normal 4 2 5 2 2 2 3" xfId="12408" xr:uid="{404B4ED0-B079-4986-8A32-75BA50755CC5}"/>
    <cellStyle name="Normal 4 2 5 2 2 3" xfId="5154" xr:uid="{00000000-0005-0000-0000-0000D0130000}"/>
    <cellStyle name="Normal 4 2 5 2 2 3 2" xfId="14480" xr:uid="{ACC4491A-16CE-4D58-885A-FDD131902C45}"/>
    <cellStyle name="Normal 4 2 5 2 2 4" xfId="9478" xr:uid="{9FEAEEC2-067D-4244-BB0F-0858128140EB}"/>
    <cellStyle name="Normal 4 2 5 2 2 4 2" xfId="18793" xr:uid="{9844B03F-1BFE-42DA-8AD3-BACAA14A418A}"/>
    <cellStyle name="Normal 4 2 5 2 2 5" xfId="10263" xr:uid="{969F9606-0D73-4201-915D-385B9478CB19}"/>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7916286B-65F1-44C5-BFE6-53D669643B90}"/>
    <cellStyle name="Normal 4 2 5 2 3 2 3" xfId="12821" xr:uid="{5F38EBE6-2ED4-4FCB-A149-AED1BFFA88D1}"/>
    <cellStyle name="Normal 4 2 5 2 3 3" xfId="5567" xr:uid="{00000000-0005-0000-0000-0000D4130000}"/>
    <cellStyle name="Normal 4 2 5 2 3 3 2" xfId="14893" xr:uid="{2C976084-D549-4583-9C4F-A3E0354DC05E}"/>
    <cellStyle name="Normal 4 2 5 2 3 4" xfId="10676" xr:uid="{AC89EC5C-657D-402F-A979-E2C7135011F0}"/>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84BF7374-C564-430B-86D7-5F6AEC9FA8FD}"/>
    <cellStyle name="Normal 4 2 5 2 4 2 3" xfId="13234" xr:uid="{1EEFFC0F-DFB3-4BBD-B639-F8E005D1200E}"/>
    <cellStyle name="Normal 4 2 5 2 4 3" xfId="5980" xr:uid="{00000000-0005-0000-0000-0000D8130000}"/>
    <cellStyle name="Normal 4 2 5 2 4 3 2" xfId="15306" xr:uid="{C38E938C-85E3-4E0C-98A3-15F40728F09D}"/>
    <cellStyle name="Normal 4 2 5 2 4 4" xfId="11089" xr:uid="{1C731268-7F58-448B-9CEC-BE33DD17CBDF}"/>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2CF922B2-A02B-4EE8-89B7-67578EF77C8C}"/>
    <cellStyle name="Normal 4 2 5 2 5 2 3" xfId="13647" xr:uid="{67A0E3E5-26FA-4336-B3FD-B3A143819CF9}"/>
    <cellStyle name="Normal 4 2 5 2 5 3" xfId="6393" xr:uid="{00000000-0005-0000-0000-0000DC130000}"/>
    <cellStyle name="Normal 4 2 5 2 5 3 2" xfId="15719" xr:uid="{A8217304-5E55-48B7-AF86-D19DCBAFE5A0}"/>
    <cellStyle name="Normal 4 2 5 2 5 4" xfId="11502" xr:uid="{A817E628-E7D3-4846-9705-F20F3167A5C8}"/>
    <cellStyle name="Normal 4 2 5 2 6" xfId="2523" xr:uid="{00000000-0005-0000-0000-0000DD130000}"/>
    <cellStyle name="Normal 4 2 5 2 6 2" xfId="6806" xr:uid="{00000000-0005-0000-0000-0000DE130000}"/>
    <cellStyle name="Normal 4 2 5 2 6 2 2" xfId="16132" xr:uid="{2B28B0E6-BE4B-4D17-8B0A-815D89532F76}"/>
    <cellStyle name="Normal 4 2 5 2 6 3" xfId="11915" xr:uid="{3E8D302B-8967-4C7B-BA84-E1E21FEDFE90}"/>
    <cellStyle name="Normal 4 2 5 2 7" xfId="4741" xr:uid="{00000000-0005-0000-0000-0000DF130000}"/>
    <cellStyle name="Normal 4 2 5 2 7 2" xfId="14067" xr:uid="{D9E662EC-0C14-469E-A241-5F7E8FD0AF0A}"/>
    <cellStyle name="Normal 4 2 5 2 8" xfId="9053" xr:uid="{0AE18A98-D9E6-47B9-86B0-DDAD3BC77B48}"/>
    <cellStyle name="Normal 4 2 5 2 8 2" xfId="18377" xr:uid="{EB5CBA8C-57B9-47FC-A654-0108FA1A4867}"/>
    <cellStyle name="Normal 4 2 5 2 9" xfId="9850" xr:uid="{E6A4E1EF-DF13-4E2A-A469-7F5C90DBD31C}"/>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CD8A52BB-22D1-400A-BAD9-0F416AF9E58D}"/>
    <cellStyle name="Normal 4 2 5 3 2 3" xfId="12407" xr:uid="{E3F0BCDE-3FC6-4EA4-B856-A02955DF8FBC}"/>
    <cellStyle name="Normal 4 2 5 3 3" xfId="5153" xr:uid="{00000000-0005-0000-0000-0000E3130000}"/>
    <cellStyle name="Normal 4 2 5 3 3 2" xfId="14479" xr:uid="{89E0CECE-9A42-46BB-A5C8-CCE7562B4C48}"/>
    <cellStyle name="Normal 4 2 5 3 4" xfId="9271" xr:uid="{41AE7BB1-E3C7-48BD-B24F-55AE39E68BB6}"/>
    <cellStyle name="Normal 4 2 5 3 4 2" xfId="18586" xr:uid="{CBD34C28-3507-4560-BAF5-A0599F182C9E}"/>
    <cellStyle name="Normal 4 2 5 3 5" xfId="10262" xr:uid="{CC8B23F6-9A81-4C90-8942-A0F8DC56B4B0}"/>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FD2E1D23-0431-4788-9E5A-48B6D2BFCA87}"/>
    <cellStyle name="Normal 4 2 5 4 2 3" xfId="12820" xr:uid="{838F050C-BA8E-4FC2-9F95-9D8BFA9D7D6C}"/>
    <cellStyle name="Normal 4 2 5 4 3" xfId="5566" xr:uid="{00000000-0005-0000-0000-0000E7130000}"/>
    <cellStyle name="Normal 4 2 5 4 3 2" xfId="14892" xr:uid="{3DDBE988-6B16-486B-ADA5-0E5DE879E753}"/>
    <cellStyle name="Normal 4 2 5 4 4" xfId="10675" xr:uid="{BF3D6617-E6D2-4723-AF95-876E5D66016E}"/>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0336D487-C092-42AA-A4BD-BEEAF9251AEE}"/>
    <cellStyle name="Normal 4 2 5 5 2 3" xfId="13233" xr:uid="{27EAB60B-9B68-4B62-A84C-D83B5B9FE30D}"/>
    <cellStyle name="Normal 4 2 5 5 3" xfId="5979" xr:uid="{00000000-0005-0000-0000-0000EB130000}"/>
    <cellStyle name="Normal 4 2 5 5 3 2" xfId="15305" xr:uid="{442FE1C7-88BA-4E1E-879D-C25CAD767A19}"/>
    <cellStyle name="Normal 4 2 5 5 4" xfId="11088" xr:uid="{2867BEDB-3F73-41C1-BFCB-42764A35E467}"/>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8E645A5F-3FCA-4E6C-BBB4-5CF5211E9809}"/>
    <cellStyle name="Normal 4 2 5 6 2 3" xfId="13646" xr:uid="{3FE20B47-64E4-42D3-8E8F-4916F343BEAA}"/>
    <cellStyle name="Normal 4 2 5 6 3" xfId="6392" xr:uid="{00000000-0005-0000-0000-0000EF130000}"/>
    <cellStyle name="Normal 4 2 5 6 3 2" xfId="15718" xr:uid="{65CBFD8B-92C8-4407-AB35-742274BB59B8}"/>
    <cellStyle name="Normal 4 2 5 6 4" xfId="11501" xr:uid="{1021E9E1-A4BD-494C-8E5A-F34F76F74999}"/>
    <cellStyle name="Normal 4 2 5 7" xfId="2522" xr:uid="{00000000-0005-0000-0000-0000F0130000}"/>
    <cellStyle name="Normal 4 2 5 7 2" xfId="6805" xr:uid="{00000000-0005-0000-0000-0000F1130000}"/>
    <cellStyle name="Normal 4 2 5 7 2 2" xfId="16131" xr:uid="{4969B364-0E07-4F8A-BC05-063A3832D441}"/>
    <cellStyle name="Normal 4 2 5 7 3" xfId="11914" xr:uid="{A66398F8-66BB-4DC6-8DEA-0296EBE8E9CF}"/>
    <cellStyle name="Normal 4 2 5 8" xfId="4740" xr:uid="{00000000-0005-0000-0000-0000F2130000}"/>
    <cellStyle name="Normal 4 2 5 8 2" xfId="14066" xr:uid="{9AAEA915-3CAF-4A1C-A86E-AE2AF2BAB1BA}"/>
    <cellStyle name="Normal 4 2 5 9" xfId="8846" xr:uid="{C69C7E2D-02E8-4C87-9C63-A39D0E37A062}"/>
    <cellStyle name="Normal 4 2 5 9 2" xfId="18170" xr:uid="{DE482751-005B-48B9-B9AF-3B9A316200A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0E3827F7-B56A-4D5A-92AC-47EBF2489091}"/>
    <cellStyle name="Normal 4 2 6 2 2 3" xfId="12409" xr:uid="{FFB795B8-391E-4A69-8E3D-7D6FDBFDBE92}"/>
    <cellStyle name="Normal 4 2 6 2 3" xfId="5155" xr:uid="{00000000-0005-0000-0000-0000F7130000}"/>
    <cellStyle name="Normal 4 2 6 2 3 2" xfId="14481" xr:uid="{61C96400-53F6-4277-94A4-687135D98A06}"/>
    <cellStyle name="Normal 4 2 6 2 4" xfId="9387" xr:uid="{933EA8C7-37F7-4AF2-922A-47A5CB1A47BC}"/>
    <cellStyle name="Normal 4 2 6 2 4 2" xfId="18702" xr:uid="{712C8A80-FA21-43BE-A3E8-4045F837FBA9}"/>
    <cellStyle name="Normal 4 2 6 2 5" xfId="10264" xr:uid="{CB619085-CFB3-4A29-9CBD-829E2D48048F}"/>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57198E88-6D7C-4D7E-A5A5-D59175B3528F}"/>
    <cellStyle name="Normal 4 2 6 3 2 3" xfId="12822" xr:uid="{F14561E9-BF0C-40DA-86E1-8F5D23A006D5}"/>
    <cellStyle name="Normal 4 2 6 3 3" xfId="5568" xr:uid="{00000000-0005-0000-0000-0000FB130000}"/>
    <cellStyle name="Normal 4 2 6 3 3 2" xfId="14894" xr:uid="{F39F03F0-218B-4DDC-8223-6A9FEF0235A2}"/>
    <cellStyle name="Normal 4 2 6 3 4" xfId="10677" xr:uid="{245BBDCA-48D0-4C6E-A3D5-C65FA4CE9027}"/>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5371DAC1-5EF5-47E0-8C20-0E484AC1328C}"/>
    <cellStyle name="Normal 4 2 6 4 2 3" xfId="13235" xr:uid="{B63A333C-AF4D-481B-B438-D5C901FB0202}"/>
    <cellStyle name="Normal 4 2 6 4 3" xfId="5981" xr:uid="{00000000-0005-0000-0000-0000FF130000}"/>
    <cellStyle name="Normal 4 2 6 4 3 2" xfId="15307" xr:uid="{C84EA9B9-771F-489C-8809-CE8942FA91FB}"/>
    <cellStyle name="Normal 4 2 6 4 4" xfId="11090" xr:uid="{E535FFDA-5779-4DA9-A1D0-29C6E468472F}"/>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46F5C081-961D-4B1A-A43A-21D0A5AE6EDB}"/>
    <cellStyle name="Normal 4 2 6 5 2 3" xfId="13648" xr:uid="{10CC520A-E3DF-4D41-9D34-AAFE17F28308}"/>
    <cellStyle name="Normal 4 2 6 5 3" xfId="6394" xr:uid="{00000000-0005-0000-0000-000003140000}"/>
    <cellStyle name="Normal 4 2 6 5 3 2" xfId="15720" xr:uid="{DD191CB1-7CFF-475C-8C86-D05BB27F42F0}"/>
    <cellStyle name="Normal 4 2 6 5 4" xfId="11503" xr:uid="{79951EE0-A21A-48D4-A44F-93FF599DF325}"/>
    <cellStyle name="Normal 4 2 6 6" xfId="2524" xr:uid="{00000000-0005-0000-0000-000004140000}"/>
    <cellStyle name="Normal 4 2 6 6 2" xfId="6807" xr:uid="{00000000-0005-0000-0000-000005140000}"/>
    <cellStyle name="Normal 4 2 6 6 2 2" xfId="16133" xr:uid="{F57D0BD9-5904-4E9E-B52D-C2AC0F963BC3}"/>
    <cellStyle name="Normal 4 2 6 6 3" xfId="11916" xr:uid="{B90EEABA-6ACB-4209-9A62-337FEA1FD90E}"/>
    <cellStyle name="Normal 4 2 6 7" xfId="4742" xr:uid="{00000000-0005-0000-0000-000006140000}"/>
    <cellStyle name="Normal 4 2 6 7 2" xfId="14068" xr:uid="{9D46EC99-9242-48A6-99A9-A7D265732B83}"/>
    <cellStyle name="Normal 4 2 6 8" xfId="8962" xr:uid="{1A1596D6-3914-4465-A638-E540359059D2}"/>
    <cellStyle name="Normal 4 2 6 8 2" xfId="18286" xr:uid="{7D62F39D-88DD-4344-82B3-E64917D8ACF6}"/>
    <cellStyle name="Normal 4 2 6 9" xfId="9851" xr:uid="{7FD481A9-4788-44C6-941D-912E394C116A}"/>
    <cellStyle name="Normal 4 2 7" xfId="9165" xr:uid="{6363F967-7399-442D-B2CE-00085FF7F1E8}"/>
    <cellStyle name="Normal 4 2 7 2" xfId="18483" xr:uid="{B5AA7192-E798-47E8-8F54-0AA891064D29}"/>
    <cellStyle name="Normal 4 2 8" xfId="8743" xr:uid="{E2B8331F-47F9-4829-99C7-E05840A106B9}"/>
    <cellStyle name="Normal 4 2 8 2" xfId="18067" xr:uid="{83308C0F-73C7-4037-B22C-8845DDD868F4}"/>
    <cellStyle name="Normal 4 3" xfId="366" xr:uid="{00000000-0005-0000-0000-000007140000}"/>
    <cellStyle name="Normal 4 3 10" xfId="9852" xr:uid="{3D032BBC-C290-424F-93C4-FC08047D24CA}"/>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0 2" xfId="18146" xr:uid="{5D003862-F006-407A-845C-F9B739EDEFB7}"/>
    <cellStyle name="Normal 4 3 2 2 2 11" xfId="9853" xr:uid="{5364090C-B444-4B73-B2BA-217FFF4B5FF3}"/>
    <cellStyle name="Normal 4 3 2 2 2 2" xfId="370" xr:uid="{00000000-0005-0000-0000-00000B140000}"/>
    <cellStyle name="Normal 4 3 2 2 2 2 10" xfId="9854" xr:uid="{AE2990EC-E4CF-47FB-8F1D-76E346DBCDA2}"/>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5BD11DAB-B74D-4540-9F68-DCC3BBA18FBC}"/>
    <cellStyle name="Normal 4 3 2 2 2 2 2 2 2 3" xfId="12413" xr:uid="{915334BB-358A-4D08-8650-0BA63E98F9F0}"/>
    <cellStyle name="Normal 4 3 2 2 2 2 2 2 3" xfId="5159" xr:uid="{00000000-0005-0000-0000-000010140000}"/>
    <cellStyle name="Normal 4 3 2 2 2 2 2 2 3 2" xfId="14485" xr:uid="{3E4759B2-5DE2-47EB-999A-5C635FC6680D}"/>
    <cellStyle name="Normal 4 3 2 2 2 2 2 2 4" xfId="9557" xr:uid="{4F6BDD99-7BF1-4D2F-9EDC-4F75F1942DB4}"/>
    <cellStyle name="Normal 4 3 2 2 2 2 2 2 4 2" xfId="18872" xr:uid="{D0857537-9B27-4EAB-B935-7F46FF9931FB}"/>
    <cellStyle name="Normal 4 3 2 2 2 2 2 2 5" xfId="10268" xr:uid="{6167A31D-F252-4E7A-AAA5-FD8BA1EF424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67153030-6F90-4EE9-A7F9-2B74CBC20459}"/>
    <cellStyle name="Normal 4 3 2 2 2 2 2 3 2 3" xfId="12826" xr:uid="{E7683355-1E0B-4E3A-BB90-617CC4DB794A}"/>
    <cellStyle name="Normal 4 3 2 2 2 2 2 3 3" xfId="5572" xr:uid="{00000000-0005-0000-0000-000014140000}"/>
    <cellStyle name="Normal 4 3 2 2 2 2 2 3 3 2" xfId="14898" xr:uid="{6CBB346E-E37B-456F-B2A4-316F0818507F}"/>
    <cellStyle name="Normal 4 3 2 2 2 2 2 3 4" xfId="10681" xr:uid="{FD0156E6-0405-42E3-AD55-0487828CDD5E}"/>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02A34312-696F-499B-A36F-0B140891D5A0}"/>
    <cellStyle name="Normal 4 3 2 2 2 2 2 4 2 3" xfId="13239" xr:uid="{525D3571-BDCF-4E51-9DF4-DC6BFB990178}"/>
    <cellStyle name="Normal 4 3 2 2 2 2 2 4 3" xfId="5985" xr:uid="{00000000-0005-0000-0000-000018140000}"/>
    <cellStyle name="Normal 4 3 2 2 2 2 2 4 3 2" xfId="15311" xr:uid="{B1DAA68A-587D-4A2D-BEFE-CF70074BE8CE}"/>
    <cellStyle name="Normal 4 3 2 2 2 2 2 4 4" xfId="11094" xr:uid="{DF3A8050-B852-44A0-9444-51BBE79EC568}"/>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42B2CFB3-F017-49EB-BDA4-4323F10A22BA}"/>
    <cellStyle name="Normal 4 3 2 2 2 2 2 5 2 3" xfId="13652" xr:uid="{1569EFCA-6B22-416E-BF0B-2518A281EB14}"/>
    <cellStyle name="Normal 4 3 2 2 2 2 2 5 3" xfId="6398" xr:uid="{00000000-0005-0000-0000-00001C140000}"/>
    <cellStyle name="Normal 4 3 2 2 2 2 2 5 3 2" xfId="15724" xr:uid="{57A6F1AC-38E6-4CE8-969E-77EF4DE3EFEC}"/>
    <cellStyle name="Normal 4 3 2 2 2 2 2 5 4" xfId="11507" xr:uid="{5AC1651D-6337-4E00-812F-53F14C702967}"/>
    <cellStyle name="Normal 4 3 2 2 2 2 2 6" xfId="2528" xr:uid="{00000000-0005-0000-0000-00001D140000}"/>
    <cellStyle name="Normal 4 3 2 2 2 2 2 6 2" xfId="6811" xr:uid="{00000000-0005-0000-0000-00001E140000}"/>
    <cellStyle name="Normal 4 3 2 2 2 2 2 6 2 2" xfId="16137" xr:uid="{CEC2A802-3C13-44C4-9240-5940E29018AB}"/>
    <cellStyle name="Normal 4 3 2 2 2 2 2 6 3" xfId="11920" xr:uid="{3DA21B1E-141A-4FF2-BDBD-1612BC9699BB}"/>
    <cellStyle name="Normal 4 3 2 2 2 2 2 7" xfId="4746" xr:uid="{00000000-0005-0000-0000-00001F140000}"/>
    <cellStyle name="Normal 4 3 2 2 2 2 2 7 2" xfId="14072" xr:uid="{4266E7E9-BE66-4445-95A7-848B25209A78}"/>
    <cellStyle name="Normal 4 3 2 2 2 2 2 8" xfId="9132" xr:uid="{14F6ED12-EABF-4C82-AD59-55D351026913}"/>
    <cellStyle name="Normal 4 3 2 2 2 2 2 8 2" xfId="18456" xr:uid="{EF3FE2FE-13A3-454A-98AB-B621F078F321}"/>
    <cellStyle name="Normal 4 3 2 2 2 2 2 9" xfId="9855" xr:uid="{1AA957C8-C6B5-4B94-A025-51BFFE7FE7C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44F9FE21-E086-4009-AD3A-E854D8FDE881}"/>
    <cellStyle name="Normal 4 3 2 2 2 2 3 2 3" xfId="12412" xr:uid="{8722F400-5481-40F2-B623-A5140D933978}"/>
    <cellStyle name="Normal 4 3 2 2 2 2 3 3" xfId="5158" xr:uid="{00000000-0005-0000-0000-000023140000}"/>
    <cellStyle name="Normal 4 3 2 2 2 2 3 3 2" xfId="14484" xr:uid="{2184A7AF-500C-4239-8A02-DA555CA18EC0}"/>
    <cellStyle name="Normal 4 3 2 2 2 2 3 4" xfId="9350" xr:uid="{DFFEAFB7-A284-4FD9-B115-C19DA011CCC7}"/>
    <cellStyle name="Normal 4 3 2 2 2 2 3 4 2" xfId="18665" xr:uid="{10370608-2289-4978-873C-FD30B31386C1}"/>
    <cellStyle name="Normal 4 3 2 2 2 2 3 5" xfId="10267" xr:uid="{3639EA9F-993E-4462-A6F5-33CDAB5A3FC4}"/>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B7EFF7CE-F6D4-4E9C-B376-069AAA483EFE}"/>
    <cellStyle name="Normal 4 3 2 2 2 2 4 2 3" xfId="12825" xr:uid="{CCFA0DA4-D8C0-4B86-B795-522822F0263B}"/>
    <cellStyle name="Normal 4 3 2 2 2 2 4 3" xfId="5571" xr:uid="{00000000-0005-0000-0000-000027140000}"/>
    <cellStyle name="Normal 4 3 2 2 2 2 4 3 2" xfId="14897" xr:uid="{C48DB67F-5A71-4E0E-97E2-5686F5BB667D}"/>
    <cellStyle name="Normal 4 3 2 2 2 2 4 4" xfId="10680" xr:uid="{CA627750-FB82-4B71-9E26-BEBC7F0840EF}"/>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AF4FF420-CA0F-42BA-AC95-60C965D538B4}"/>
    <cellStyle name="Normal 4 3 2 2 2 2 5 2 3" xfId="13238" xr:uid="{2FEFD88E-A162-4286-B62B-62F45D1D832A}"/>
    <cellStyle name="Normal 4 3 2 2 2 2 5 3" xfId="5984" xr:uid="{00000000-0005-0000-0000-00002B140000}"/>
    <cellStyle name="Normal 4 3 2 2 2 2 5 3 2" xfId="15310" xr:uid="{2E112852-F3E3-40CF-A102-C7FFBD59C66A}"/>
    <cellStyle name="Normal 4 3 2 2 2 2 5 4" xfId="11093" xr:uid="{FA702239-9E4E-45C5-B929-177B385F248F}"/>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91A70AA6-0727-4F26-8F2C-C3B390B6BEF3}"/>
    <cellStyle name="Normal 4 3 2 2 2 2 6 2 3" xfId="13651" xr:uid="{62391539-90DC-42E3-A848-90B895FA6F21}"/>
    <cellStyle name="Normal 4 3 2 2 2 2 6 3" xfId="6397" xr:uid="{00000000-0005-0000-0000-00002F140000}"/>
    <cellStyle name="Normal 4 3 2 2 2 2 6 3 2" xfId="15723" xr:uid="{555746A5-78C5-43FD-9323-668A6DC1F169}"/>
    <cellStyle name="Normal 4 3 2 2 2 2 6 4" xfId="11506" xr:uid="{0F4EEC36-2974-442D-B210-C137D8F5DF3E}"/>
    <cellStyle name="Normal 4 3 2 2 2 2 7" xfId="2527" xr:uid="{00000000-0005-0000-0000-000030140000}"/>
    <cellStyle name="Normal 4 3 2 2 2 2 7 2" xfId="6810" xr:uid="{00000000-0005-0000-0000-000031140000}"/>
    <cellStyle name="Normal 4 3 2 2 2 2 7 2 2" xfId="16136" xr:uid="{1D4B908B-5B98-40CC-B74A-ABBC77100019}"/>
    <cellStyle name="Normal 4 3 2 2 2 2 7 3" xfId="11919" xr:uid="{874D37DE-6CA0-4CDB-A557-AB502865A06C}"/>
    <cellStyle name="Normal 4 3 2 2 2 2 8" xfId="4745" xr:uid="{00000000-0005-0000-0000-000032140000}"/>
    <cellStyle name="Normal 4 3 2 2 2 2 8 2" xfId="14071" xr:uid="{7DEDDF81-01B3-49AA-82CC-85A61F43C527}"/>
    <cellStyle name="Normal 4 3 2 2 2 2 9" xfId="8925" xr:uid="{71BB8AFA-37D7-474D-A12B-C284DDE23CE9}"/>
    <cellStyle name="Normal 4 3 2 2 2 2 9 2" xfId="18249" xr:uid="{E2CBE5E2-DFBF-4E4A-AB80-10C823802E0D}"/>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B436578E-6AE7-48DE-A5C1-14EBD4F648C0}"/>
    <cellStyle name="Normal 4 3 2 2 2 3 2 2 3" xfId="12414" xr:uid="{CF8FC762-417A-4900-B562-46C23AB8D7AD}"/>
    <cellStyle name="Normal 4 3 2 2 2 3 2 3" xfId="5160" xr:uid="{00000000-0005-0000-0000-000037140000}"/>
    <cellStyle name="Normal 4 3 2 2 2 3 2 3 2" xfId="14486" xr:uid="{1B9A00B1-867D-457B-8F3A-8E5DD5A35A67}"/>
    <cellStyle name="Normal 4 3 2 2 2 3 2 4" xfId="9454" xr:uid="{B81F5EAA-7D8E-43B5-94D7-313E66088BA5}"/>
    <cellStyle name="Normal 4 3 2 2 2 3 2 4 2" xfId="18769" xr:uid="{AF877BF2-169A-40EA-BBFB-8A7BB9D0FD25}"/>
    <cellStyle name="Normal 4 3 2 2 2 3 2 5" xfId="10269" xr:uid="{6FD2824A-11AC-450E-B71A-515BE5332A27}"/>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4D843AAE-4DD2-4BFB-8C01-5426FD630135}"/>
    <cellStyle name="Normal 4 3 2 2 2 3 3 2 3" xfId="12827" xr:uid="{4B968839-639F-4270-9ECE-9434C29283F7}"/>
    <cellStyle name="Normal 4 3 2 2 2 3 3 3" xfId="5573" xr:uid="{00000000-0005-0000-0000-00003B140000}"/>
    <cellStyle name="Normal 4 3 2 2 2 3 3 3 2" xfId="14899" xr:uid="{1CD8FA64-52FA-4C8D-96E0-4BA55ADC1EBA}"/>
    <cellStyle name="Normal 4 3 2 2 2 3 3 4" xfId="10682" xr:uid="{98F39690-03A6-43FA-9479-9529484D75A9}"/>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BE81F25F-DE60-461E-A079-0B8D68F7410E}"/>
    <cellStyle name="Normal 4 3 2 2 2 3 4 2 3" xfId="13240" xr:uid="{BA9E02D1-D5CE-4CAF-BE0E-3531924F2F7A}"/>
    <cellStyle name="Normal 4 3 2 2 2 3 4 3" xfId="5986" xr:uid="{00000000-0005-0000-0000-00003F140000}"/>
    <cellStyle name="Normal 4 3 2 2 2 3 4 3 2" xfId="15312" xr:uid="{9D5C75BD-B918-4938-9E5A-0F1574BD44E7}"/>
    <cellStyle name="Normal 4 3 2 2 2 3 4 4" xfId="11095" xr:uid="{C0352AC4-3E97-43AB-8883-5F2569DC5F9A}"/>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534DF13F-9C92-43C6-8102-B33FC7DC574B}"/>
    <cellStyle name="Normal 4 3 2 2 2 3 5 2 3" xfId="13653" xr:uid="{FA86CAB3-AE16-441B-9382-E0B513FE5467}"/>
    <cellStyle name="Normal 4 3 2 2 2 3 5 3" xfId="6399" xr:uid="{00000000-0005-0000-0000-000043140000}"/>
    <cellStyle name="Normal 4 3 2 2 2 3 5 3 2" xfId="15725" xr:uid="{012A97EF-E9A3-48B2-8868-F2778B29345E}"/>
    <cellStyle name="Normal 4 3 2 2 2 3 5 4" xfId="11508" xr:uid="{831E5DD9-2236-4DF5-BCBA-370F9DF2355E}"/>
    <cellStyle name="Normal 4 3 2 2 2 3 6" xfId="2529" xr:uid="{00000000-0005-0000-0000-000044140000}"/>
    <cellStyle name="Normal 4 3 2 2 2 3 6 2" xfId="6812" xr:uid="{00000000-0005-0000-0000-000045140000}"/>
    <cellStyle name="Normal 4 3 2 2 2 3 6 2 2" xfId="16138" xr:uid="{D1287EB0-599B-4EE8-A33C-F3563EFF3317}"/>
    <cellStyle name="Normal 4 3 2 2 2 3 6 3" xfId="11921" xr:uid="{936BA20F-F8EA-48BF-A725-6EF96B182262}"/>
    <cellStyle name="Normal 4 3 2 2 2 3 7" xfId="4747" xr:uid="{00000000-0005-0000-0000-000046140000}"/>
    <cellStyle name="Normal 4 3 2 2 2 3 7 2" xfId="14073" xr:uid="{E4E72662-BBA9-4777-963F-A1031A84291A}"/>
    <cellStyle name="Normal 4 3 2 2 2 3 8" xfId="9029" xr:uid="{CC421D7E-69EF-4D96-A95C-E67F046F8D14}"/>
    <cellStyle name="Normal 4 3 2 2 2 3 8 2" xfId="18353" xr:uid="{BD57B574-C54D-46EE-BB78-49E20B7F280D}"/>
    <cellStyle name="Normal 4 3 2 2 2 3 9" xfId="9856" xr:uid="{AFBFB83B-0B83-4EB8-989D-EA6606260695}"/>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1FE5BAEA-E1ED-417D-9157-3527D8AC982C}"/>
    <cellStyle name="Normal 4 3 2 2 2 4 2 3" xfId="12411" xr:uid="{8254793D-E2D7-4D4D-B74D-169BDCD3F596}"/>
    <cellStyle name="Normal 4 3 2 2 2 4 3" xfId="5157" xr:uid="{00000000-0005-0000-0000-00004A140000}"/>
    <cellStyle name="Normal 4 3 2 2 2 4 3 2" xfId="14483" xr:uid="{973BC9AE-1BAC-4955-8A14-07C2EEA175ED}"/>
    <cellStyle name="Normal 4 3 2 2 2 4 4" xfId="9247" xr:uid="{70D9D224-DB0B-42B4-B4A9-BC88F455C395}"/>
    <cellStyle name="Normal 4 3 2 2 2 4 4 2" xfId="18562" xr:uid="{069EF7F0-1BBF-4A43-97B2-629064B295EB}"/>
    <cellStyle name="Normal 4 3 2 2 2 4 5" xfId="10266" xr:uid="{B9B4B54B-27EC-47D6-91ED-9091A04E2EB6}"/>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5AEF24D7-D788-4669-BE21-9DC6C390CF71}"/>
    <cellStyle name="Normal 4 3 2 2 2 5 2 3" xfId="12824" xr:uid="{7F161C9F-A547-430D-B558-7EA0CCFA9551}"/>
    <cellStyle name="Normal 4 3 2 2 2 5 3" xfId="5570" xr:uid="{00000000-0005-0000-0000-00004E140000}"/>
    <cellStyle name="Normal 4 3 2 2 2 5 3 2" xfId="14896" xr:uid="{F9CE8410-A1F3-406B-B77F-72F585DE228E}"/>
    <cellStyle name="Normal 4 3 2 2 2 5 4" xfId="10679" xr:uid="{006ADC03-F98D-466D-8A79-2ED99B128E9E}"/>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654E45F3-9815-4CF1-AFE4-CD1D5C2A919B}"/>
    <cellStyle name="Normal 4 3 2 2 2 6 2 3" xfId="13237" xr:uid="{A3E73ABE-362B-4F0D-A00E-413753FED5E7}"/>
    <cellStyle name="Normal 4 3 2 2 2 6 3" xfId="5983" xr:uid="{00000000-0005-0000-0000-000052140000}"/>
    <cellStyle name="Normal 4 3 2 2 2 6 3 2" xfId="15309" xr:uid="{BD6638BC-DE4A-4426-A0D1-1590AB10B95F}"/>
    <cellStyle name="Normal 4 3 2 2 2 6 4" xfId="11092" xr:uid="{9A7FA334-DF35-4AA6-BE13-017902F6A4B8}"/>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F8152155-2BD2-4CD6-A857-B83D6CE372C4}"/>
    <cellStyle name="Normal 4 3 2 2 2 7 2 3" xfId="13650" xr:uid="{1E6B6B07-58BD-4D19-8E39-92884B0A4C75}"/>
    <cellStyle name="Normal 4 3 2 2 2 7 3" xfId="6396" xr:uid="{00000000-0005-0000-0000-000056140000}"/>
    <cellStyle name="Normal 4 3 2 2 2 7 3 2" xfId="15722" xr:uid="{FE47D0D7-0479-4D8C-92CA-3173B12BB87D}"/>
    <cellStyle name="Normal 4 3 2 2 2 7 4" xfId="11505" xr:uid="{651ED2AB-02EB-479D-BA80-46C315728AFD}"/>
    <cellStyle name="Normal 4 3 2 2 2 8" xfId="2526" xr:uid="{00000000-0005-0000-0000-000057140000}"/>
    <cellStyle name="Normal 4 3 2 2 2 8 2" xfId="6809" xr:uid="{00000000-0005-0000-0000-000058140000}"/>
    <cellStyle name="Normal 4 3 2 2 2 8 2 2" xfId="16135" xr:uid="{CB893814-3BFF-4993-A02E-EAA035EFCA84}"/>
    <cellStyle name="Normal 4 3 2 2 2 8 3" xfId="11918" xr:uid="{7A24FBED-574E-47F8-A733-3AD2B9789CE4}"/>
    <cellStyle name="Normal 4 3 2 2 2 9" xfId="4744" xr:uid="{00000000-0005-0000-0000-000059140000}"/>
    <cellStyle name="Normal 4 3 2 2 2 9 2" xfId="14070" xr:uid="{1BAE5426-E6A4-468D-9C9A-482D7C00DFE1}"/>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0 2" xfId="18145" xr:uid="{27B7E28C-3D68-4EAC-BEFA-11CD7BB5E935}"/>
    <cellStyle name="Normal 4 3 3 11" xfId="9857" xr:uid="{80BA2A8B-CC2F-4128-B1E1-21022349E894}"/>
    <cellStyle name="Normal 4 3 3 2" xfId="375" xr:uid="{00000000-0005-0000-0000-00005E140000}"/>
    <cellStyle name="Normal 4 3 3 2 10" xfId="9858" xr:uid="{4B41DA17-49E4-46F0-A2C9-728BE1949038}"/>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FBF2A6F4-ADBB-4496-8B80-1E7D27F6F5B5}"/>
    <cellStyle name="Normal 4 3 3 2 2 2 2 3" xfId="12417" xr:uid="{08AF2195-DA46-4E2B-B8D2-90EF9B33A935}"/>
    <cellStyle name="Normal 4 3 3 2 2 2 3" xfId="5163" xr:uid="{00000000-0005-0000-0000-000063140000}"/>
    <cellStyle name="Normal 4 3 3 2 2 2 3 2" xfId="14489" xr:uid="{C14B6894-2E14-4180-94AD-7BB3DEBC6712}"/>
    <cellStyle name="Normal 4 3 3 2 2 2 4" xfId="9556" xr:uid="{7233D5E9-9F1E-43FF-8391-DCCFDF8A705D}"/>
    <cellStyle name="Normal 4 3 3 2 2 2 4 2" xfId="18871" xr:uid="{0C2833F9-171C-4635-8BA4-A7C479E61027}"/>
    <cellStyle name="Normal 4 3 3 2 2 2 5" xfId="10272" xr:uid="{15147958-CA75-44FD-ACC1-15E975A35AB5}"/>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AC12CA5C-1F06-45B5-9697-64E709AC51CA}"/>
    <cellStyle name="Normal 4 3 3 2 2 3 2 3" xfId="12830" xr:uid="{C79EAE30-DFC3-4FC2-A2EA-24E6CC6A91FA}"/>
    <cellStyle name="Normal 4 3 3 2 2 3 3" xfId="5576" xr:uid="{00000000-0005-0000-0000-000067140000}"/>
    <cellStyle name="Normal 4 3 3 2 2 3 3 2" xfId="14902" xr:uid="{E61FCD03-A172-49FF-9D0E-30C60A1B7109}"/>
    <cellStyle name="Normal 4 3 3 2 2 3 4" xfId="10685" xr:uid="{C36F5CCF-484A-4106-BDF5-4C013362D21F}"/>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936B5D14-1410-45CF-BB75-E78F76F1AC90}"/>
    <cellStyle name="Normal 4 3 3 2 2 4 2 3" xfId="13243" xr:uid="{27C4018E-35A1-4E29-BC1A-4D19252CEAF9}"/>
    <cellStyle name="Normal 4 3 3 2 2 4 3" xfId="5989" xr:uid="{00000000-0005-0000-0000-00006B140000}"/>
    <cellStyle name="Normal 4 3 3 2 2 4 3 2" xfId="15315" xr:uid="{5ACA411B-A3F1-4585-B0E5-24AFF1C40FAE}"/>
    <cellStyle name="Normal 4 3 3 2 2 4 4" xfId="11098" xr:uid="{498E047D-DFBC-4FE6-9FF4-7BA0959BDCBB}"/>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90C8D5A0-55B4-45BD-AAB7-0FC3EEA87ED4}"/>
    <cellStyle name="Normal 4 3 3 2 2 5 2 3" xfId="13656" xr:uid="{D1B5729E-F556-44E3-BC34-6A31D4865942}"/>
    <cellStyle name="Normal 4 3 3 2 2 5 3" xfId="6402" xr:uid="{00000000-0005-0000-0000-00006F140000}"/>
    <cellStyle name="Normal 4 3 3 2 2 5 3 2" xfId="15728" xr:uid="{7C9AA565-976C-4572-B592-48A338EFD9C7}"/>
    <cellStyle name="Normal 4 3 3 2 2 5 4" xfId="11511" xr:uid="{97007460-2C78-4C00-BE8B-7CD164731BEF}"/>
    <cellStyle name="Normal 4 3 3 2 2 6" xfId="2532" xr:uid="{00000000-0005-0000-0000-000070140000}"/>
    <cellStyle name="Normal 4 3 3 2 2 6 2" xfId="6815" xr:uid="{00000000-0005-0000-0000-000071140000}"/>
    <cellStyle name="Normal 4 3 3 2 2 6 2 2" xfId="16141" xr:uid="{3969065F-32DD-4EDA-B2F6-0DF3B796E546}"/>
    <cellStyle name="Normal 4 3 3 2 2 6 3" xfId="11924" xr:uid="{9BAE4F9A-7203-4867-A8E9-5C51B3C38DA8}"/>
    <cellStyle name="Normal 4 3 3 2 2 7" xfId="4750" xr:uid="{00000000-0005-0000-0000-000072140000}"/>
    <cellStyle name="Normal 4 3 3 2 2 7 2" xfId="14076" xr:uid="{D5607251-DD2D-4083-AF73-27E74B1349C8}"/>
    <cellStyle name="Normal 4 3 3 2 2 8" xfId="9131" xr:uid="{D7BA3B10-6765-4B57-99D1-3AF7343772F8}"/>
    <cellStyle name="Normal 4 3 3 2 2 8 2" xfId="18455" xr:uid="{9BF028F3-DD10-43EE-AB1C-DED4934DF668}"/>
    <cellStyle name="Normal 4 3 3 2 2 9" xfId="9859" xr:uid="{40817D9F-15B6-4A45-870B-D7AA67E87E78}"/>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FE02616C-B50C-4512-98A5-606826017222}"/>
    <cellStyle name="Normal 4 3 3 2 3 2 3" xfId="12416" xr:uid="{20D915A8-CB48-4792-8FDF-F038FE24F72F}"/>
    <cellStyle name="Normal 4 3 3 2 3 3" xfId="5162" xr:uid="{00000000-0005-0000-0000-000076140000}"/>
    <cellStyle name="Normal 4 3 3 2 3 3 2" xfId="14488" xr:uid="{45BCEABA-9EFB-4422-B2A2-D0FCF8CDD1C0}"/>
    <cellStyle name="Normal 4 3 3 2 3 4" xfId="9349" xr:uid="{E498700C-D7AE-42FC-8EB1-59BA2C1BA6B9}"/>
    <cellStyle name="Normal 4 3 3 2 3 4 2" xfId="18664" xr:uid="{088FD2E9-3F26-46C4-AD47-8DC5B7328B7A}"/>
    <cellStyle name="Normal 4 3 3 2 3 5" xfId="10271" xr:uid="{0E399768-4E9A-4B06-AAF3-011AAAF1D040}"/>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DF3961F5-C8E3-433E-95D0-188EE128CD63}"/>
    <cellStyle name="Normal 4 3 3 2 4 2 3" xfId="12829" xr:uid="{9978233D-4520-4746-9BB2-996BFEC09B8F}"/>
    <cellStyle name="Normal 4 3 3 2 4 3" xfId="5575" xr:uid="{00000000-0005-0000-0000-00007A140000}"/>
    <cellStyle name="Normal 4 3 3 2 4 3 2" xfId="14901" xr:uid="{805AFCAC-22A8-4F4F-B351-1017F90F1232}"/>
    <cellStyle name="Normal 4 3 3 2 4 4" xfId="10684" xr:uid="{34CCE2E0-E482-4491-A62E-8AD673BAEDE9}"/>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251CD9EB-E982-4E24-8B30-669798E64649}"/>
    <cellStyle name="Normal 4 3 3 2 5 2 3" xfId="13242" xr:uid="{9C069B20-8C11-4F3D-A1A0-D7EE45821545}"/>
    <cellStyle name="Normal 4 3 3 2 5 3" xfId="5988" xr:uid="{00000000-0005-0000-0000-00007E140000}"/>
    <cellStyle name="Normal 4 3 3 2 5 3 2" xfId="15314" xr:uid="{F81ABC2B-EC3E-49AA-8ADD-AB8C6808C44D}"/>
    <cellStyle name="Normal 4 3 3 2 5 4" xfId="11097" xr:uid="{83B75B23-3B29-4639-ADA8-3A99C9B5912D}"/>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51A4DF45-5574-4BD3-95BC-EFC2B0044506}"/>
    <cellStyle name="Normal 4 3 3 2 6 2 3" xfId="13655" xr:uid="{65FB6E99-A840-468F-B6B0-4F2E0302FDF1}"/>
    <cellStyle name="Normal 4 3 3 2 6 3" xfId="6401" xr:uid="{00000000-0005-0000-0000-000082140000}"/>
    <cellStyle name="Normal 4 3 3 2 6 3 2" xfId="15727" xr:uid="{CD41164A-5BB9-4DCD-AC4D-00C71355006D}"/>
    <cellStyle name="Normal 4 3 3 2 6 4" xfId="11510" xr:uid="{0E919FC2-41EE-41B1-B635-F708AE2B7BB2}"/>
    <cellStyle name="Normal 4 3 3 2 7" xfId="2531" xr:uid="{00000000-0005-0000-0000-000083140000}"/>
    <cellStyle name="Normal 4 3 3 2 7 2" xfId="6814" xr:uid="{00000000-0005-0000-0000-000084140000}"/>
    <cellStyle name="Normal 4 3 3 2 7 2 2" xfId="16140" xr:uid="{1160F38A-6829-488A-8246-46F10F263E37}"/>
    <cellStyle name="Normal 4 3 3 2 7 3" xfId="11923" xr:uid="{D9ED8F8C-5D22-49E2-BF2C-FCAC5A2E3A64}"/>
    <cellStyle name="Normal 4 3 3 2 8" xfId="4749" xr:uid="{00000000-0005-0000-0000-000085140000}"/>
    <cellStyle name="Normal 4 3 3 2 8 2" xfId="14075" xr:uid="{63A9B31A-1107-4BBC-B58D-631C65ACCD9F}"/>
    <cellStyle name="Normal 4 3 3 2 9" xfId="8924" xr:uid="{F9E914C5-63E8-4CB8-8EA1-7427CE35C4AA}"/>
    <cellStyle name="Normal 4 3 3 2 9 2" xfId="18248" xr:uid="{776F291E-1C29-45B4-89A8-B018CEFBBE12}"/>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1CE7CACB-8858-497C-8724-DB727295D413}"/>
    <cellStyle name="Normal 4 3 3 3 2 2 3" xfId="12418" xr:uid="{F735F0D6-CF8F-45AD-B189-82C6CDBF6BCE}"/>
    <cellStyle name="Normal 4 3 3 3 2 3" xfId="5164" xr:uid="{00000000-0005-0000-0000-00008A140000}"/>
    <cellStyle name="Normal 4 3 3 3 2 3 2" xfId="14490" xr:uid="{CFDCFE70-9392-40F0-A3CC-D25B6F583270}"/>
    <cellStyle name="Normal 4 3 3 3 2 4" xfId="9453" xr:uid="{18D68920-503C-42C1-A733-EBE17DC6D008}"/>
    <cellStyle name="Normal 4 3 3 3 2 4 2" xfId="18768" xr:uid="{58A0EAB3-9BD4-4BCC-8D34-07B54A98FF9E}"/>
    <cellStyle name="Normal 4 3 3 3 2 5" xfId="10273" xr:uid="{430B88C5-74EF-4118-A13A-078EDD71275C}"/>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38A84FEA-4990-409C-8C29-8B641A58EFFD}"/>
    <cellStyle name="Normal 4 3 3 3 3 2 3" xfId="12831" xr:uid="{AE211316-925B-4894-A58E-D3EE53AF8F05}"/>
    <cellStyle name="Normal 4 3 3 3 3 3" xfId="5577" xr:uid="{00000000-0005-0000-0000-00008E140000}"/>
    <cellStyle name="Normal 4 3 3 3 3 3 2" xfId="14903" xr:uid="{A36E4062-1E00-49D1-9397-6FD63CF9C32F}"/>
    <cellStyle name="Normal 4 3 3 3 3 4" xfId="10686" xr:uid="{158A71A0-0EC0-42AC-B137-A3331354DF9F}"/>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FDEFCB8F-B07E-4DB8-85F6-22C5E649FB9A}"/>
    <cellStyle name="Normal 4 3 3 3 4 2 3" xfId="13244" xr:uid="{E50C825E-5543-44E5-BCD3-E90AA8A4E60C}"/>
    <cellStyle name="Normal 4 3 3 3 4 3" xfId="5990" xr:uid="{00000000-0005-0000-0000-000092140000}"/>
    <cellStyle name="Normal 4 3 3 3 4 3 2" xfId="15316" xr:uid="{E78DEA7D-EFBF-4ED9-8947-46518612203C}"/>
    <cellStyle name="Normal 4 3 3 3 4 4" xfId="11099" xr:uid="{642FE2FD-67E7-4846-9315-6D3942515AF9}"/>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BAC17C78-DE0C-4FA9-9785-2057164D1B43}"/>
    <cellStyle name="Normal 4 3 3 3 5 2 3" xfId="13657" xr:uid="{0E1170EC-7760-474E-9ADE-CC8F104007E1}"/>
    <cellStyle name="Normal 4 3 3 3 5 3" xfId="6403" xr:uid="{00000000-0005-0000-0000-000096140000}"/>
    <cellStyle name="Normal 4 3 3 3 5 3 2" xfId="15729" xr:uid="{8F846BA9-22B0-4F32-BCDF-B8FF67CB8AAE}"/>
    <cellStyle name="Normal 4 3 3 3 5 4" xfId="11512" xr:uid="{2CB16AD8-A871-4A7D-9271-0EEA90036273}"/>
    <cellStyle name="Normal 4 3 3 3 6" xfId="2533" xr:uid="{00000000-0005-0000-0000-000097140000}"/>
    <cellStyle name="Normal 4 3 3 3 6 2" xfId="6816" xr:uid="{00000000-0005-0000-0000-000098140000}"/>
    <cellStyle name="Normal 4 3 3 3 6 2 2" xfId="16142" xr:uid="{7C7E9F1A-585E-4587-A879-52BB38C46774}"/>
    <cellStyle name="Normal 4 3 3 3 6 3" xfId="11925" xr:uid="{98EB14BF-76A2-4894-96C6-E86674A54857}"/>
    <cellStyle name="Normal 4 3 3 3 7" xfId="4751" xr:uid="{00000000-0005-0000-0000-000099140000}"/>
    <cellStyle name="Normal 4 3 3 3 7 2" xfId="14077" xr:uid="{9A386270-F1BA-451C-A828-441426D8A11E}"/>
    <cellStyle name="Normal 4 3 3 3 8" xfId="9028" xr:uid="{A0BD85BE-0D8B-455E-B326-708B8FF8A8C8}"/>
    <cellStyle name="Normal 4 3 3 3 8 2" xfId="18352" xr:uid="{2E5C8D8D-85B5-4D73-BB7C-DF7662A38FFD}"/>
    <cellStyle name="Normal 4 3 3 3 9" xfId="9860" xr:uid="{9C3D332B-8725-4570-A22A-2FD7A70BA7EA}"/>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AC3A98D5-B345-40AD-906A-B878570B22A3}"/>
    <cellStyle name="Normal 4 3 3 4 2 3" xfId="12415" xr:uid="{24D0957D-4F72-43D3-9B27-4CDBF45F1AA2}"/>
    <cellStyle name="Normal 4 3 3 4 3" xfId="5161" xr:uid="{00000000-0005-0000-0000-00009D140000}"/>
    <cellStyle name="Normal 4 3 3 4 3 2" xfId="14487" xr:uid="{DF299E10-43F8-4BD4-8761-72B09F284557}"/>
    <cellStyle name="Normal 4 3 3 4 4" xfId="9246" xr:uid="{E1107DA9-8F13-4216-80A2-CEA1D2EF57FC}"/>
    <cellStyle name="Normal 4 3 3 4 4 2" xfId="18561" xr:uid="{12E53A1D-98CF-4709-97FC-7D33EA3B77D9}"/>
    <cellStyle name="Normal 4 3 3 4 5" xfId="10270" xr:uid="{7831B845-06C9-40A6-B587-2135FA81D857}"/>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56446196-9CB1-4F98-BA0B-4C77B1EE9975}"/>
    <cellStyle name="Normal 4 3 3 5 2 3" xfId="12828" xr:uid="{DB6DF0ED-0F01-451B-B004-624BE82DA56B}"/>
    <cellStyle name="Normal 4 3 3 5 3" xfId="5574" xr:uid="{00000000-0005-0000-0000-0000A1140000}"/>
    <cellStyle name="Normal 4 3 3 5 3 2" xfId="14900" xr:uid="{8C0A38A0-AC40-44E9-9B4F-33650119E920}"/>
    <cellStyle name="Normal 4 3 3 5 4" xfId="10683" xr:uid="{E0D4B7FA-3456-4EBA-88C4-49E5B6B93688}"/>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75FE150D-A2EA-4CD8-B984-A2F656E7A9DF}"/>
    <cellStyle name="Normal 4 3 3 6 2 3" xfId="13241" xr:uid="{523AEB4A-5BB0-49B7-94B2-1D62D56893E5}"/>
    <cellStyle name="Normal 4 3 3 6 3" xfId="5987" xr:uid="{00000000-0005-0000-0000-0000A5140000}"/>
    <cellStyle name="Normal 4 3 3 6 3 2" xfId="15313" xr:uid="{E0EAE334-BA1E-4441-AC78-B2D9FD54A9F4}"/>
    <cellStyle name="Normal 4 3 3 6 4" xfId="11096" xr:uid="{B858E1AB-0F28-47E5-AF06-F0496CA59FB1}"/>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BB6576EA-A1B0-4CFC-8F79-5EA6A45CD104}"/>
    <cellStyle name="Normal 4 3 3 7 2 3" xfId="13654" xr:uid="{32AECFBC-3D73-41ED-B10F-C59B2CE2D87C}"/>
    <cellStyle name="Normal 4 3 3 7 3" xfId="6400" xr:uid="{00000000-0005-0000-0000-0000A9140000}"/>
    <cellStyle name="Normal 4 3 3 7 3 2" xfId="15726" xr:uid="{81F00436-0AB2-44F4-A60A-E3C450F419E6}"/>
    <cellStyle name="Normal 4 3 3 7 4" xfId="11509" xr:uid="{5405624A-7EFE-4C38-A8B3-A6A9200CFE68}"/>
    <cellStyle name="Normal 4 3 3 8" xfId="2530" xr:uid="{00000000-0005-0000-0000-0000AA140000}"/>
    <cellStyle name="Normal 4 3 3 8 2" xfId="6813" xr:uid="{00000000-0005-0000-0000-0000AB140000}"/>
    <cellStyle name="Normal 4 3 3 8 2 2" xfId="16139" xr:uid="{E8CBFCC3-2A6B-4CA8-972C-71095EB944AF}"/>
    <cellStyle name="Normal 4 3 3 8 3" xfId="11922" xr:uid="{7EC1FFAD-60B9-4144-8E0C-8F2A285DD433}"/>
    <cellStyle name="Normal 4 3 3 9" xfId="4748" xr:uid="{00000000-0005-0000-0000-0000AC140000}"/>
    <cellStyle name="Normal 4 3 3 9 2" xfId="14074" xr:uid="{9620F919-E0D9-4BC6-99EF-8CDE96B354C7}"/>
    <cellStyle name="Normal 4 3 4" xfId="842" xr:uid="{00000000-0005-0000-0000-0000AD140000}"/>
    <cellStyle name="Normal 4 3 4 2" xfId="3079" xr:uid="{00000000-0005-0000-0000-0000AE140000}"/>
    <cellStyle name="Normal 4 3 4 2 2" xfId="7301" xr:uid="{00000000-0005-0000-0000-0000AF140000}"/>
    <cellStyle name="Normal 4 3 4 2 2 2" xfId="16627" xr:uid="{3DD67E11-0369-42B7-A3DA-0DB3C0323388}"/>
    <cellStyle name="Normal 4 3 4 2 3" xfId="12410" xr:uid="{F0EE34B1-8FBB-48DC-B811-615D659060A2}"/>
    <cellStyle name="Normal 4 3 4 3" xfId="5156" xr:uid="{00000000-0005-0000-0000-0000B0140000}"/>
    <cellStyle name="Normal 4 3 4 3 2" xfId="14482" xr:uid="{86A174EB-9B6E-45D5-9648-EC53033E0105}"/>
    <cellStyle name="Normal 4 3 4 4" xfId="9608" xr:uid="{C2EFFD2B-01D5-4B2B-BD85-BB4245D6A35E}"/>
    <cellStyle name="Normal 4 3 4 4 2" xfId="18909" xr:uid="{D9255C83-25AE-4AA2-8DD7-55F951332949}"/>
    <cellStyle name="Normal 4 3 4 5" xfId="10265" xr:uid="{193B8CD5-0429-410D-B13F-80578392E9AA}"/>
    <cellStyle name="Normal 4 3 5" xfId="1262" xr:uid="{00000000-0005-0000-0000-0000B1140000}"/>
    <cellStyle name="Normal 4 3 5 2" xfId="3492" xr:uid="{00000000-0005-0000-0000-0000B2140000}"/>
    <cellStyle name="Normal 4 3 5 2 2" xfId="7714" xr:uid="{00000000-0005-0000-0000-0000B3140000}"/>
    <cellStyle name="Normal 4 3 5 2 2 2" xfId="17040" xr:uid="{274DCFD9-BAB2-4E40-8F63-5345A7F6CEE3}"/>
    <cellStyle name="Normal 4 3 5 2 3" xfId="12823" xr:uid="{CDB710B2-F91F-4B6B-B41A-204B085963D8}"/>
    <cellStyle name="Normal 4 3 5 3" xfId="5569" xr:uid="{00000000-0005-0000-0000-0000B4140000}"/>
    <cellStyle name="Normal 4 3 5 3 2" xfId="14895" xr:uid="{F1CB0513-DF83-42FB-8DC1-F2BF7FC8CB86}"/>
    <cellStyle name="Normal 4 3 5 4" xfId="10678" xr:uid="{80CFA4BF-52C1-4841-8686-B41AEC456CD8}"/>
    <cellStyle name="Normal 4 3 6" xfId="1675" xr:uid="{00000000-0005-0000-0000-0000B5140000}"/>
    <cellStyle name="Normal 4 3 6 2" xfId="3905" xr:uid="{00000000-0005-0000-0000-0000B6140000}"/>
    <cellStyle name="Normal 4 3 6 2 2" xfId="8127" xr:uid="{00000000-0005-0000-0000-0000B7140000}"/>
    <cellStyle name="Normal 4 3 6 2 2 2" xfId="17453" xr:uid="{AEC22BFE-A040-472F-AEC1-A5DF41CB6D31}"/>
    <cellStyle name="Normal 4 3 6 2 3" xfId="13236" xr:uid="{FBC30BA2-6976-46E8-9DC6-1A920E7BB4A9}"/>
    <cellStyle name="Normal 4 3 6 3" xfId="5982" xr:uid="{00000000-0005-0000-0000-0000B8140000}"/>
    <cellStyle name="Normal 4 3 6 3 2" xfId="15308" xr:uid="{261F1F3B-7509-4F8D-9AC3-80F3E20524AD}"/>
    <cellStyle name="Normal 4 3 6 4" xfId="11091" xr:uid="{369482C9-8CFB-4E1B-96FA-E0DD44F3FB81}"/>
    <cellStyle name="Normal 4 3 7" xfId="2089" xr:uid="{00000000-0005-0000-0000-0000B9140000}"/>
    <cellStyle name="Normal 4 3 7 2" xfId="4318" xr:uid="{00000000-0005-0000-0000-0000BA140000}"/>
    <cellStyle name="Normal 4 3 7 2 2" xfId="8540" xr:uid="{00000000-0005-0000-0000-0000BB140000}"/>
    <cellStyle name="Normal 4 3 7 2 2 2" xfId="17866" xr:uid="{0B77BDF6-3BF1-4D3F-B1C0-836F96FEF0CA}"/>
    <cellStyle name="Normal 4 3 7 2 3" xfId="13649" xr:uid="{E25AEF2A-9B81-4A66-997C-B6AD5D2359A2}"/>
    <cellStyle name="Normal 4 3 7 3" xfId="6395" xr:uid="{00000000-0005-0000-0000-0000BC140000}"/>
    <cellStyle name="Normal 4 3 7 3 2" xfId="15721" xr:uid="{28CD1811-4FEE-47CC-9B6B-B6A0599D3EBE}"/>
    <cellStyle name="Normal 4 3 7 4" xfId="11504" xr:uid="{5E345E61-3039-422B-B045-AA5C25BA88B7}"/>
    <cellStyle name="Normal 4 3 8" xfId="2525" xr:uid="{00000000-0005-0000-0000-0000BD140000}"/>
    <cellStyle name="Normal 4 3 8 2" xfId="6808" xr:uid="{00000000-0005-0000-0000-0000BE140000}"/>
    <cellStyle name="Normal 4 3 8 2 2" xfId="16134" xr:uid="{B94D10BE-8DD6-406B-B578-330FAE0E9BCD}"/>
    <cellStyle name="Normal 4 3 8 3" xfId="11917" xr:uid="{FDE94222-921A-42A4-9BCA-C1D860674614}"/>
    <cellStyle name="Normal 4 3 9" xfId="4743" xr:uid="{00000000-0005-0000-0000-0000BF140000}"/>
    <cellStyle name="Normal 4 3 9 2" xfId="14069" xr:uid="{CFE2F450-A02C-4697-B436-0771D920A16E}"/>
    <cellStyle name="Normal 4 4" xfId="378" xr:uid="{00000000-0005-0000-0000-0000C0140000}"/>
    <cellStyle name="Normal 4 4 10" xfId="2534" xr:uid="{00000000-0005-0000-0000-0000C1140000}"/>
    <cellStyle name="Normal 4 4 10 2" xfId="6817" xr:uid="{00000000-0005-0000-0000-0000C2140000}"/>
    <cellStyle name="Normal 4 4 10 2 2" xfId="16143" xr:uid="{3DDFC6D7-1520-4101-B37A-D1DF49262C37}"/>
    <cellStyle name="Normal 4 4 10 3" xfId="11926" xr:uid="{752E92FB-17C7-4756-95DC-F40A13EA8A27}"/>
    <cellStyle name="Normal 4 4 11" xfId="4752" xr:uid="{00000000-0005-0000-0000-0000C3140000}"/>
    <cellStyle name="Normal 4 4 11 2" xfId="14078" xr:uid="{CAE07003-613A-4201-B32D-7CBB9BA2F920}"/>
    <cellStyle name="Normal 4 4 12" xfId="8749" xr:uid="{A91736B6-873D-4B1A-8B29-18DC69E5E65F}"/>
    <cellStyle name="Normal 4 4 12 2" xfId="18073" xr:uid="{29A5952D-4305-44B1-A227-DE0ECFDC0D77}"/>
    <cellStyle name="Normal 4 4 13" xfId="9861" xr:uid="{A5EEAF8F-AD24-4A95-A1D9-6D162908866D}"/>
    <cellStyle name="Normal 4 4 2" xfId="379" xr:uid="{00000000-0005-0000-0000-0000C4140000}"/>
    <cellStyle name="Normal 4 4 2 10" xfId="4753" xr:uid="{00000000-0005-0000-0000-0000C5140000}"/>
    <cellStyle name="Normal 4 4 2 10 2" xfId="14079" xr:uid="{E7174287-CA7F-4F9B-80B1-326B195B4F16}"/>
    <cellStyle name="Normal 4 4 2 11" xfId="8781" xr:uid="{12B8F0AD-1EB8-4D0A-9CAD-21DEEFEDAE41}"/>
    <cellStyle name="Normal 4 4 2 11 2" xfId="18105" xr:uid="{29C432E5-24FD-470B-BC28-918480F4BED1}"/>
    <cellStyle name="Normal 4 4 2 12" xfId="9862" xr:uid="{B13AFFCB-C517-4BD5-AE95-D4D98356EDD3}"/>
    <cellStyle name="Normal 4 4 2 2" xfId="380" xr:uid="{00000000-0005-0000-0000-0000C6140000}"/>
    <cellStyle name="Normal 4 4 2 2 10" xfId="8824" xr:uid="{FF218EA8-00A9-476B-AA88-FBBBBED2D06B}"/>
    <cellStyle name="Normal 4 4 2 2 10 2" xfId="18148" xr:uid="{8C0A224D-4FD0-41AA-B25B-7A49218B3ACC}"/>
    <cellStyle name="Normal 4 4 2 2 11" xfId="9863" xr:uid="{B7D7D857-0799-4C17-9B12-C12CEE22DF99}"/>
    <cellStyle name="Normal 4 4 2 2 2" xfId="381" xr:uid="{00000000-0005-0000-0000-0000C7140000}"/>
    <cellStyle name="Normal 4 4 2 2 2 10" xfId="9864" xr:uid="{46165F38-0E4F-4E18-8D6C-3FFB89B83137}"/>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7048E275-0A17-4DF4-BEFC-1D3EC2EE0289}"/>
    <cellStyle name="Normal 4 4 2 2 2 2 2 2 3" xfId="12423" xr:uid="{1F81547C-236B-4847-8B8E-40F6E070B92D}"/>
    <cellStyle name="Normal 4 4 2 2 2 2 2 3" xfId="5169" xr:uid="{00000000-0005-0000-0000-0000CC140000}"/>
    <cellStyle name="Normal 4 4 2 2 2 2 2 3 2" xfId="14495" xr:uid="{0BF81397-2ED1-45E6-A6E5-D5440B49E108}"/>
    <cellStyle name="Normal 4 4 2 2 2 2 2 4" xfId="9559" xr:uid="{6E5E886C-D83F-47E6-AD2B-552CC2A98FD0}"/>
    <cellStyle name="Normal 4 4 2 2 2 2 2 4 2" xfId="18874" xr:uid="{7D7BE3D1-A71E-43CD-A851-16FBD09C40C4}"/>
    <cellStyle name="Normal 4 4 2 2 2 2 2 5" xfId="10278" xr:uid="{BDAB20BC-CCFD-4BAF-8EB5-7B91333D4198}"/>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2603FFB7-532B-4BE0-928B-2C9296A6E02F}"/>
    <cellStyle name="Normal 4 4 2 2 2 2 3 2 3" xfId="12836" xr:uid="{634D81F1-A49A-46B6-9553-888A6C08F543}"/>
    <cellStyle name="Normal 4 4 2 2 2 2 3 3" xfId="5582" xr:uid="{00000000-0005-0000-0000-0000D0140000}"/>
    <cellStyle name="Normal 4 4 2 2 2 2 3 3 2" xfId="14908" xr:uid="{03B3A895-7E6F-4EBB-B856-9E1D4985CC18}"/>
    <cellStyle name="Normal 4 4 2 2 2 2 3 4" xfId="10691" xr:uid="{E284C314-D550-4977-910C-DAF50809FA0F}"/>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43CA73D9-84C0-4CF9-B1AE-D8E04193FD69}"/>
    <cellStyle name="Normal 4 4 2 2 2 2 4 2 3" xfId="13249" xr:uid="{EC7A476F-7F80-4915-9B19-5DFB9A5D8FCF}"/>
    <cellStyle name="Normal 4 4 2 2 2 2 4 3" xfId="5995" xr:uid="{00000000-0005-0000-0000-0000D4140000}"/>
    <cellStyle name="Normal 4 4 2 2 2 2 4 3 2" xfId="15321" xr:uid="{079D0BA2-891A-4125-B95F-6B175E7094E0}"/>
    <cellStyle name="Normal 4 4 2 2 2 2 4 4" xfId="11104" xr:uid="{1204421A-B252-45B2-9FEB-77D8E54B289E}"/>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F3E31E0D-6CED-4118-8EBA-139F359F6950}"/>
    <cellStyle name="Normal 4 4 2 2 2 2 5 2 3" xfId="13662" xr:uid="{57FEF9E7-62D8-40FA-87D7-C27CDEB06CF9}"/>
    <cellStyle name="Normal 4 4 2 2 2 2 5 3" xfId="6408" xr:uid="{00000000-0005-0000-0000-0000D8140000}"/>
    <cellStyle name="Normal 4 4 2 2 2 2 5 3 2" xfId="15734" xr:uid="{04228292-BA30-4534-9730-EDB453FDFCDF}"/>
    <cellStyle name="Normal 4 4 2 2 2 2 5 4" xfId="11517" xr:uid="{10A76F7F-4A02-4B7A-A8BB-84009208E2A6}"/>
    <cellStyle name="Normal 4 4 2 2 2 2 6" xfId="2538" xr:uid="{00000000-0005-0000-0000-0000D9140000}"/>
    <cellStyle name="Normal 4 4 2 2 2 2 6 2" xfId="6821" xr:uid="{00000000-0005-0000-0000-0000DA140000}"/>
    <cellStyle name="Normal 4 4 2 2 2 2 6 2 2" xfId="16147" xr:uid="{31F82887-5BD4-4C87-860C-31CA32357402}"/>
    <cellStyle name="Normal 4 4 2 2 2 2 6 3" xfId="11930" xr:uid="{48AE311A-7260-4446-8FB7-0B966C425CF3}"/>
    <cellStyle name="Normal 4 4 2 2 2 2 7" xfId="4756" xr:uid="{00000000-0005-0000-0000-0000DB140000}"/>
    <cellStyle name="Normal 4 4 2 2 2 2 7 2" xfId="14082" xr:uid="{D7A2EF29-0F09-4A26-98EA-933C3ACB43EA}"/>
    <cellStyle name="Normal 4 4 2 2 2 2 8" xfId="9134" xr:uid="{B37D4C66-6754-4A5E-BFF7-77694E4355C2}"/>
    <cellStyle name="Normal 4 4 2 2 2 2 8 2" xfId="18458" xr:uid="{68AC6B29-FB5D-45EC-AFF9-25037E51D529}"/>
    <cellStyle name="Normal 4 4 2 2 2 2 9" xfId="9865" xr:uid="{77348E1F-E9D0-4F05-9FB9-95655B13264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D33C30B5-C456-47D7-AEF0-B2294EE78942}"/>
    <cellStyle name="Normal 4 4 2 2 2 3 2 3" xfId="12422" xr:uid="{85E059AF-2C92-4412-8BD4-C2E011665FF6}"/>
    <cellStyle name="Normal 4 4 2 2 2 3 3" xfId="5168" xr:uid="{00000000-0005-0000-0000-0000DF140000}"/>
    <cellStyle name="Normal 4 4 2 2 2 3 3 2" xfId="14494" xr:uid="{6B7131F3-87B4-4CB0-907A-F9731113A51B}"/>
    <cellStyle name="Normal 4 4 2 2 2 3 4" xfId="9352" xr:uid="{76F31DA2-44D0-447F-BA9C-6271BA6AAE96}"/>
    <cellStyle name="Normal 4 4 2 2 2 3 4 2" xfId="18667" xr:uid="{80B3895F-0694-415E-88D9-89ED84850BD7}"/>
    <cellStyle name="Normal 4 4 2 2 2 3 5" xfId="10277" xr:uid="{36BB0889-A8BC-482F-89DA-C2B411F6144C}"/>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8E158499-D512-47CA-8476-A19E621D5BFA}"/>
    <cellStyle name="Normal 4 4 2 2 2 4 2 3" xfId="12835" xr:uid="{DFE07AA3-C2E7-454B-A1FD-BA7138AC7B73}"/>
    <cellStyle name="Normal 4 4 2 2 2 4 3" xfId="5581" xr:uid="{00000000-0005-0000-0000-0000E3140000}"/>
    <cellStyle name="Normal 4 4 2 2 2 4 3 2" xfId="14907" xr:uid="{69D76F20-DE10-46C6-9B56-E35E709DCC55}"/>
    <cellStyle name="Normal 4 4 2 2 2 4 4" xfId="10690" xr:uid="{66E30653-0930-48A8-94AD-0855136868AC}"/>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78F94A44-4EE7-4C1F-B8A0-DB212DE46682}"/>
    <cellStyle name="Normal 4 4 2 2 2 5 2 3" xfId="13248" xr:uid="{599D1376-42E4-411C-9F69-BB5240F788AC}"/>
    <cellStyle name="Normal 4 4 2 2 2 5 3" xfId="5994" xr:uid="{00000000-0005-0000-0000-0000E7140000}"/>
    <cellStyle name="Normal 4 4 2 2 2 5 3 2" xfId="15320" xr:uid="{94C76F86-E8A4-49FA-BA02-364995539EC7}"/>
    <cellStyle name="Normal 4 4 2 2 2 5 4" xfId="11103" xr:uid="{E3C66532-B275-4E8C-944A-90546D0CF524}"/>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A8DE9FDA-FC60-433F-A007-143176E75F66}"/>
    <cellStyle name="Normal 4 4 2 2 2 6 2 3" xfId="13661" xr:uid="{63B26010-FEF8-44AA-A050-B781801313D2}"/>
    <cellStyle name="Normal 4 4 2 2 2 6 3" xfId="6407" xr:uid="{00000000-0005-0000-0000-0000EB140000}"/>
    <cellStyle name="Normal 4 4 2 2 2 6 3 2" xfId="15733" xr:uid="{3BD1CE0A-357E-4558-8512-F8BB588C9F6F}"/>
    <cellStyle name="Normal 4 4 2 2 2 6 4" xfId="11516" xr:uid="{331B5C3A-E321-4A75-9652-F88EFC51EE4C}"/>
    <cellStyle name="Normal 4 4 2 2 2 7" xfId="2537" xr:uid="{00000000-0005-0000-0000-0000EC140000}"/>
    <cellStyle name="Normal 4 4 2 2 2 7 2" xfId="6820" xr:uid="{00000000-0005-0000-0000-0000ED140000}"/>
    <cellStyle name="Normal 4 4 2 2 2 7 2 2" xfId="16146" xr:uid="{AA8E6648-BE14-40A4-A7A9-43C718347869}"/>
    <cellStyle name="Normal 4 4 2 2 2 7 3" xfId="11929" xr:uid="{A2031FFC-648A-433F-99EC-90D46D3F97E1}"/>
    <cellStyle name="Normal 4 4 2 2 2 8" xfId="4755" xr:uid="{00000000-0005-0000-0000-0000EE140000}"/>
    <cellStyle name="Normal 4 4 2 2 2 8 2" xfId="14081" xr:uid="{C4AA1EA4-BDB8-449D-A6D2-0AF1A50A5F06}"/>
    <cellStyle name="Normal 4 4 2 2 2 9" xfId="8927" xr:uid="{195B9197-F273-4D3B-B7A6-9CBAA360D528}"/>
    <cellStyle name="Normal 4 4 2 2 2 9 2" xfId="18251" xr:uid="{12488938-3E82-4F89-9356-2461F80AB671}"/>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143EC03C-16DE-4633-AEE8-96D268B2B6D6}"/>
    <cellStyle name="Normal 4 4 2 2 3 2 2 3" xfId="12424" xr:uid="{10AEBD3B-9531-4678-A930-B38FBA6F7075}"/>
    <cellStyle name="Normal 4 4 2 2 3 2 3" xfId="5170" xr:uid="{00000000-0005-0000-0000-0000F3140000}"/>
    <cellStyle name="Normal 4 4 2 2 3 2 3 2" xfId="14496" xr:uid="{FC8AC6AA-84F9-4FC1-97B3-D18D6C9B7B07}"/>
    <cellStyle name="Normal 4 4 2 2 3 2 4" xfId="9456" xr:uid="{7CB0B972-68D8-4A2C-A3A7-1D2BD109E44A}"/>
    <cellStyle name="Normal 4 4 2 2 3 2 4 2" xfId="18771" xr:uid="{E2CAD058-926C-452C-B3D9-C8FBCACB7E37}"/>
    <cellStyle name="Normal 4 4 2 2 3 2 5" xfId="10279" xr:uid="{FF63EC2C-3BBA-49D7-84EF-49041EBB54A8}"/>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438966A9-3C0F-4644-A7E5-6407384A5888}"/>
    <cellStyle name="Normal 4 4 2 2 3 3 2 3" xfId="12837" xr:uid="{6502F0E1-5FC8-44BE-817C-543BA14A696A}"/>
    <cellStyle name="Normal 4 4 2 2 3 3 3" xfId="5583" xr:uid="{00000000-0005-0000-0000-0000F7140000}"/>
    <cellStyle name="Normal 4 4 2 2 3 3 3 2" xfId="14909" xr:uid="{0F2AD8A8-E62F-4BDE-9D08-E0C4EF495DE1}"/>
    <cellStyle name="Normal 4 4 2 2 3 3 4" xfId="10692" xr:uid="{C1EC7FDF-13AC-4687-8B70-2C134177052F}"/>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14C68B7B-5B7E-4B71-9166-075C858F992C}"/>
    <cellStyle name="Normal 4 4 2 2 3 4 2 3" xfId="13250" xr:uid="{40F7F49D-6014-42A9-85A9-7D928754E282}"/>
    <cellStyle name="Normal 4 4 2 2 3 4 3" xfId="5996" xr:uid="{00000000-0005-0000-0000-0000FB140000}"/>
    <cellStyle name="Normal 4 4 2 2 3 4 3 2" xfId="15322" xr:uid="{34A6780C-8BBC-4160-B782-8D68C6F7BDFD}"/>
    <cellStyle name="Normal 4 4 2 2 3 4 4" xfId="11105" xr:uid="{B22F2FA3-6212-4225-B5EB-83D03C8DFE41}"/>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9E02DD09-3B44-47F8-98A3-B7A09B74C82C}"/>
    <cellStyle name="Normal 4 4 2 2 3 5 2 3" xfId="13663" xr:uid="{206A3139-AF44-4D39-BD87-511AE021ED58}"/>
    <cellStyle name="Normal 4 4 2 2 3 5 3" xfId="6409" xr:uid="{00000000-0005-0000-0000-0000FF140000}"/>
    <cellStyle name="Normal 4 4 2 2 3 5 3 2" xfId="15735" xr:uid="{0ADCDBE1-041C-45E0-B03E-C11E22149055}"/>
    <cellStyle name="Normal 4 4 2 2 3 5 4" xfId="11518" xr:uid="{54B9A471-7BCB-445E-9B08-20E66E5EE8BD}"/>
    <cellStyle name="Normal 4 4 2 2 3 6" xfId="2539" xr:uid="{00000000-0005-0000-0000-000000150000}"/>
    <cellStyle name="Normal 4 4 2 2 3 6 2" xfId="6822" xr:uid="{00000000-0005-0000-0000-000001150000}"/>
    <cellStyle name="Normal 4 4 2 2 3 6 2 2" xfId="16148" xr:uid="{ABE4ED57-662B-4C1E-A125-37BC372C347F}"/>
    <cellStyle name="Normal 4 4 2 2 3 6 3" xfId="11931" xr:uid="{F67E633B-B1F9-4126-B88E-66A2A114EFCB}"/>
    <cellStyle name="Normal 4 4 2 2 3 7" xfId="4757" xr:uid="{00000000-0005-0000-0000-000002150000}"/>
    <cellStyle name="Normal 4 4 2 2 3 7 2" xfId="14083" xr:uid="{2AD2DEC6-FC4B-43B9-8201-0CA0F17711C4}"/>
    <cellStyle name="Normal 4 4 2 2 3 8" xfId="9031" xr:uid="{F1B59444-328A-4279-8A0A-A9F7E26061D5}"/>
    <cellStyle name="Normal 4 4 2 2 3 8 2" xfId="18355" xr:uid="{1B3698CD-AE0C-4E6C-B8A3-DD9EFD335DB5}"/>
    <cellStyle name="Normal 4 4 2 2 3 9" xfId="9866" xr:uid="{F8485F77-8C3F-4ECF-8D85-17D4BA39F46A}"/>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65BB5F17-C570-4017-AECA-2B01A2ABF1CE}"/>
    <cellStyle name="Normal 4 4 2 2 4 2 3" xfId="12421" xr:uid="{2936EA1F-20C3-4B4C-B1A1-5533DBF3E6B2}"/>
    <cellStyle name="Normal 4 4 2 2 4 3" xfId="5167" xr:uid="{00000000-0005-0000-0000-000006150000}"/>
    <cellStyle name="Normal 4 4 2 2 4 3 2" xfId="14493" xr:uid="{1AFED25F-9F35-43D1-A154-FE374D53871F}"/>
    <cellStyle name="Normal 4 4 2 2 4 4" xfId="9249" xr:uid="{7E4CA7C7-738D-4CFA-907A-40590344548A}"/>
    <cellStyle name="Normal 4 4 2 2 4 4 2" xfId="18564" xr:uid="{78282A11-AE6B-4295-B22F-8C827502320A}"/>
    <cellStyle name="Normal 4 4 2 2 4 5" xfId="10276" xr:uid="{1D84B94B-8B48-419B-B954-9C2CE35437E2}"/>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A33DD6C8-9595-4D8C-8A54-0768DD71BC73}"/>
    <cellStyle name="Normal 4 4 2 2 5 2 3" xfId="12834" xr:uid="{26595CD7-C680-4E00-8209-1ED93E7BD177}"/>
    <cellStyle name="Normal 4 4 2 2 5 3" xfId="5580" xr:uid="{00000000-0005-0000-0000-00000A150000}"/>
    <cellStyle name="Normal 4 4 2 2 5 3 2" xfId="14906" xr:uid="{87E9F52F-F3B9-4E57-A864-89574918C7FE}"/>
    <cellStyle name="Normal 4 4 2 2 5 4" xfId="10689" xr:uid="{021AC368-76F1-49A3-BF24-D3F632C91A49}"/>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76BDBA80-5D5B-4E1B-A8B0-2CE28151A699}"/>
    <cellStyle name="Normal 4 4 2 2 6 2 3" xfId="13247" xr:uid="{C79E0F8E-B4BA-40C7-BB95-DFF6B1FC96EB}"/>
    <cellStyle name="Normal 4 4 2 2 6 3" xfId="5993" xr:uid="{00000000-0005-0000-0000-00000E150000}"/>
    <cellStyle name="Normal 4 4 2 2 6 3 2" xfId="15319" xr:uid="{541D87AD-9D90-41BC-91A9-BC6A508D5EF0}"/>
    <cellStyle name="Normal 4 4 2 2 6 4" xfId="11102" xr:uid="{529FD1AF-D797-4812-B81A-D67609BDCCDC}"/>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5E8E1713-7BB3-431B-A16C-4396F256715D}"/>
    <cellStyle name="Normal 4 4 2 2 7 2 3" xfId="13660" xr:uid="{57816A37-A4FA-49CF-A01E-5D25648814A9}"/>
    <cellStyle name="Normal 4 4 2 2 7 3" xfId="6406" xr:uid="{00000000-0005-0000-0000-000012150000}"/>
    <cellStyle name="Normal 4 4 2 2 7 3 2" xfId="15732" xr:uid="{5BE4DB52-27F7-4152-B4E3-A59C8E38C524}"/>
    <cellStyle name="Normal 4 4 2 2 7 4" xfId="11515" xr:uid="{7A315A74-AFDD-41B4-B97C-886DB311BA02}"/>
    <cellStyle name="Normal 4 4 2 2 8" xfId="2536" xr:uid="{00000000-0005-0000-0000-000013150000}"/>
    <cellStyle name="Normal 4 4 2 2 8 2" xfId="6819" xr:uid="{00000000-0005-0000-0000-000014150000}"/>
    <cellStyle name="Normal 4 4 2 2 8 2 2" xfId="16145" xr:uid="{D1BB3D51-B93C-4183-BF9D-2D7D91E49F61}"/>
    <cellStyle name="Normal 4 4 2 2 8 3" xfId="11928" xr:uid="{5A658BFE-646B-4D9E-9ACD-6C528DD9886C}"/>
    <cellStyle name="Normal 4 4 2 2 9" xfId="4754" xr:uid="{00000000-0005-0000-0000-000015150000}"/>
    <cellStyle name="Normal 4 4 2 2 9 2" xfId="14080" xr:uid="{E0E4AC2D-6EFB-4780-BE31-84DAAED6F0EF}"/>
    <cellStyle name="Normal 4 4 2 3" xfId="384" xr:uid="{00000000-0005-0000-0000-000016150000}"/>
    <cellStyle name="Normal 4 4 2 3 10" xfId="9867" xr:uid="{9BDD1FD8-0093-4056-A81D-FB2F80A1A569}"/>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1C020056-AA8C-422F-965E-1020C7A92B8A}"/>
    <cellStyle name="Normal 4 4 2 3 2 2 2 3" xfId="12426" xr:uid="{C9D63B04-C9A3-4508-8D68-9D831F1A5CCC}"/>
    <cellStyle name="Normal 4 4 2 3 2 2 3" xfId="5172" xr:uid="{00000000-0005-0000-0000-00001B150000}"/>
    <cellStyle name="Normal 4 4 2 3 2 2 3 2" xfId="14498" xr:uid="{6E1C4853-0374-4C68-9857-600C8766FAC5}"/>
    <cellStyle name="Normal 4 4 2 3 2 2 4" xfId="9516" xr:uid="{93008D3B-5827-4778-B167-5B518B5BF56F}"/>
    <cellStyle name="Normal 4 4 2 3 2 2 4 2" xfId="18831" xr:uid="{BDD9221C-E0C1-4A71-9BC2-776BC1CD2DCA}"/>
    <cellStyle name="Normal 4 4 2 3 2 2 5" xfId="10281" xr:uid="{58E61E6B-3012-4890-8BDC-D442304D4503}"/>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937EDB12-A87F-4C29-A526-30B2C4773DF7}"/>
    <cellStyle name="Normal 4 4 2 3 2 3 2 3" xfId="12839" xr:uid="{60EF356D-AB38-4D92-ABC3-BC14F1A28B75}"/>
    <cellStyle name="Normal 4 4 2 3 2 3 3" xfId="5585" xr:uid="{00000000-0005-0000-0000-00001F150000}"/>
    <cellStyle name="Normal 4 4 2 3 2 3 3 2" xfId="14911" xr:uid="{B6F4A9D8-1F48-4E43-9EBF-4FB0E56129E7}"/>
    <cellStyle name="Normal 4 4 2 3 2 3 4" xfId="10694" xr:uid="{961D6A68-DB57-4459-AF36-FA84E024D0E2}"/>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A021C359-576C-46AB-913C-22462931F8C3}"/>
    <cellStyle name="Normal 4 4 2 3 2 4 2 3" xfId="13252" xr:uid="{888D7234-0460-4357-976B-373E50BEA196}"/>
    <cellStyle name="Normal 4 4 2 3 2 4 3" xfId="5998" xr:uid="{00000000-0005-0000-0000-000023150000}"/>
    <cellStyle name="Normal 4 4 2 3 2 4 3 2" xfId="15324" xr:uid="{5CA6149B-E684-413D-836A-2A8CE091E78A}"/>
    <cellStyle name="Normal 4 4 2 3 2 4 4" xfId="11107" xr:uid="{D6F4A811-D271-4BD9-A4D5-F88DC547EFF6}"/>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1C78B069-C9F3-4505-A3B8-7C76C2373CBC}"/>
    <cellStyle name="Normal 4 4 2 3 2 5 2 3" xfId="13665" xr:uid="{3AAF1404-512C-463A-847F-1F36EFEE7803}"/>
    <cellStyle name="Normal 4 4 2 3 2 5 3" xfId="6411" xr:uid="{00000000-0005-0000-0000-000027150000}"/>
    <cellStyle name="Normal 4 4 2 3 2 5 3 2" xfId="15737" xr:uid="{1A67420A-4428-4D33-ACEC-2AC5EDCD6C06}"/>
    <cellStyle name="Normal 4 4 2 3 2 5 4" xfId="11520" xr:uid="{33EEB09E-763B-4D54-8DA1-103508E5AAC2}"/>
    <cellStyle name="Normal 4 4 2 3 2 6" xfId="2541" xr:uid="{00000000-0005-0000-0000-000028150000}"/>
    <cellStyle name="Normal 4 4 2 3 2 6 2" xfId="6824" xr:uid="{00000000-0005-0000-0000-000029150000}"/>
    <cellStyle name="Normal 4 4 2 3 2 6 2 2" xfId="16150" xr:uid="{EC4E4ED2-FDBD-4306-849C-1D011414C1F3}"/>
    <cellStyle name="Normal 4 4 2 3 2 6 3" xfId="11933" xr:uid="{3D418C73-8D22-491D-B1D2-47925D92F404}"/>
    <cellStyle name="Normal 4 4 2 3 2 7" xfId="4759" xr:uid="{00000000-0005-0000-0000-00002A150000}"/>
    <cellStyle name="Normal 4 4 2 3 2 7 2" xfId="14085" xr:uid="{CD9BEC6F-DF5B-48DF-A09E-D3B44132AC66}"/>
    <cellStyle name="Normal 4 4 2 3 2 8" xfId="9091" xr:uid="{9DBAED0A-05EE-4674-B1B7-8D03DBB53301}"/>
    <cellStyle name="Normal 4 4 2 3 2 8 2" xfId="18415" xr:uid="{1E7FABE3-0F17-44A1-B08F-7E64B5D8DDA3}"/>
    <cellStyle name="Normal 4 4 2 3 2 9" xfId="9868" xr:uid="{78485A43-87E7-4C2A-8946-ACBFEDF9E153}"/>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6652AAD5-5223-438E-8A2D-434AFE54080C}"/>
    <cellStyle name="Normal 4 4 2 3 3 2 3" xfId="12425" xr:uid="{4EF5A5CE-2E68-4E1E-8240-495E3043BB08}"/>
    <cellStyle name="Normal 4 4 2 3 3 3" xfId="5171" xr:uid="{00000000-0005-0000-0000-00002E150000}"/>
    <cellStyle name="Normal 4 4 2 3 3 3 2" xfId="14497" xr:uid="{59B31B0E-D3AD-403A-8B14-2BD8E5BAD260}"/>
    <cellStyle name="Normal 4 4 2 3 3 4" xfId="9309" xr:uid="{73E912F6-92AF-449E-AE53-1DEDEF686C0F}"/>
    <cellStyle name="Normal 4 4 2 3 3 4 2" xfId="18624" xr:uid="{48C55F5E-5C45-436B-89FA-D5DD22DE52FD}"/>
    <cellStyle name="Normal 4 4 2 3 3 5" xfId="10280" xr:uid="{3E649412-3541-4BB3-BD17-BD26356BF0A0}"/>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A921F1AA-AAF8-4D41-B24B-C6C891AFA89A}"/>
    <cellStyle name="Normal 4 4 2 3 4 2 3" xfId="12838" xr:uid="{E8732429-6E40-47C2-924D-E760459F7BC6}"/>
    <cellStyle name="Normal 4 4 2 3 4 3" xfId="5584" xr:uid="{00000000-0005-0000-0000-000032150000}"/>
    <cellStyle name="Normal 4 4 2 3 4 3 2" xfId="14910" xr:uid="{9DFDFA26-937D-4498-A2C3-FE1594D3174F}"/>
    <cellStyle name="Normal 4 4 2 3 4 4" xfId="10693" xr:uid="{83A042BC-5B41-4786-BB42-48E5C64129B8}"/>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12F270D4-A764-446C-89C4-D2B108B638CE}"/>
    <cellStyle name="Normal 4 4 2 3 5 2 3" xfId="13251" xr:uid="{98D06AFF-A99D-46F7-95E0-2AE41428F3FB}"/>
    <cellStyle name="Normal 4 4 2 3 5 3" xfId="5997" xr:uid="{00000000-0005-0000-0000-000036150000}"/>
    <cellStyle name="Normal 4 4 2 3 5 3 2" xfId="15323" xr:uid="{05DEF096-0609-403D-B0FD-2498E6BADD7F}"/>
    <cellStyle name="Normal 4 4 2 3 5 4" xfId="11106" xr:uid="{DCAD22D4-27DD-4800-AB31-443661D3458F}"/>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7D64EEF0-74D7-4F9D-9037-BE5CB6583189}"/>
    <cellStyle name="Normal 4 4 2 3 6 2 3" xfId="13664" xr:uid="{A0B2571E-E0C7-4F75-93ED-629D29E6253F}"/>
    <cellStyle name="Normal 4 4 2 3 6 3" xfId="6410" xr:uid="{00000000-0005-0000-0000-00003A150000}"/>
    <cellStyle name="Normal 4 4 2 3 6 3 2" xfId="15736" xr:uid="{5944FB1E-8CDA-4DE4-A873-25B63663E17F}"/>
    <cellStyle name="Normal 4 4 2 3 6 4" xfId="11519" xr:uid="{74006FB8-72F5-4A6E-AE37-4F3FE9FDE299}"/>
    <cellStyle name="Normal 4 4 2 3 7" xfId="2540" xr:uid="{00000000-0005-0000-0000-00003B150000}"/>
    <cellStyle name="Normal 4 4 2 3 7 2" xfId="6823" xr:uid="{00000000-0005-0000-0000-00003C150000}"/>
    <cellStyle name="Normal 4 4 2 3 7 2 2" xfId="16149" xr:uid="{F8702FDF-44D2-4C49-924C-D0E2A31142EC}"/>
    <cellStyle name="Normal 4 4 2 3 7 3" xfId="11932" xr:uid="{964AE7A8-F4CE-4633-832F-E33FC8AB0E08}"/>
    <cellStyle name="Normal 4 4 2 3 8" xfId="4758" xr:uid="{00000000-0005-0000-0000-00003D150000}"/>
    <cellStyle name="Normal 4 4 2 3 8 2" xfId="14084" xr:uid="{DDBF3EFC-B0DC-4232-91B5-3D70222449A3}"/>
    <cellStyle name="Normal 4 4 2 3 9" xfId="8884" xr:uid="{CBA8CCC0-D2E2-46C8-AC83-39734599F615}"/>
    <cellStyle name="Normal 4 4 2 3 9 2" xfId="18208" xr:uid="{A0AA244D-5B2A-4D7C-ADF0-B6485F94B5A9}"/>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A70B38B5-A5D4-4274-94E3-E93F27BFB6D2}"/>
    <cellStyle name="Normal 4 4 2 4 2 2 3" xfId="12427" xr:uid="{784A4814-D5A7-42C4-813E-405D2405E100}"/>
    <cellStyle name="Normal 4 4 2 4 2 3" xfId="5173" xr:uid="{00000000-0005-0000-0000-000042150000}"/>
    <cellStyle name="Normal 4 4 2 4 2 3 2" xfId="14499" xr:uid="{8A3986C0-BB02-4151-B03F-3F63C546369F}"/>
    <cellStyle name="Normal 4 4 2 4 2 4" xfId="9413" xr:uid="{4DC092EA-7C69-4E02-9FE8-33F62D070F54}"/>
    <cellStyle name="Normal 4 4 2 4 2 4 2" xfId="18728" xr:uid="{79AE5287-832A-49DF-BC3C-DBE08F6CF601}"/>
    <cellStyle name="Normal 4 4 2 4 2 5" xfId="10282" xr:uid="{6C3AF3CC-BD0A-41B7-B1DA-BE3A9182CC1F}"/>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4B4BE30E-B243-4A35-B216-222FD3914255}"/>
    <cellStyle name="Normal 4 4 2 4 3 2 3" xfId="12840" xr:uid="{EF6AFC13-838F-4A46-A70E-22F1380CF8D2}"/>
    <cellStyle name="Normal 4 4 2 4 3 3" xfId="5586" xr:uid="{00000000-0005-0000-0000-000046150000}"/>
    <cellStyle name="Normal 4 4 2 4 3 3 2" xfId="14912" xr:uid="{56680A6C-2314-4CB3-BD42-20C8C41BD8A7}"/>
    <cellStyle name="Normal 4 4 2 4 3 4" xfId="10695" xr:uid="{5EB25699-1F1F-417D-AD77-E6202FB98692}"/>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714B1DAF-2CF6-4AB5-AB8D-648F2377D6E4}"/>
    <cellStyle name="Normal 4 4 2 4 4 2 3" xfId="13253" xr:uid="{999BDE18-3C0A-4F0C-A21C-48A0B9485F87}"/>
    <cellStyle name="Normal 4 4 2 4 4 3" xfId="5999" xr:uid="{00000000-0005-0000-0000-00004A150000}"/>
    <cellStyle name="Normal 4 4 2 4 4 3 2" xfId="15325" xr:uid="{60439981-6CCD-4287-AF5C-A949E7750516}"/>
    <cellStyle name="Normal 4 4 2 4 4 4" xfId="11108" xr:uid="{3D363EF3-A53D-479C-A1E1-C376C2323931}"/>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1E213F74-F7A1-4F36-AEE1-B2FC74A60D32}"/>
    <cellStyle name="Normal 4 4 2 4 5 2 3" xfId="13666" xr:uid="{C170C426-B090-4009-938B-FE143C134D1D}"/>
    <cellStyle name="Normal 4 4 2 4 5 3" xfId="6412" xr:uid="{00000000-0005-0000-0000-00004E150000}"/>
    <cellStyle name="Normal 4 4 2 4 5 3 2" xfId="15738" xr:uid="{7F60AC45-58B8-43A4-B559-77949ADF4598}"/>
    <cellStyle name="Normal 4 4 2 4 5 4" xfId="11521" xr:uid="{FB3F6D1C-131E-4569-9E93-5DC8077712D6}"/>
    <cellStyle name="Normal 4 4 2 4 6" xfId="2542" xr:uid="{00000000-0005-0000-0000-00004F150000}"/>
    <cellStyle name="Normal 4 4 2 4 6 2" xfId="6825" xr:uid="{00000000-0005-0000-0000-000050150000}"/>
    <cellStyle name="Normal 4 4 2 4 6 2 2" xfId="16151" xr:uid="{8A9E8B98-A71A-41E6-90F7-F3F4FEBF2D5F}"/>
    <cellStyle name="Normal 4 4 2 4 6 3" xfId="11934" xr:uid="{1B09AB97-9A7F-4FF1-9F2A-FF15EA797D45}"/>
    <cellStyle name="Normal 4 4 2 4 7" xfId="4760" xr:uid="{00000000-0005-0000-0000-000051150000}"/>
    <cellStyle name="Normal 4 4 2 4 7 2" xfId="14086" xr:uid="{0C6E0D46-D1C2-43EC-B8C1-19C6B7494181}"/>
    <cellStyle name="Normal 4 4 2 4 8" xfId="8988" xr:uid="{F852E7B0-7ACD-4401-B3B6-BE989A5C8AD5}"/>
    <cellStyle name="Normal 4 4 2 4 8 2" xfId="18312" xr:uid="{F641B512-02A2-4BF9-8CAE-0EF2056B6E57}"/>
    <cellStyle name="Normal 4 4 2 4 9" xfId="9869" xr:uid="{FDA8C979-8C92-40B9-BA73-4A98E38298DD}"/>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648A0F51-2BCC-4E73-A35B-CF5AC0E7A54B}"/>
    <cellStyle name="Normal 4 4 2 5 2 3" xfId="12420" xr:uid="{C1C28660-495E-49E2-B868-64B32E6A0E0B}"/>
    <cellStyle name="Normal 4 4 2 5 3" xfId="5166" xr:uid="{00000000-0005-0000-0000-000055150000}"/>
    <cellStyle name="Normal 4 4 2 5 3 2" xfId="14492" xr:uid="{25A84CF2-DBFB-4DFA-BA0E-FA916123B116}"/>
    <cellStyle name="Normal 4 4 2 5 4" xfId="9205" xr:uid="{A63DE01D-3EC8-40FC-A47E-E0EA001EED52}"/>
    <cellStyle name="Normal 4 4 2 5 4 2" xfId="18521" xr:uid="{45D90902-BF89-4A46-ADD7-95979F109185}"/>
    <cellStyle name="Normal 4 4 2 5 5" xfId="10275" xr:uid="{F6DB637C-EE27-4FE0-8D61-AEEA78012DB4}"/>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5F7D2DEE-9B33-4AEE-899F-A104D32CDC5B}"/>
    <cellStyle name="Normal 4 4 2 6 2 3" xfId="12833" xr:uid="{B59F81EF-871E-4D55-BA4E-ABA51E59ED1D}"/>
    <cellStyle name="Normal 4 4 2 6 3" xfId="5579" xr:uid="{00000000-0005-0000-0000-000059150000}"/>
    <cellStyle name="Normal 4 4 2 6 3 2" xfId="14905" xr:uid="{6CB3D6A1-9120-4ACD-853E-637BE1B49DD5}"/>
    <cellStyle name="Normal 4 4 2 6 4" xfId="10688" xr:uid="{EF2C6035-028B-40BB-A0E6-147D498E3B73}"/>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94FC016E-8B3A-4DC4-BA0A-017081D93060}"/>
    <cellStyle name="Normal 4 4 2 7 2 3" xfId="13246" xr:uid="{322E946D-8C26-4A51-8973-A75697DF2F42}"/>
    <cellStyle name="Normal 4 4 2 7 3" xfId="5992" xr:uid="{00000000-0005-0000-0000-00005D150000}"/>
    <cellStyle name="Normal 4 4 2 7 3 2" xfId="15318" xr:uid="{17F67BE0-6B0D-45D7-8ECC-B1F04DF3BB18}"/>
    <cellStyle name="Normal 4 4 2 7 4" xfId="11101" xr:uid="{9C38BAF1-F9DB-4C00-86F2-B4F2FB81DBCC}"/>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BF81D503-2578-4F90-AF32-EE67C01FFD95}"/>
    <cellStyle name="Normal 4 4 2 8 2 3" xfId="13659" xr:uid="{263B8DAE-F170-4CD1-B9CA-ACDCA588DB6F}"/>
    <cellStyle name="Normal 4 4 2 8 3" xfId="6405" xr:uid="{00000000-0005-0000-0000-000061150000}"/>
    <cellStyle name="Normal 4 4 2 8 3 2" xfId="15731" xr:uid="{4C24F40E-67B5-44C4-9240-400922B7B913}"/>
    <cellStyle name="Normal 4 4 2 8 4" xfId="11514" xr:uid="{ECC8EBFE-1911-4404-A099-1998B12337E0}"/>
    <cellStyle name="Normal 4 4 2 9" xfId="2535" xr:uid="{00000000-0005-0000-0000-000062150000}"/>
    <cellStyle name="Normal 4 4 2 9 2" xfId="6818" xr:uid="{00000000-0005-0000-0000-000063150000}"/>
    <cellStyle name="Normal 4 4 2 9 2 2" xfId="16144" xr:uid="{0313DC9F-F121-4053-9728-EF11DEA74DA4}"/>
    <cellStyle name="Normal 4 4 2 9 3" xfId="11927" xr:uid="{BE239206-DED0-46E7-9FDD-B69EEA2A717F}"/>
    <cellStyle name="Normal 4 4 3" xfId="387" xr:uid="{00000000-0005-0000-0000-000064150000}"/>
    <cellStyle name="Normal 4 4 3 10" xfId="8823" xr:uid="{E623F102-F69B-4FD0-BEDA-A1480AF4D892}"/>
    <cellStyle name="Normal 4 4 3 10 2" xfId="18147" xr:uid="{93020FE4-55EA-4D35-A215-66D204AB0F8E}"/>
    <cellStyle name="Normal 4 4 3 11" xfId="9870" xr:uid="{6EAD1896-F3FA-4E40-8AE4-5F43FCEBBFA1}"/>
    <cellStyle name="Normal 4 4 3 2" xfId="388" xr:uid="{00000000-0005-0000-0000-000065150000}"/>
    <cellStyle name="Normal 4 4 3 2 10" xfId="9871" xr:uid="{E3F26F2C-62DB-411B-A72E-DC701D8DFE48}"/>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4F1838B3-0745-442E-9639-92041626C9F2}"/>
    <cellStyle name="Normal 4 4 3 2 2 2 2 3" xfId="12430" xr:uid="{A228A221-20CD-40E5-AB44-DE1D2F0171BF}"/>
    <cellStyle name="Normal 4 4 3 2 2 2 3" xfId="5176" xr:uid="{00000000-0005-0000-0000-00006A150000}"/>
    <cellStyle name="Normal 4 4 3 2 2 2 3 2" xfId="14502" xr:uid="{E1A74AC1-86F5-455F-955F-0C2E101D9E08}"/>
    <cellStyle name="Normal 4 4 3 2 2 2 4" xfId="9558" xr:uid="{8C9519E6-5920-473D-9749-EC61E4877632}"/>
    <cellStyle name="Normal 4 4 3 2 2 2 4 2" xfId="18873" xr:uid="{45E26777-87A1-45A0-8257-44A4EBA9BFD1}"/>
    <cellStyle name="Normal 4 4 3 2 2 2 5" xfId="10285" xr:uid="{52F56519-F57B-448E-A558-D3492BED0955}"/>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CF7E18C9-E83E-4727-9EAB-CA2284235229}"/>
    <cellStyle name="Normal 4 4 3 2 2 3 2 3" xfId="12843" xr:uid="{6927B6DF-7C4D-437D-A310-77C54E23A279}"/>
    <cellStyle name="Normal 4 4 3 2 2 3 3" xfId="5589" xr:uid="{00000000-0005-0000-0000-00006E150000}"/>
    <cellStyle name="Normal 4 4 3 2 2 3 3 2" xfId="14915" xr:uid="{6E322A09-010E-4CFC-BDCF-EC6E192406FE}"/>
    <cellStyle name="Normal 4 4 3 2 2 3 4" xfId="10698" xr:uid="{6F98E5F5-F64A-455A-B083-45C7152B5D18}"/>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0238EED4-7122-4629-B361-647D6C1875A7}"/>
    <cellStyle name="Normal 4 4 3 2 2 4 2 3" xfId="13256" xr:uid="{08F5B094-0C32-4A32-9A4E-006FB4A43B1E}"/>
    <cellStyle name="Normal 4 4 3 2 2 4 3" xfId="6002" xr:uid="{00000000-0005-0000-0000-000072150000}"/>
    <cellStyle name="Normal 4 4 3 2 2 4 3 2" xfId="15328" xr:uid="{B4772C45-2857-47DF-9CD5-DBDBB1E92012}"/>
    <cellStyle name="Normal 4 4 3 2 2 4 4" xfId="11111" xr:uid="{43699C5B-63BD-4207-AF69-C6109741EBAA}"/>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60084493-6122-4F2E-9209-47AF9A04E9AF}"/>
    <cellStyle name="Normal 4 4 3 2 2 5 2 3" xfId="13669" xr:uid="{6801168E-A4DC-49B5-981E-C473AC16CA3E}"/>
    <cellStyle name="Normal 4 4 3 2 2 5 3" xfId="6415" xr:uid="{00000000-0005-0000-0000-000076150000}"/>
    <cellStyle name="Normal 4 4 3 2 2 5 3 2" xfId="15741" xr:uid="{834FBF64-A21A-49C5-864B-7D627012FCB4}"/>
    <cellStyle name="Normal 4 4 3 2 2 5 4" xfId="11524" xr:uid="{D3187D78-DD3C-4DCD-85CC-702F5F63E44C}"/>
    <cellStyle name="Normal 4 4 3 2 2 6" xfId="2545" xr:uid="{00000000-0005-0000-0000-000077150000}"/>
    <cellStyle name="Normal 4 4 3 2 2 6 2" xfId="6828" xr:uid="{00000000-0005-0000-0000-000078150000}"/>
    <cellStyle name="Normal 4 4 3 2 2 6 2 2" xfId="16154" xr:uid="{367038EA-FFFF-4C6C-BB7B-380DD1F4B6AD}"/>
    <cellStyle name="Normal 4 4 3 2 2 6 3" xfId="11937" xr:uid="{2409BF04-8E35-4A79-BA5C-0B75D35679EC}"/>
    <cellStyle name="Normal 4 4 3 2 2 7" xfId="4763" xr:uid="{00000000-0005-0000-0000-000079150000}"/>
    <cellStyle name="Normal 4 4 3 2 2 7 2" xfId="14089" xr:uid="{C18543BF-9746-4319-AA21-B04E1F068F8C}"/>
    <cellStyle name="Normal 4 4 3 2 2 8" xfId="9133" xr:uid="{37002A66-D58A-4EF9-8D22-8F1A3EE99E08}"/>
    <cellStyle name="Normal 4 4 3 2 2 8 2" xfId="18457" xr:uid="{4E904F0A-EFEC-4508-8C3C-B9BF3998E76E}"/>
    <cellStyle name="Normal 4 4 3 2 2 9" xfId="9872" xr:uid="{EF70A2BB-4AE5-4A4D-AD57-B15FBA135A1D}"/>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7228876F-E80E-4320-A4F4-F8F91276B742}"/>
    <cellStyle name="Normal 4 4 3 2 3 2 3" xfId="12429" xr:uid="{BFF00573-2E8C-4117-9A84-9A0B80610D99}"/>
    <cellStyle name="Normal 4 4 3 2 3 3" xfId="5175" xr:uid="{00000000-0005-0000-0000-00007D150000}"/>
    <cellStyle name="Normal 4 4 3 2 3 3 2" xfId="14501" xr:uid="{B1ECDCEA-F920-48D1-8C4F-4D0F0B542F14}"/>
    <cellStyle name="Normal 4 4 3 2 3 4" xfId="9351" xr:uid="{51AD2B95-755A-411D-AA40-98381F5D8294}"/>
    <cellStyle name="Normal 4 4 3 2 3 4 2" xfId="18666" xr:uid="{D22A10F6-7ABD-4B1A-BE6E-F3BFC40A04C8}"/>
    <cellStyle name="Normal 4 4 3 2 3 5" xfId="10284" xr:uid="{3641CF51-B186-4EEB-9AF4-F61855ACFF5D}"/>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BBF8FE63-7285-4713-A39C-BFE58206D59D}"/>
    <cellStyle name="Normal 4 4 3 2 4 2 3" xfId="12842" xr:uid="{53600182-643A-45C1-B6FF-87A42657152E}"/>
    <cellStyle name="Normal 4 4 3 2 4 3" xfId="5588" xr:uid="{00000000-0005-0000-0000-000081150000}"/>
    <cellStyle name="Normal 4 4 3 2 4 3 2" xfId="14914" xr:uid="{4B1C0040-4A98-4B29-B9CD-6148CD3AE2D1}"/>
    <cellStyle name="Normal 4 4 3 2 4 4" xfId="10697" xr:uid="{ED69F014-D99E-4594-9C5C-A017F819EB50}"/>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C8F2129C-D960-4A68-9752-4A807CD8B331}"/>
    <cellStyle name="Normal 4 4 3 2 5 2 3" xfId="13255" xr:uid="{A3BF9413-8EBF-4F1A-9D81-5BB9AE30F303}"/>
    <cellStyle name="Normal 4 4 3 2 5 3" xfId="6001" xr:uid="{00000000-0005-0000-0000-000085150000}"/>
    <cellStyle name="Normal 4 4 3 2 5 3 2" xfId="15327" xr:uid="{2A4DD7F9-8699-4F25-91E4-1588BCD77AD0}"/>
    <cellStyle name="Normal 4 4 3 2 5 4" xfId="11110" xr:uid="{58751349-F5A6-4407-AF94-A3D2E5E8E70E}"/>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A72D4443-0667-4B78-85F4-5913D0B2DFCC}"/>
    <cellStyle name="Normal 4 4 3 2 6 2 3" xfId="13668" xr:uid="{A06A5D02-E264-4DD6-835A-8A4621C9967C}"/>
    <cellStyle name="Normal 4 4 3 2 6 3" xfId="6414" xr:uid="{00000000-0005-0000-0000-000089150000}"/>
    <cellStyle name="Normal 4 4 3 2 6 3 2" xfId="15740" xr:uid="{A6F34E39-CE74-4196-A4DB-083095D6EA9A}"/>
    <cellStyle name="Normal 4 4 3 2 6 4" xfId="11523" xr:uid="{999C39E7-04A3-4CD3-9049-6657E69AC43E}"/>
    <cellStyle name="Normal 4 4 3 2 7" xfId="2544" xr:uid="{00000000-0005-0000-0000-00008A150000}"/>
    <cellStyle name="Normal 4 4 3 2 7 2" xfId="6827" xr:uid="{00000000-0005-0000-0000-00008B150000}"/>
    <cellStyle name="Normal 4 4 3 2 7 2 2" xfId="16153" xr:uid="{66BE4258-9613-4478-A8EB-BBD97C019150}"/>
    <cellStyle name="Normal 4 4 3 2 7 3" xfId="11936" xr:uid="{5F473661-5C40-41F2-ABB2-0464480D0F9C}"/>
    <cellStyle name="Normal 4 4 3 2 8" xfId="4762" xr:uid="{00000000-0005-0000-0000-00008C150000}"/>
    <cellStyle name="Normal 4 4 3 2 8 2" xfId="14088" xr:uid="{BAD402B1-8E10-4E47-AD98-C43502ACA968}"/>
    <cellStyle name="Normal 4 4 3 2 9" xfId="8926" xr:uid="{821D1F47-EF8D-4C64-BA70-5606A81A57B5}"/>
    <cellStyle name="Normal 4 4 3 2 9 2" xfId="18250" xr:uid="{EE78FA86-0F53-40AF-ACA2-806CBDD4C901}"/>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D8E0A9F1-3B75-4874-B12F-287B481CB21C}"/>
    <cellStyle name="Normal 4 4 3 3 2 2 3" xfId="12431" xr:uid="{F0012E55-D79E-4CA6-805B-3F1404439EB5}"/>
    <cellStyle name="Normal 4 4 3 3 2 3" xfId="5177" xr:uid="{00000000-0005-0000-0000-000091150000}"/>
    <cellStyle name="Normal 4 4 3 3 2 3 2" xfId="14503" xr:uid="{D76AF944-85F3-4A44-8657-D196808224B9}"/>
    <cellStyle name="Normal 4 4 3 3 2 4" xfId="9455" xr:uid="{E39EB3A2-D99A-426C-AFEC-E4C90C85BE02}"/>
    <cellStyle name="Normal 4 4 3 3 2 4 2" xfId="18770" xr:uid="{E07F9BF9-EB68-4520-877A-4D636E6BA2F5}"/>
    <cellStyle name="Normal 4 4 3 3 2 5" xfId="10286" xr:uid="{15586BF7-4BC0-4463-9451-405D8620F634}"/>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11A78DBC-8933-4069-A218-0E1880F37B6A}"/>
    <cellStyle name="Normal 4 4 3 3 3 2 3" xfId="12844" xr:uid="{6482F4C2-71F1-4C19-BE08-A63AB65DE947}"/>
    <cellStyle name="Normal 4 4 3 3 3 3" xfId="5590" xr:uid="{00000000-0005-0000-0000-000095150000}"/>
    <cellStyle name="Normal 4 4 3 3 3 3 2" xfId="14916" xr:uid="{B55D30C3-54F3-4F09-9042-C7106E4241E0}"/>
    <cellStyle name="Normal 4 4 3 3 3 4" xfId="10699" xr:uid="{11763CB8-9AE7-40AC-AAF2-50F614A18AB0}"/>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CAFB5D74-F455-45B5-ABA8-2B2F125815D0}"/>
    <cellStyle name="Normal 4 4 3 3 4 2 3" xfId="13257" xr:uid="{71A12B65-D633-45AA-B3CC-A171EFBA2752}"/>
    <cellStyle name="Normal 4 4 3 3 4 3" xfId="6003" xr:uid="{00000000-0005-0000-0000-000099150000}"/>
    <cellStyle name="Normal 4 4 3 3 4 3 2" xfId="15329" xr:uid="{C767C288-242A-489C-BA64-1161C926AB5E}"/>
    <cellStyle name="Normal 4 4 3 3 4 4" xfId="11112" xr:uid="{BE6B185D-000F-4E35-82BF-156D818D5817}"/>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6FF3EC33-7E4C-42CE-B088-CEA53324B507}"/>
    <cellStyle name="Normal 4 4 3 3 5 2 3" xfId="13670" xr:uid="{384D973F-DC3E-4C90-830F-A292E7BC4CB7}"/>
    <cellStyle name="Normal 4 4 3 3 5 3" xfId="6416" xr:uid="{00000000-0005-0000-0000-00009D150000}"/>
    <cellStyle name="Normal 4 4 3 3 5 3 2" xfId="15742" xr:uid="{51B6E2FF-5935-4A85-9BFF-0144F7DD3FD3}"/>
    <cellStyle name="Normal 4 4 3 3 5 4" xfId="11525" xr:uid="{0656BE7B-97BD-4E6D-A20D-0B5833309EE0}"/>
    <cellStyle name="Normal 4 4 3 3 6" xfId="2546" xr:uid="{00000000-0005-0000-0000-00009E150000}"/>
    <cellStyle name="Normal 4 4 3 3 6 2" xfId="6829" xr:uid="{00000000-0005-0000-0000-00009F150000}"/>
    <cellStyle name="Normal 4 4 3 3 6 2 2" xfId="16155" xr:uid="{FC18AB98-0E56-4C04-BA22-6E8847D4A816}"/>
    <cellStyle name="Normal 4 4 3 3 6 3" xfId="11938" xr:uid="{31AE8E3D-A4C2-4F8C-8DC2-8361E4F00827}"/>
    <cellStyle name="Normal 4 4 3 3 7" xfId="4764" xr:uid="{00000000-0005-0000-0000-0000A0150000}"/>
    <cellStyle name="Normal 4 4 3 3 7 2" xfId="14090" xr:uid="{2BB95A6C-3A11-4636-98C3-EB5B878AF5D5}"/>
    <cellStyle name="Normal 4 4 3 3 8" xfId="9030" xr:uid="{F975DAAD-4546-4770-9976-5C5C66DA227B}"/>
    <cellStyle name="Normal 4 4 3 3 8 2" xfId="18354" xr:uid="{0815784D-9964-44DF-AAA6-610DD7ED879A}"/>
    <cellStyle name="Normal 4 4 3 3 9" xfId="9873" xr:uid="{572A159C-705F-4291-BBCC-A98C93CA67BD}"/>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AABB4BD7-95A9-4A5E-9284-71618CF94623}"/>
    <cellStyle name="Normal 4 4 3 4 2 3" xfId="12428" xr:uid="{BD0114EB-C3ED-4BCE-B5B6-13F2527E5959}"/>
    <cellStyle name="Normal 4 4 3 4 3" xfId="5174" xr:uid="{00000000-0005-0000-0000-0000A4150000}"/>
    <cellStyle name="Normal 4 4 3 4 3 2" xfId="14500" xr:uid="{DCF58366-41A4-4257-BFA8-40D6059D985E}"/>
    <cellStyle name="Normal 4 4 3 4 4" xfId="9248" xr:uid="{6C5F877B-48E6-47C2-B849-E53F373D5A86}"/>
    <cellStyle name="Normal 4 4 3 4 4 2" xfId="18563" xr:uid="{E21EFBFB-1DF7-4B73-B4FE-B1CE4308F9F8}"/>
    <cellStyle name="Normal 4 4 3 4 5" xfId="10283" xr:uid="{BB8FA0F6-1310-4B09-B784-44B7F59D7FAB}"/>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191FABCC-B501-48D2-87B8-CA45FAE63D91}"/>
    <cellStyle name="Normal 4 4 3 5 2 3" xfId="12841" xr:uid="{731CE65C-2096-40B2-8501-57D3F373001C}"/>
    <cellStyle name="Normal 4 4 3 5 3" xfId="5587" xr:uid="{00000000-0005-0000-0000-0000A8150000}"/>
    <cellStyle name="Normal 4 4 3 5 3 2" xfId="14913" xr:uid="{FC62223D-0729-464A-A62D-7EFBF52F0AD1}"/>
    <cellStyle name="Normal 4 4 3 5 4" xfId="10696" xr:uid="{1A6B4E70-1FEA-4E99-B53C-E40CFAB71BA7}"/>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A9046393-862B-44AE-AAA6-80755E1B938D}"/>
    <cellStyle name="Normal 4 4 3 6 2 3" xfId="13254" xr:uid="{98202C57-294C-4F97-B1CE-DF27516F1EA7}"/>
    <cellStyle name="Normal 4 4 3 6 3" xfId="6000" xr:uid="{00000000-0005-0000-0000-0000AC150000}"/>
    <cellStyle name="Normal 4 4 3 6 3 2" xfId="15326" xr:uid="{7A070767-ECA8-44CF-8BA1-0279B84C6CB9}"/>
    <cellStyle name="Normal 4 4 3 6 4" xfId="11109" xr:uid="{872201E2-72D6-4DDF-9245-7FBCE6F590D2}"/>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12E5BD71-B7E1-4321-BEA4-1B6951E3BAA0}"/>
    <cellStyle name="Normal 4 4 3 7 2 3" xfId="13667" xr:uid="{92F48A7C-49D4-416E-ADBD-FA9EE6965163}"/>
    <cellStyle name="Normal 4 4 3 7 3" xfId="6413" xr:uid="{00000000-0005-0000-0000-0000B0150000}"/>
    <cellStyle name="Normal 4 4 3 7 3 2" xfId="15739" xr:uid="{8DEDB9F6-93F4-49EC-A2EB-A70F2BBAD5E5}"/>
    <cellStyle name="Normal 4 4 3 7 4" xfId="11522" xr:uid="{D00EF0EE-7EAE-4EF7-80EF-CA8A2B97B1BB}"/>
    <cellStyle name="Normal 4 4 3 8" xfId="2543" xr:uid="{00000000-0005-0000-0000-0000B1150000}"/>
    <cellStyle name="Normal 4 4 3 8 2" xfId="6826" xr:uid="{00000000-0005-0000-0000-0000B2150000}"/>
    <cellStyle name="Normal 4 4 3 8 2 2" xfId="16152" xr:uid="{039E8001-B47B-4A70-B0D8-22A98E04A183}"/>
    <cellStyle name="Normal 4 4 3 8 3" xfId="11935" xr:uid="{5AF3B6F2-E5B6-4A90-B142-11A3F3F43CB7}"/>
    <cellStyle name="Normal 4 4 3 9" xfId="4761" xr:uid="{00000000-0005-0000-0000-0000B3150000}"/>
    <cellStyle name="Normal 4 4 3 9 2" xfId="14087" xr:uid="{393D1CE6-FF68-4B7E-B3DF-CB49080910FE}"/>
    <cellStyle name="Normal 4 4 4" xfId="391" xr:uid="{00000000-0005-0000-0000-0000B4150000}"/>
    <cellStyle name="Normal 4 4 4 10" xfId="9874" xr:uid="{A262EF53-3AE1-460D-8CC6-091614E002C7}"/>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E3ECD6CA-8031-4E76-91BC-B0C25AD8B5FC}"/>
    <cellStyle name="Normal 4 4 4 2 2 2 3" xfId="12433" xr:uid="{291BF0AA-821B-45AE-8602-308F253CCB8D}"/>
    <cellStyle name="Normal 4 4 4 2 2 3" xfId="5179" xr:uid="{00000000-0005-0000-0000-0000B9150000}"/>
    <cellStyle name="Normal 4 4 4 2 2 3 2" xfId="14505" xr:uid="{17A288AF-9553-405F-A225-483C1606DE48}"/>
    <cellStyle name="Normal 4 4 4 2 2 4" xfId="9484" xr:uid="{69910E0C-08C8-41C5-A6FC-61B52F6CD538}"/>
    <cellStyle name="Normal 4 4 4 2 2 4 2" xfId="18799" xr:uid="{3D36FB63-D95D-47EF-9EF4-CF4293933D43}"/>
    <cellStyle name="Normal 4 4 4 2 2 5" xfId="10288" xr:uid="{91B78B92-160A-4530-A5F2-95A109A83046}"/>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2E0812C2-20D3-4631-8A95-4FCD44853238}"/>
    <cellStyle name="Normal 4 4 4 2 3 2 3" xfId="12846" xr:uid="{C8D952F1-D692-4E1C-9694-5E211ECD070F}"/>
    <cellStyle name="Normal 4 4 4 2 3 3" xfId="5592" xr:uid="{00000000-0005-0000-0000-0000BD150000}"/>
    <cellStyle name="Normal 4 4 4 2 3 3 2" xfId="14918" xr:uid="{6D572ED1-B0A4-4C0C-973D-F2A037FB7691}"/>
    <cellStyle name="Normal 4 4 4 2 3 4" xfId="10701" xr:uid="{4A61C617-41D3-4DB9-9296-4DC2011EC60F}"/>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7AAB06C6-B7DB-46C4-B4D7-457A42088281}"/>
    <cellStyle name="Normal 4 4 4 2 4 2 3" xfId="13259" xr:uid="{4AA08450-5ABE-4763-B3C5-8810C494AA7E}"/>
    <cellStyle name="Normal 4 4 4 2 4 3" xfId="6005" xr:uid="{00000000-0005-0000-0000-0000C1150000}"/>
    <cellStyle name="Normal 4 4 4 2 4 3 2" xfId="15331" xr:uid="{CD75A1B6-4881-4FDB-89BB-C41A259BA9BC}"/>
    <cellStyle name="Normal 4 4 4 2 4 4" xfId="11114" xr:uid="{4B056C82-A500-4609-9AA9-58A5E92A85C8}"/>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A2476552-FFF3-4385-9C5A-1FAD9A53C5A4}"/>
    <cellStyle name="Normal 4 4 4 2 5 2 3" xfId="13672" xr:uid="{C41D566F-EECF-41FF-9A68-8F72CE4AE1A4}"/>
    <cellStyle name="Normal 4 4 4 2 5 3" xfId="6418" xr:uid="{00000000-0005-0000-0000-0000C5150000}"/>
    <cellStyle name="Normal 4 4 4 2 5 3 2" xfId="15744" xr:uid="{C01134A3-3039-4D82-A2FA-0B1B2882E8B3}"/>
    <cellStyle name="Normal 4 4 4 2 5 4" xfId="11527" xr:uid="{888D41DD-B7B3-4F87-ABC4-95DE7CA620F8}"/>
    <cellStyle name="Normal 4 4 4 2 6" xfId="2548" xr:uid="{00000000-0005-0000-0000-0000C6150000}"/>
    <cellStyle name="Normal 4 4 4 2 6 2" xfId="6831" xr:uid="{00000000-0005-0000-0000-0000C7150000}"/>
    <cellStyle name="Normal 4 4 4 2 6 2 2" xfId="16157" xr:uid="{92D71FFC-9A01-41A5-B80A-48D772C01989}"/>
    <cellStyle name="Normal 4 4 4 2 6 3" xfId="11940" xr:uid="{A07B1C84-4CE4-4050-8E4E-A5CAED7D0004}"/>
    <cellStyle name="Normal 4 4 4 2 7" xfId="4766" xr:uid="{00000000-0005-0000-0000-0000C8150000}"/>
    <cellStyle name="Normal 4 4 4 2 7 2" xfId="14092" xr:uid="{A8AA7D48-53EE-4E98-8806-A64C88ACFA36}"/>
    <cellStyle name="Normal 4 4 4 2 8" xfId="9059" xr:uid="{76617FCA-DBA6-4291-BD32-6340A19903F7}"/>
    <cellStyle name="Normal 4 4 4 2 8 2" xfId="18383" xr:uid="{6CB23BF3-8F60-4174-9CC6-9E3BF871A6AD}"/>
    <cellStyle name="Normal 4 4 4 2 9" xfId="9875" xr:uid="{59208C7C-3934-4CE5-8BCF-BB66E7D3AF0E}"/>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2C3B588B-77D5-4195-8B9D-005D46B28E29}"/>
    <cellStyle name="Normal 4 4 4 3 2 3" xfId="12432" xr:uid="{5B812E5D-B57F-4FF4-9A7A-0CA88C9DEE63}"/>
    <cellStyle name="Normal 4 4 4 3 3" xfId="5178" xr:uid="{00000000-0005-0000-0000-0000CC150000}"/>
    <cellStyle name="Normal 4 4 4 3 3 2" xfId="14504" xr:uid="{2CFF90C8-AA47-4270-88F8-09D5B76CE6BD}"/>
    <cellStyle name="Normal 4 4 4 3 4" xfId="9277" xr:uid="{DD01CD29-2559-4BCC-919C-99D1D75C445F}"/>
    <cellStyle name="Normal 4 4 4 3 4 2" xfId="18592" xr:uid="{D100BBB8-6A68-46CF-BA2A-72E618AEA524}"/>
    <cellStyle name="Normal 4 4 4 3 5" xfId="10287" xr:uid="{5EB5B02E-3F31-4A7F-807E-2670FA2BD52D}"/>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096F78AD-0998-45BF-AEE3-36DE2ACDF39E}"/>
    <cellStyle name="Normal 4 4 4 4 2 3" xfId="12845" xr:uid="{F46ABB9A-4DA0-4014-83EE-19C3932F563D}"/>
    <cellStyle name="Normal 4 4 4 4 3" xfId="5591" xr:uid="{00000000-0005-0000-0000-0000D0150000}"/>
    <cellStyle name="Normal 4 4 4 4 3 2" xfId="14917" xr:uid="{82F271EB-8378-401D-8802-E9EEAB64C928}"/>
    <cellStyle name="Normal 4 4 4 4 4" xfId="10700" xr:uid="{E9A6AB62-22BA-483F-B9DE-FB8C8E04A33A}"/>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D13A7838-1B1D-4795-8887-4376D9ABE344}"/>
    <cellStyle name="Normal 4 4 4 5 2 3" xfId="13258" xr:uid="{522B3D1F-EF77-48B8-AAC8-AF02CEB8ED56}"/>
    <cellStyle name="Normal 4 4 4 5 3" xfId="6004" xr:uid="{00000000-0005-0000-0000-0000D4150000}"/>
    <cellStyle name="Normal 4 4 4 5 3 2" xfId="15330" xr:uid="{41A2F932-1D41-4811-809E-0F78F05FE363}"/>
    <cellStyle name="Normal 4 4 4 5 4" xfId="11113" xr:uid="{997286A3-BAA5-4E4E-8C8B-2D5ACD12FDF0}"/>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1F574D02-746B-4B03-A55B-629DBD329E2F}"/>
    <cellStyle name="Normal 4 4 4 6 2 3" xfId="13671" xr:uid="{2FCFFB82-3928-452A-875E-AA1D9733616F}"/>
    <cellStyle name="Normal 4 4 4 6 3" xfId="6417" xr:uid="{00000000-0005-0000-0000-0000D8150000}"/>
    <cellStyle name="Normal 4 4 4 6 3 2" xfId="15743" xr:uid="{DA7C9796-FCF1-49DD-8F44-106100C45FE4}"/>
    <cellStyle name="Normal 4 4 4 6 4" xfId="11526" xr:uid="{DFE98805-400B-4CA0-BDB7-DE9100D9C533}"/>
    <cellStyle name="Normal 4 4 4 7" xfId="2547" xr:uid="{00000000-0005-0000-0000-0000D9150000}"/>
    <cellStyle name="Normal 4 4 4 7 2" xfId="6830" xr:uid="{00000000-0005-0000-0000-0000DA150000}"/>
    <cellStyle name="Normal 4 4 4 7 2 2" xfId="16156" xr:uid="{5037FA45-2519-4F04-8D4B-8E5010BF5A1F}"/>
    <cellStyle name="Normal 4 4 4 7 3" xfId="11939" xr:uid="{8DA40942-1100-462F-9591-A1F6BEEA6A67}"/>
    <cellStyle name="Normal 4 4 4 8" xfId="4765" xr:uid="{00000000-0005-0000-0000-0000DB150000}"/>
    <cellStyle name="Normal 4 4 4 8 2" xfId="14091" xr:uid="{C141A530-F59E-4075-BF9C-B85FA562FABD}"/>
    <cellStyle name="Normal 4 4 4 9" xfId="8852" xr:uid="{DF4BB962-85B1-44B5-A0FE-735796672772}"/>
    <cellStyle name="Normal 4 4 4 9 2" xfId="18176" xr:uid="{0AB4BE01-140F-48A3-87BD-36CCFAD3056B}"/>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DA3597D0-0885-44D3-B58F-A261E81B356E}"/>
    <cellStyle name="Normal 4 4 5 2 2 3" xfId="12434" xr:uid="{888BC219-4AF8-4BDB-A55D-29A59FA168C8}"/>
    <cellStyle name="Normal 4 4 5 2 3" xfId="5180" xr:uid="{00000000-0005-0000-0000-0000E0150000}"/>
    <cellStyle name="Normal 4 4 5 2 3 2" xfId="14506" xr:uid="{07E97336-BB34-401B-AD32-D0BCFC854F64}"/>
    <cellStyle name="Normal 4 4 5 2 4" xfId="9393" xr:uid="{C2991CC4-4E0B-46C4-B338-C6A1C9BA2DE9}"/>
    <cellStyle name="Normal 4 4 5 2 4 2" xfId="18708" xr:uid="{11FB0BCE-C7E3-4901-858B-0024DC2AE59D}"/>
    <cellStyle name="Normal 4 4 5 2 5" xfId="10289" xr:uid="{3CCEFA24-5D15-4380-8F6C-3EFB6E42C109}"/>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AEE59D83-67D6-4CA1-90E6-61F855A46FA7}"/>
    <cellStyle name="Normal 4 4 5 3 2 3" xfId="12847" xr:uid="{DE2FD86E-36B5-4E3D-8B23-11A16B3502F2}"/>
    <cellStyle name="Normal 4 4 5 3 3" xfId="5593" xr:uid="{00000000-0005-0000-0000-0000E4150000}"/>
    <cellStyle name="Normal 4 4 5 3 3 2" xfId="14919" xr:uid="{BFF7EFD6-384F-475A-BC02-66473DF1DFF8}"/>
    <cellStyle name="Normal 4 4 5 3 4" xfId="10702" xr:uid="{E3985742-D8BA-45C1-B7A3-4EFE019BF3CE}"/>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BE29DB0B-D7FC-4CC9-AEB2-1B635FDACB8E}"/>
    <cellStyle name="Normal 4 4 5 4 2 3" xfId="13260" xr:uid="{C6055D99-D2B2-4A68-8A64-E1B1F57D2C08}"/>
    <cellStyle name="Normal 4 4 5 4 3" xfId="6006" xr:uid="{00000000-0005-0000-0000-0000E8150000}"/>
    <cellStyle name="Normal 4 4 5 4 3 2" xfId="15332" xr:uid="{87ADA11B-C711-4504-9AE8-114D32B50AFC}"/>
    <cellStyle name="Normal 4 4 5 4 4" xfId="11115" xr:uid="{9C300620-4F4B-4C91-B1EE-C20EB4388112}"/>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63AD66B1-150F-48EE-AE5D-D7CE7A32BB5C}"/>
    <cellStyle name="Normal 4 4 5 5 2 3" xfId="13673" xr:uid="{6ED60CA0-D6EB-4F1E-8F76-7882060CBC29}"/>
    <cellStyle name="Normal 4 4 5 5 3" xfId="6419" xr:uid="{00000000-0005-0000-0000-0000EC150000}"/>
    <cellStyle name="Normal 4 4 5 5 3 2" xfId="15745" xr:uid="{5A9DF544-1889-4E47-BAB2-B63FC02944A9}"/>
    <cellStyle name="Normal 4 4 5 5 4" xfId="11528" xr:uid="{174632BF-5E54-4B1B-BB3D-B240BB984ED3}"/>
    <cellStyle name="Normal 4 4 5 6" xfId="2549" xr:uid="{00000000-0005-0000-0000-0000ED150000}"/>
    <cellStyle name="Normal 4 4 5 6 2" xfId="6832" xr:uid="{00000000-0005-0000-0000-0000EE150000}"/>
    <cellStyle name="Normal 4 4 5 6 2 2" xfId="16158" xr:uid="{520DE64B-B8AC-405E-AD76-85E3EAED24E5}"/>
    <cellStyle name="Normal 4 4 5 6 3" xfId="11941" xr:uid="{01731061-8BFD-4EE0-A35A-DF1C253A1E49}"/>
    <cellStyle name="Normal 4 4 5 7" xfId="4767" xr:uid="{00000000-0005-0000-0000-0000EF150000}"/>
    <cellStyle name="Normal 4 4 5 7 2" xfId="14093" xr:uid="{14862488-81B9-4256-9625-5CBC0044124E}"/>
    <cellStyle name="Normal 4 4 5 8" xfId="8968" xr:uid="{BE877DDE-435D-4CBA-84F2-0372D1DDE771}"/>
    <cellStyle name="Normal 4 4 5 8 2" xfId="18292" xr:uid="{9CF2867C-E9F4-42AD-8D2D-E1363E7BDD06}"/>
    <cellStyle name="Normal 4 4 5 9" xfId="9876" xr:uid="{C7A5F1C2-E279-4224-9633-185F5DDD75F6}"/>
    <cellStyle name="Normal 4 4 6" xfId="853" xr:uid="{00000000-0005-0000-0000-0000F0150000}"/>
    <cellStyle name="Normal 4 4 6 2" xfId="3088" xr:uid="{00000000-0005-0000-0000-0000F1150000}"/>
    <cellStyle name="Normal 4 4 6 2 2" xfId="7310" xr:uid="{00000000-0005-0000-0000-0000F2150000}"/>
    <cellStyle name="Normal 4 4 6 2 2 2" xfId="16636" xr:uid="{1BF8A56D-A685-49C7-877F-5A80EB4DAB0D}"/>
    <cellStyle name="Normal 4 4 6 2 3" xfId="12419" xr:uid="{31EEB2CC-49B8-4A81-A9FB-69114172A308}"/>
    <cellStyle name="Normal 4 4 6 3" xfId="5165" xr:uid="{00000000-0005-0000-0000-0000F3150000}"/>
    <cellStyle name="Normal 4 4 6 3 2" xfId="14491" xr:uid="{C5D6CF31-91E1-46D1-9EFD-1E633263DE09}"/>
    <cellStyle name="Normal 4 4 6 4" xfId="9171" xr:uid="{C474601B-95F0-4C9E-AB77-B3E61D2A21D7}"/>
    <cellStyle name="Normal 4 4 6 4 2" xfId="18489" xr:uid="{4BB9D595-AFFB-4FD1-98C4-B82CB425C76A}"/>
    <cellStyle name="Normal 4 4 6 5" xfId="10274" xr:uid="{48C21FFD-147E-4F92-B370-E6AA9ADFF9B8}"/>
    <cellStyle name="Normal 4 4 7" xfId="1271" xr:uid="{00000000-0005-0000-0000-0000F4150000}"/>
    <cellStyle name="Normal 4 4 7 2" xfId="3501" xr:uid="{00000000-0005-0000-0000-0000F5150000}"/>
    <cellStyle name="Normal 4 4 7 2 2" xfId="7723" xr:uid="{00000000-0005-0000-0000-0000F6150000}"/>
    <cellStyle name="Normal 4 4 7 2 2 2" xfId="17049" xr:uid="{4424F6D0-2F17-448C-B93F-60E321DB2778}"/>
    <cellStyle name="Normal 4 4 7 2 3" xfId="12832" xr:uid="{DD640F6C-8E16-44F5-88B9-ECA62A287F64}"/>
    <cellStyle name="Normal 4 4 7 3" xfId="5578" xr:uid="{00000000-0005-0000-0000-0000F7150000}"/>
    <cellStyle name="Normal 4 4 7 3 2" xfId="14904" xr:uid="{47F9F150-88F1-49C2-A6FA-CA755D073A65}"/>
    <cellStyle name="Normal 4 4 7 4" xfId="10687" xr:uid="{77B361B9-0762-489E-A5EE-E59B5671FAB4}"/>
    <cellStyle name="Normal 4 4 8" xfId="1684" xr:uid="{00000000-0005-0000-0000-0000F8150000}"/>
    <cellStyle name="Normal 4 4 8 2" xfId="3914" xr:uid="{00000000-0005-0000-0000-0000F9150000}"/>
    <cellStyle name="Normal 4 4 8 2 2" xfId="8136" xr:uid="{00000000-0005-0000-0000-0000FA150000}"/>
    <cellStyle name="Normal 4 4 8 2 2 2" xfId="17462" xr:uid="{B163DCCB-0863-488F-BBCB-5BA77DBEEC4E}"/>
    <cellStyle name="Normal 4 4 8 2 3" xfId="13245" xr:uid="{24F7C488-1ED7-4357-ABFB-BD24E65216DA}"/>
    <cellStyle name="Normal 4 4 8 3" xfId="5991" xr:uid="{00000000-0005-0000-0000-0000FB150000}"/>
    <cellStyle name="Normal 4 4 8 3 2" xfId="15317" xr:uid="{B85217A3-B33B-41FC-96C7-5343CD0F84BD}"/>
    <cellStyle name="Normal 4 4 8 4" xfId="11100" xr:uid="{D4A6B2A3-062E-4B38-8872-E8F31979BAD8}"/>
    <cellStyle name="Normal 4 4 9" xfId="2098" xr:uid="{00000000-0005-0000-0000-0000FC150000}"/>
    <cellStyle name="Normal 4 4 9 2" xfId="4327" xr:uid="{00000000-0005-0000-0000-0000FD150000}"/>
    <cellStyle name="Normal 4 4 9 2 2" xfId="8549" xr:uid="{00000000-0005-0000-0000-0000FE150000}"/>
    <cellStyle name="Normal 4 4 9 2 2 2" xfId="17875" xr:uid="{9C5565CF-3F27-4B0E-A3CB-246E6F77D6A3}"/>
    <cellStyle name="Normal 4 4 9 2 3" xfId="13658" xr:uid="{8009BBF3-6401-47F6-85A7-1C5BCCDF9DF6}"/>
    <cellStyle name="Normal 4 4 9 3" xfId="6404" xr:uid="{00000000-0005-0000-0000-0000FF150000}"/>
    <cellStyle name="Normal 4 4 9 3 2" xfId="15730" xr:uid="{35568B99-185A-4E1E-89DC-20D290E8E019}"/>
    <cellStyle name="Normal 4 4 9 4" xfId="11513" xr:uid="{C3619FED-507C-48B9-AA84-5CB7FAB566D1}"/>
    <cellStyle name="Normal 4 5" xfId="394" xr:uid="{00000000-0005-0000-0000-000000160000}"/>
    <cellStyle name="Normal 4 6" xfId="395" xr:uid="{00000000-0005-0000-0000-000001160000}"/>
    <cellStyle name="Normal 4 6 10" xfId="4768" xr:uid="{00000000-0005-0000-0000-000002160000}"/>
    <cellStyle name="Normal 4 6 10 2" xfId="14094" xr:uid="{F0536926-607F-4737-A172-FB6CF1B7144B}"/>
    <cellStyle name="Normal 4 6 11" xfId="8772" xr:uid="{23628FEE-4113-4B2C-B2A0-0106FC7F55C2}"/>
    <cellStyle name="Normal 4 6 11 2" xfId="18096" xr:uid="{3DDBBB93-66BA-4551-8C6F-AABDAD002DDB}"/>
    <cellStyle name="Normal 4 6 12" xfId="9877" xr:uid="{55CBF701-9F7C-4E7D-9556-A03C4EE2BC6A}"/>
    <cellStyle name="Normal 4 6 2" xfId="396" xr:uid="{00000000-0005-0000-0000-000003160000}"/>
    <cellStyle name="Normal 4 6 2 10" xfId="8825" xr:uid="{C3062495-9D56-441B-95F6-B73E7DAC524C}"/>
    <cellStyle name="Normal 4 6 2 10 2" xfId="18149" xr:uid="{ADBB4AE8-E481-4E9E-8872-3821F28F0174}"/>
    <cellStyle name="Normal 4 6 2 11" xfId="9878" xr:uid="{C32E5683-941E-4323-B51E-7833159ADBDA}"/>
    <cellStyle name="Normal 4 6 2 2" xfId="397" xr:uid="{00000000-0005-0000-0000-000004160000}"/>
    <cellStyle name="Normal 4 6 2 2 10" xfId="9879" xr:uid="{AE19DD6F-8383-49D0-982E-A3FA7BEB3FAB}"/>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D4EED496-15FD-403A-8322-166E05B3B8FC}"/>
    <cellStyle name="Normal 4 6 2 2 2 2 2 3" xfId="12438" xr:uid="{A7C592B2-B494-4717-A271-0D6A76C5664A}"/>
    <cellStyle name="Normal 4 6 2 2 2 2 3" xfId="5184" xr:uid="{00000000-0005-0000-0000-000009160000}"/>
    <cellStyle name="Normal 4 6 2 2 2 2 3 2" xfId="14510" xr:uid="{38F56F8A-0591-46FA-AC71-BBD6D4816514}"/>
    <cellStyle name="Normal 4 6 2 2 2 2 4" xfId="9560" xr:uid="{04DAEE11-A96E-4522-8546-8A0C107E12B9}"/>
    <cellStyle name="Normal 4 6 2 2 2 2 4 2" xfId="18875" xr:uid="{0AD51ECF-D63F-4298-9A06-31C1035D6B78}"/>
    <cellStyle name="Normal 4 6 2 2 2 2 5" xfId="10293" xr:uid="{2DDCC0AA-B168-4145-B094-6E0ED5C74167}"/>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567CBFE8-2484-494D-BCBF-7D08009AA505}"/>
    <cellStyle name="Normal 4 6 2 2 2 3 2 3" xfId="12851" xr:uid="{B8A3F44C-293F-4747-95F4-99589BEFF1C7}"/>
    <cellStyle name="Normal 4 6 2 2 2 3 3" xfId="5597" xr:uid="{00000000-0005-0000-0000-00000D160000}"/>
    <cellStyle name="Normal 4 6 2 2 2 3 3 2" xfId="14923" xr:uid="{026C860B-19AD-48BB-BDD6-0CC37E9E6DEB}"/>
    <cellStyle name="Normal 4 6 2 2 2 3 4" xfId="10706" xr:uid="{CD98F5FD-901D-4DD4-9E9B-AFD246E6CA97}"/>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62985401-74C6-4F76-AE6F-E4C9703B3FDE}"/>
    <cellStyle name="Normal 4 6 2 2 2 4 2 3" xfId="13264" xr:uid="{1937140C-F360-42D6-AD61-1FF77BEBCD97}"/>
    <cellStyle name="Normal 4 6 2 2 2 4 3" xfId="6010" xr:uid="{00000000-0005-0000-0000-000011160000}"/>
    <cellStyle name="Normal 4 6 2 2 2 4 3 2" xfId="15336" xr:uid="{977AAA4D-D882-449E-BC4D-6F5F81F0AAF6}"/>
    <cellStyle name="Normal 4 6 2 2 2 4 4" xfId="11119" xr:uid="{086F65E7-9476-42D7-AC39-B350C7DD9ED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3FA52CD6-7CDF-49D0-A86F-4E8228464467}"/>
    <cellStyle name="Normal 4 6 2 2 2 5 2 3" xfId="13677" xr:uid="{8B8C960B-65EF-496B-8AEA-6D15EAA9566F}"/>
    <cellStyle name="Normal 4 6 2 2 2 5 3" xfId="6423" xr:uid="{00000000-0005-0000-0000-000015160000}"/>
    <cellStyle name="Normal 4 6 2 2 2 5 3 2" xfId="15749" xr:uid="{22DB24DF-00C8-469A-B842-4E772BAA7570}"/>
    <cellStyle name="Normal 4 6 2 2 2 5 4" xfId="11532" xr:uid="{12AD80FA-902D-4474-B5BF-E3CC176D22B5}"/>
    <cellStyle name="Normal 4 6 2 2 2 6" xfId="2553" xr:uid="{00000000-0005-0000-0000-000016160000}"/>
    <cellStyle name="Normal 4 6 2 2 2 6 2" xfId="6836" xr:uid="{00000000-0005-0000-0000-000017160000}"/>
    <cellStyle name="Normal 4 6 2 2 2 6 2 2" xfId="16162" xr:uid="{06BF7156-3519-4CB8-9908-563E3E5E37DF}"/>
    <cellStyle name="Normal 4 6 2 2 2 6 3" xfId="11945" xr:uid="{79EEDDC4-A15A-4898-83D7-42C552404E33}"/>
    <cellStyle name="Normal 4 6 2 2 2 7" xfId="4771" xr:uid="{00000000-0005-0000-0000-000018160000}"/>
    <cellStyle name="Normal 4 6 2 2 2 7 2" xfId="14097" xr:uid="{8CF3CF96-1E2F-433D-BE9B-CC2187079DEA}"/>
    <cellStyle name="Normal 4 6 2 2 2 8" xfId="9135" xr:uid="{2F4C420F-13DD-45DD-99DD-C7AFF7CD7823}"/>
    <cellStyle name="Normal 4 6 2 2 2 8 2" xfId="18459" xr:uid="{9E26A3E3-2F45-4B41-92B8-204B12BFDAD3}"/>
    <cellStyle name="Normal 4 6 2 2 2 9" xfId="9880" xr:uid="{E410B2D0-73B9-4032-9A1F-EA7555C1F68F}"/>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4C847341-F0F1-47E2-B606-ECD8231D84F1}"/>
    <cellStyle name="Normal 4 6 2 2 3 2 3" xfId="12437" xr:uid="{B55EFB16-3A1C-449A-8E25-01F87AD23800}"/>
    <cellStyle name="Normal 4 6 2 2 3 3" xfId="5183" xr:uid="{00000000-0005-0000-0000-00001C160000}"/>
    <cellStyle name="Normal 4 6 2 2 3 3 2" xfId="14509" xr:uid="{DFFA30FB-8D93-4A84-AC85-2BB2FCEBF271}"/>
    <cellStyle name="Normal 4 6 2 2 3 4" xfId="9353" xr:uid="{60C7EC16-17DE-43AF-A246-41C667B376B7}"/>
    <cellStyle name="Normal 4 6 2 2 3 4 2" xfId="18668" xr:uid="{4446162F-D145-4151-8904-3420056ED33C}"/>
    <cellStyle name="Normal 4 6 2 2 3 5" xfId="10292" xr:uid="{A2CB10E2-FBCE-4EB3-AEF8-D5CCCC350AC6}"/>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6BDECAFA-1B73-4CE6-AD7F-D8F96C72283F}"/>
    <cellStyle name="Normal 4 6 2 2 4 2 3" xfId="12850" xr:uid="{B6D3C083-5377-4C03-A3A0-A3BF835F7BA5}"/>
    <cellStyle name="Normal 4 6 2 2 4 3" xfId="5596" xr:uid="{00000000-0005-0000-0000-000020160000}"/>
    <cellStyle name="Normal 4 6 2 2 4 3 2" xfId="14922" xr:uid="{D8E6500D-557E-412A-B91B-6B2EB684C7FD}"/>
    <cellStyle name="Normal 4 6 2 2 4 4" xfId="10705" xr:uid="{77592954-0357-45F4-9603-4F38C5131F8C}"/>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E317B2D0-7035-429C-8C6C-2990293A4721}"/>
    <cellStyle name="Normal 4 6 2 2 5 2 3" xfId="13263" xr:uid="{27C2B259-A386-4EF7-AF68-0B2E31347EDB}"/>
    <cellStyle name="Normal 4 6 2 2 5 3" xfId="6009" xr:uid="{00000000-0005-0000-0000-000024160000}"/>
    <cellStyle name="Normal 4 6 2 2 5 3 2" xfId="15335" xr:uid="{BC182DDC-61EA-4D61-80D0-22137926E309}"/>
    <cellStyle name="Normal 4 6 2 2 5 4" xfId="11118" xr:uid="{EB7B9F48-CF82-4E20-A358-3856A451DF2C}"/>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2B7B756B-01EC-427E-9693-1A81E6C9D180}"/>
    <cellStyle name="Normal 4 6 2 2 6 2 3" xfId="13676" xr:uid="{A281C314-EAB5-4510-AB6C-24BD3CA766D9}"/>
    <cellStyle name="Normal 4 6 2 2 6 3" xfId="6422" xr:uid="{00000000-0005-0000-0000-000028160000}"/>
    <cellStyle name="Normal 4 6 2 2 6 3 2" xfId="15748" xr:uid="{9D25DDFA-F5F9-477C-BBDA-565D583818BF}"/>
    <cellStyle name="Normal 4 6 2 2 6 4" xfId="11531" xr:uid="{6696F738-FDD9-456E-B432-D9F02F13E202}"/>
    <cellStyle name="Normal 4 6 2 2 7" xfId="2552" xr:uid="{00000000-0005-0000-0000-000029160000}"/>
    <cellStyle name="Normal 4 6 2 2 7 2" xfId="6835" xr:uid="{00000000-0005-0000-0000-00002A160000}"/>
    <cellStyle name="Normal 4 6 2 2 7 2 2" xfId="16161" xr:uid="{ED41F13C-9BEE-4038-A31A-F5E9ABC30633}"/>
    <cellStyle name="Normal 4 6 2 2 7 3" xfId="11944" xr:uid="{70B789EC-A9A5-4069-A65B-7008C048EEC5}"/>
    <cellStyle name="Normal 4 6 2 2 8" xfId="4770" xr:uid="{00000000-0005-0000-0000-00002B160000}"/>
    <cellStyle name="Normal 4 6 2 2 8 2" xfId="14096" xr:uid="{C54038E9-0E48-4546-9F87-1163CFE9BE98}"/>
    <cellStyle name="Normal 4 6 2 2 9" xfId="8928" xr:uid="{EC58FE5E-68BA-4864-AD86-0F9D1DB17AD0}"/>
    <cellStyle name="Normal 4 6 2 2 9 2" xfId="18252" xr:uid="{01B99897-0A06-4546-A389-875633959C3D}"/>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6FE013E7-E694-4813-9405-40D17D04813B}"/>
    <cellStyle name="Normal 4 6 2 3 2 2 3" xfId="12439" xr:uid="{5A0DFADA-1A5F-48F4-9046-A9C62F4E0DFF}"/>
    <cellStyle name="Normal 4 6 2 3 2 3" xfId="5185" xr:uid="{00000000-0005-0000-0000-000030160000}"/>
    <cellStyle name="Normal 4 6 2 3 2 3 2" xfId="14511" xr:uid="{55BC95F7-A280-4034-8C86-ACEF81E6E27A}"/>
    <cellStyle name="Normal 4 6 2 3 2 4" xfId="9457" xr:uid="{E86AED2D-42AD-49DE-9461-1FA72B82C89E}"/>
    <cellStyle name="Normal 4 6 2 3 2 4 2" xfId="18772" xr:uid="{EB3489B8-06BC-4344-A2D7-F18E7EE3B150}"/>
    <cellStyle name="Normal 4 6 2 3 2 5" xfId="10294" xr:uid="{D8D97DBE-B7A3-4138-AFA9-DBEC4A4440A1}"/>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2B83EA3E-D5D8-44CA-9BED-4D57C75BC56D}"/>
    <cellStyle name="Normal 4 6 2 3 3 2 3" xfId="12852" xr:uid="{8BBCD80C-445D-4C1F-89F2-7D070B4FE4A4}"/>
    <cellStyle name="Normal 4 6 2 3 3 3" xfId="5598" xr:uid="{00000000-0005-0000-0000-000034160000}"/>
    <cellStyle name="Normal 4 6 2 3 3 3 2" xfId="14924" xr:uid="{C8CBA16A-6801-464F-98DC-52A0918A40EE}"/>
    <cellStyle name="Normal 4 6 2 3 3 4" xfId="10707" xr:uid="{029E4DA1-9A4C-44D6-A50E-4ABE99BF4E22}"/>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F6264BC1-C026-4C5F-95B4-B0161D41627A}"/>
    <cellStyle name="Normal 4 6 2 3 4 2 3" xfId="13265" xr:uid="{5833AFBA-1C23-411D-BA33-9A7421C91F86}"/>
    <cellStyle name="Normal 4 6 2 3 4 3" xfId="6011" xr:uid="{00000000-0005-0000-0000-000038160000}"/>
    <cellStyle name="Normal 4 6 2 3 4 3 2" xfId="15337" xr:uid="{C278E399-90BE-4E38-A020-29C922994C6A}"/>
    <cellStyle name="Normal 4 6 2 3 4 4" xfId="11120" xr:uid="{BAA04DE2-9263-4FE9-A898-C095BCC7A3D0}"/>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90BDEBD6-8B01-434D-936D-70FE60641A35}"/>
    <cellStyle name="Normal 4 6 2 3 5 2 3" xfId="13678" xr:uid="{C4F7A284-BF8F-4224-9D84-E56ED1A1223A}"/>
    <cellStyle name="Normal 4 6 2 3 5 3" xfId="6424" xr:uid="{00000000-0005-0000-0000-00003C160000}"/>
    <cellStyle name="Normal 4 6 2 3 5 3 2" xfId="15750" xr:uid="{0D6B8755-FB81-4E61-8FA5-3A2A3A906FBD}"/>
    <cellStyle name="Normal 4 6 2 3 5 4" xfId="11533" xr:uid="{44E63040-96E7-48A4-80CB-57940C62D0CC}"/>
    <cellStyle name="Normal 4 6 2 3 6" xfId="2554" xr:uid="{00000000-0005-0000-0000-00003D160000}"/>
    <cellStyle name="Normal 4 6 2 3 6 2" xfId="6837" xr:uid="{00000000-0005-0000-0000-00003E160000}"/>
    <cellStyle name="Normal 4 6 2 3 6 2 2" xfId="16163" xr:uid="{CFEBDE05-4E04-4B29-A735-19850F930657}"/>
    <cellStyle name="Normal 4 6 2 3 6 3" xfId="11946" xr:uid="{60946BF0-ABB4-452C-9459-F9A7AE6598DA}"/>
    <cellStyle name="Normal 4 6 2 3 7" xfId="4772" xr:uid="{00000000-0005-0000-0000-00003F160000}"/>
    <cellStyle name="Normal 4 6 2 3 7 2" xfId="14098" xr:uid="{F3172B6B-FFF5-446D-B213-D907C4FC34E4}"/>
    <cellStyle name="Normal 4 6 2 3 8" xfId="9032" xr:uid="{576A1DC5-5971-4772-803F-0A60F80D4C41}"/>
    <cellStyle name="Normal 4 6 2 3 8 2" xfId="18356" xr:uid="{32F53A0D-6BF1-4116-8526-AD9DB76A61BB}"/>
    <cellStyle name="Normal 4 6 2 3 9" xfId="9881" xr:uid="{7118E33A-EA18-445B-AD72-E3D5A06E6270}"/>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FB244D35-C601-481A-B324-166D57F543A6}"/>
    <cellStyle name="Normal 4 6 2 4 2 3" xfId="12436" xr:uid="{C9747315-5812-40BB-AD81-F8A3DD5C2894}"/>
    <cellStyle name="Normal 4 6 2 4 3" xfId="5182" xr:uid="{00000000-0005-0000-0000-000043160000}"/>
    <cellStyle name="Normal 4 6 2 4 3 2" xfId="14508" xr:uid="{5D28009D-E563-4B5F-ADEB-6D65E0C87225}"/>
    <cellStyle name="Normal 4 6 2 4 4" xfId="9250" xr:uid="{CBBC9A51-5203-4C00-93C7-FE7C973DCDD1}"/>
    <cellStyle name="Normal 4 6 2 4 4 2" xfId="18565" xr:uid="{AE82D58E-17CF-4BBE-806B-B8F586FFA436}"/>
    <cellStyle name="Normal 4 6 2 4 5" xfId="10291" xr:uid="{8F12919E-AA9C-4936-8FEA-CDB2E3875659}"/>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CFFCBD79-F968-43D7-8CF5-1BB3D300DE89}"/>
    <cellStyle name="Normal 4 6 2 5 2 3" xfId="12849" xr:uid="{18499D2B-BE3E-441D-92D4-D88B96C94BAB}"/>
    <cellStyle name="Normal 4 6 2 5 3" xfId="5595" xr:uid="{00000000-0005-0000-0000-000047160000}"/>
    <cellStyle name="Normal 4 6 2 5 3 2" xfId="14921" xr:uid="{CBA2D996-9BB4-4EF4-BBB7-D9BCD7D5CD54}"/>
    <cellStyle name="Normal 4 6 2 5 4" xfId="10704" xr:uid="{17A5878E-4DA4-480A-94A8-B246DBFEC90A}"/>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F09E6A56-E810-4070-90C5-61092994E1C0}"/>
    <cellStyle name="Normal 4 6 2 6 2 3" xfId="13262" xr:uid="{C4A643A8-2953-4A02-A763-962F7F5AA5FD}"/>
    <cellStyle name="Normal 4 6 2 6 3" xfId="6008" xr:uid="{00000000-0005-0000-0000-00004B160000}"/>
    <cellStyle name="Normal 4 6 2 6 3 2" xfId="15334" xr:uid="{14DC41B8-3E17-4201-BE72-FA7DE03CF3BC}"/>
    <cellStyle name="Normal 4 6 2 6 4" xfId="11117" xr:uid="{3C22AAC9-6E9F-4F73-BC26-8AF3D322511B}"/>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E447C105-6385-4CC2-B230-84EDDDC768B4}"/>
    <cellStyle name="Normal 4 6 2 7 2 3" xfId="13675" xr:uid="{5D37A916-65F1-4B7B-A9D0-B37584AEAD3F}"/>
    <cellStyle name="Normal 4 6 2 7 3" xfId="6421" xr:uid="{00000000-0005-0000-0000-00004F160000}"/>
    <cellStyle name="Normal 4 6 2 7 3 2" xfId="15747" xr:uid="{E90A269A-949D-40C8-8576-504893BCC70B}"/>
    <cellStyle name="Normal 4 6 2 7 4" xfId="11530" xr:uid="{5A988AB5-21D1-4521-B5AA-2B90B69B5DE6}"/>
    <cellStyle name="Normal 4 6 2 8" xfId="2551" xr:uid="{00000000-0005-0000-0000-000050160000}"/>
    <cellStyle name="Normal 4 6 2 8 2" xfId="6834" xr:uid="{00000000-0005-0000-0000-000051160000}"/>
    <cellStyle name="Normal 4 6 2 8 2 2" xfId="16160" xr:uid="{78E0EA10-92AE-431D-BB66-BC52DFCFAAD5}"/>
    <cellStyle name="Normal 4 6 2 8 3" xfId="11943" xr:uid="{196E3127-C143-4857-8691-409C2AF40F2C}"/>
    <cellStyle name="Normal 4 6 2 9" xfId="4769" xr:uid="{00000000-0005-0000-0000-000052160000}"/>
    <cellStyle name="Normal 4 6 2 9 2" xfId="14095" xr:uid="{F2F51BB8-646D-4CB1-A0C1-17A24C2EB467}"/>
    <cellStyle name="Normal 4 6 3" xfId="400" xr:uid="{00000000-0005-0000-0000-000053160000}"/>
    <cellStyle name="Normal 4 6 3 10" xfId="9882" xr:uid="{55BA62DC-BCC2-4CF0-9B58-F43C71E0D16C}"/>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6DAEDBFC-533A-448C-8CE8-DB27952D34DD}"/>
    <cellStyle name="Normal 4 6 3 2 2 2 3" xfId="12441" xr:uid="{8BE5A3E7-AB62-42BF-A2D0-734CEF31043F}"/>
    <cellStyle name="Normal 4 6 3 2 2 3" xfId="5187" xr:uid="{00000000-0005-0000-0000-000058160000}"/>
    <cellStyle name="Normal 4 6 3 2 2 3 2" xfId="14513" xr:uid="{385ABA39-6E90-4E4A-8908-B1B62E05B6B5}"/>
    <cellStyle name="Normal 4 6 3 2 2 4" xfId="9507" xr:uid="{63E4C3EA-8BE6-4CDE-9E44-1D64049D4CF5}"/>
    <cellStyle name="Normal 4 6 3 2 2 4 2" xfId="18822" xr:uid="{9A4F22F1-E888-4F6E-9AEA-E145267C15BE}"/>
    <cellStyle name="Normal 4 6 3 2 2 5" xfId="10296" xr:uid="{99382F5E-1543-4489-A537-37962BDA8ABE}"/>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22D60509-0CBF-470F-BCF6-B5B40A68858F}"/>
    <cellStyle name="Normal 4 6 3 2 3 2 3" xfId="12854" xr:uid="{AF7F45C7-5EA8-4EE0-AAAC-08EAF0A7C875}"/>
    <cellStyle name="Normal 4 6 3 2 3 3" xfId="5600" xr:uid="{00000000-0005-0000-0000-00005C160000}"/>
    <cellStyle name="Normal 4 6 3 2 3 3 2" xfId="14926" xr:uid="{4AC57C32-9B53-4147-8347-27F8333EA69B}"/>
    <cellStyle name="Normal 4 6 3 2 3 4" xfId="10709" xr:uid="{9293A4EB-D5DC-461C-B837-8927D488D259}"/>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94501411-85CC-4635-B2FA-1B05E9D0084F}"/>
    <cellStyle name="Normal 4 6 3 2 4 2 3" xfId="13267" xr:uid="{FAAE803C-BF1C-434A-A78C-FFD53299F3D6}"/>
    <cellStyle name="Normal 4 6 3 2 4 3" xfId="6013" xr:uid="{00000000-0005-0000-0000-000060160000}"/>
    <cellStyle name="Normal 4 6 3 2 4 3 2" xfId="15339" xr:uid="{5EEF2BB5-54D5-4F4D-AD2A-F12D85787F7E}"/>
    <cellStyle name="Normal 4 6 3 2 4 4" xfId="11122" xr:uid="{9DB2E432-CC5A-4B5A-A35B-DD349EA20184}"/>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E9402786-8399-495D-8E6B-FDAA15EE68D6}"/>
    <cellStyle name="Normal 4 6 3 2 5 2 3" xfId="13680" xr:uid="{C8E5595F-DAEE-48C1-BACB-2C22C11487A1}"/>
    <cellStyle name="Normal 4 6 3 2 5 3" xfId="6426" xr:uid="{00000000-0005-0000-0000-000064160000}"/>
    <cellStyle name="Normal 4 6 3 2 5 3 2" xfId="15752" xr:uid="{99778FD3-3513-4CFF-A059-340A871565F9}"/>
    <cellStyle name="Normal 4 6 3 2 5 4" xfId="11535" xr:uid="{D7AF6820-E631-488A-B4CA-3D7E7AA067B8}"/>
    <cellStyle name="Normal 4 6 3 2 6" xfId="2556" xr:uid="{00000000-0005-0000-0000-000065160000}"/>
    <cellStyle name="Normal 4 6 3 2 6 2" xfId="6839" xr:uid="{00000000-0005-0000-0000-000066160000}"/>
    <cellStyle name="Normal 4 6 3 2 6 2 2" xfId="16165" xr:uid="{C77D2EAB-00D1-4435-889F-32F303A51EFE}"/>
    <cellStyle name="Normal 4 6 3 2 6 3" xfId="11948" xr:uid="{6CD50D2B-58DF-4CF8-AADB-52C38926AD15}"/>
    <cellStyle name="Normal 4 6 3 2 7" xfId="4774" xr:uid="{00000000-0005-0000-0000-000067160000}"/>
    <cellStyle name="Normal 4 6 3 2 7 2" xfId="14100" xr:uid="{8886F1D3-7662-4702-B287-95BD09C6EA79}"/>
    <cellStyle name="Normal 4 6 3 2 8" xfId="9082" xr:uid="{B272D1AE-3713-4AD0-AE3F-D1A7344AD432}"/>
    <cellStyle name="Normal 4 6 3 2 8 2" xfId="18406" xr:uid="{BB9AB375-8682-4B4B-9BC6-76CFDA76F8EC}"/>
    <cellStyle name="Normal 4 6 3 2 9" xfId="9883" xr:uid="{58777C31-0979-430C-9B96-C62F6908CF56}"/>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A69B9D4B-879E-4010-8160-68DE0610933F}"/>
    <cellStyle name="Normal 4 6 3 3 2 3" xfId="12440" xr:uid="{1B74A24E-9D85-46E1-85A7-3D377F0829B3}"/>
    <cellStyle name="Normal 4 6 3 3 3" xfId="5186" xr:uid="{00000000-0005-0000-0000-00006B160000}"/>
    <cellStyle name="Normal 4 6 3 3 3 2" xfId="14512" xr:uid="{7D379612-E6CE-4A0C-BB40-637D183CEA4B}"/>
    <cellStyle name="Normal 4 6 3 3 4" xfId="9300" xr:uid="{955A2E97-C871-4115-A4F5-A642AE2D2C4B}"/>
    <cellStyle name="Normal 4 6 3 3 4 2" xfId="18615" xr:uid="{520A4091-D8B1-4605-822B-74D6057087B7}"/>
    <cellStyle name="Normal 4 6 3 3 5" xfId="10295" xr:uid="{6F3BDD21-C082-4F54-8B52-5EE8AA96C2C2}"/>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F917AF33-3FC7-4151-86B0-3B56FDD02095}"/>
    <cellStyle name="Normal 4 6 3 4 2 3" xfId="12853" xr:uid="{62160B4F-429D-428A-956C-C7A148707117}"/>
    <cellStyle name="Normal 4 6 3 4 3" xfId="5599" xr:uid="{00000000-0005-0000-0000-00006F160000}"/>
    <cellStyle name="Normal 4 6 3 4 3 2" xfId="14925" xr:uid="{C1B90BB0-FE98-4F04-8E63-7617CEE12971}"/>
    <cellStyle name="Normal 4 6 3 4 4" xfId="10708" xr:uid="{88CD18FA-6D0E-43CF-BF77-064D20FA76F1}"/>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5C30F286-B023-4DEF-BE8C-16B0C6D25088}"/>
    <cellStyle name="Normal 4 6 3 5 2 3" xfId="13266" xr:uid="{73FCCD0B-BA7A-4FA5-B998-1EFE355A54EA}"/>
    <cellStyle name="Normal 4 6 3 5 3" xfId="6012" xr:uid="{00000000-0005-0000-0000-000073160000}"/>
    <cellStyle name="Normal 4 6 3 5 3 2" xfId="15338" xr:uid="{E35BC433-98CE-4294-878D-C9DB25E6163A}"/>
    <cellStyle name="Normal 4 6 3 5 4" xfId="11121" xr:uid="{3D913B0D-0DA6-494D-BE40-6E5AD21DE666}"/>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08630F88-7070-4876-B8FF-78A83997B7BB}"/>
    <cellStyle name="Normal 4 6 3 6 2 3" xfId="13679" xr:uid="{A150C1E5-DFBD-49FA-9BAA-AD7FA394F063}"/>
    <cellStyle name="Normal 4 6 3 6 3" xfId="6425" xr:uid="{00000000-0005-0000-0000-000077160000}"/>
    <cellStyle name="Normal 4 6 3 6 3 2" xfId="15751" xr:uid="{8D6FB01A-E577-4221-BDF4-6D19D34E43A3}"/>
    <cellStyle name="Normal 4 6 3 6 4" xfId="11534" xr:uid="{802E548C-C9BC-4666-9260-55FC015EFB03}"/>
    <cellStyle name="Normal 4 6 3 7" xfId="2555" xr:uid="{00000000-0005-0000-0000-000078160000}"/>
    <cellStyle name="Normal 4 6 3 7 2" xfId="6838" xr:uid="{00000000-0005-0000-0000-000079160000}"/>
    <cellStyle name="Normal 4 6 3 7 2 2" xfId="16164" xr:uid="{4EEEAAAF-CAEE-42AB-A964-E5E2172B4341}"/>
    <cellStyle name="Normal 4 6 3 7 3" xfId="11947" xr:uid="{04F8C45C-73C4-4EC1-9446-DA53B582C35A}"/>
    <cellStyle name="Normal 4 6 3 8" xfId="4773" xr:uid="{00000000-0005-0000-0000-00007A160000}"/>
    <cellStyle name="Normal 4 6 3 8 2" xfId="14099" xr:uid="{6685781A-8F55-4B5D-9A48-655678561953}"/>
    <cellStyle name="Normal 4 6 3 9" xfId="8875" xr:uid="{DFD24C28-B729-444D-A0F6-B5522ED354D5}"/>
    <cellStyle name="Normal 4 6 3 9 2" xfId="18199" xr:uid="{C62D616A-964F-45CC-86B9-82E9F5F08F72}"/>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A81AD405-6122-46F9-8426-113F97CB77C1}"/>
    <cellStyle name="Normal 4 6 4 2 2 3" xfId="12442" xr:uid="{B7ADCDE5-789C-4F7F-A1BF-BD46A9F15BE0}"/>
    <cellStyle name="Normal 4 6 4 2 3" xfId="5188" xr:uid="{00000000-0005-0000-0000-00007F160000}"/>
    <cellStyle name="Normal 4 6 4 2 3 2" xfId="14514" xr:uid="{EE47B010-E41D-4810-B5D2-C1A596C792C1}"/>
    <cellStyle name="Normal 4 6 4 2 4" xfId="9404" xr:uid="{D1BAB6D6-35EF-4C34-91EA-2EB17352CDF9}"/>
    <cellStyle name="Normal 4 6 4 2 4 2" xfId="18719" xr:uid="{50AA67A1-99EF-4CC9-B6BD-4F4F2311E32F}"/>
    <cellStyle name="Normal 4 6 4 2 5" xfId="10297" xr:uid="{F5E2BF77-B922-4B2D-9E4F-42778BB1CCF0}"/>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0241EA57-F520-4C74-A6AB-4E66A11BA32C}"/>
    <cellStyle name="Normal 4 6 4 3 2 3" xfId="12855" xr:uid="{D263067F-AB8E-4749-BBEB-23C1F7533010}"/>
    <cellStyle name="Normal 4 6 4 3 3" xfId="5601" xr:uid="{00000000-0005-0000-0000-000083160000}"/>
    <cellStyle name="Normal 4 6 4 3 3 2" xfId="14927" xr:uid="{99E364B4-0C5F-47E9-BE93-EC18C718751D}"/>
    <cellStyle name="Normal 4 6 4 3 4" xfId="10710" xr:uid="{B3179E32-18A3-463E-9BFA-15B990D3CCFD}"/>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A9320F66-9988-499D-9532-A6C06DC6764C}"/>
    <cellStyle name="Normal 4 6 4 4 2 3" xfId="13268" xr:uid="{70AD9BC4-2995-42E3-885B-7C91C3293E1C}"/>
    <cellStyle name="Normal 4 6 4 4 3" xfId="6014" xr:uid="{00000000-0005-0000-0000-000087160000}"/>
    <cellStyle name="Normal 4 6 4 4 3 2" xfId="15340" xr:uid="{503227CB-5D02-406E-B5DE-66C877B9BFE4}"/>
    <cellStyle name="Normal 4 6 4 4 4" xfId="11123" xr:uid="{B4BC5AD9-4A5C-491E-BFFB-37ADD432BB82}"/>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FD320266-0C7E-4E0A-9A35-D25D3E19394C}"/>
    <cellStyle name="Normal 4 6 4 5 2 3" xfId="13681" xr:uid="{858641A5-D15D-49B4-BF76-9FB8029BD8D6}"/>
    <cellStyle name="Normal 4 6 4 5 3" xfId="6427" xr:uid="{00000000-0005-0000-0000-00008B160000}"/>
    <cellStyle name="Normal 4 6 4 5 3 2" xfId="15753" xr:uid="{FD6835CE-7C88-42F3-992E-8051FDF064F3}"/>
    <cellStyle name="Normal 4 6 4 5 4" xfId="11536" xr:uid="{91C25FFE-5BEE-4C46-AC12-6D17C1408521}"/>
    <cellStyle name="Normal 4 6 4 6" xfId="2557" xr:uid="{00000000-0005-0000-0000-00008C160000}"/>
    <cellStyle name="Normal 4 6 4 6 2" xfId="6840" xr:uid="{00000000-0005-0000-0000-00008D160000}"/>
    <cellStyle name="Normal 4 6 4 6 2 2" xfId="16166" xr:uid="{6D6413B6-D029-4DCD-8A40-CE18D5847820}"/>
    <cellStyle name="Normal 4 6 4 6 3" xfId="11949" xr:uid="{9217F030-E67A-4897-BEF7-C244F6D196A8}"/>
    <cellStyle name="Normal 4 6 4 7" xfId="4775" xr:uid="{00000000-0005-0000-0000-00008E160000}"/>
    <cellStyle name="Normal 4 6 4 7 2" xfId="14101" xr:uid="{F63EE711-C457-41A2-96D4-1481FCB19B2C}"/>
    <cellStyle name="Normal 4 6 4 8" xfId="8979" xr:uid="{358D1440-F461-4509-8416-8F78F7D13FF4}"/>
    <cellStyle name="Normal 4 6 4 8 2" xfId="18303" xr:uid="{4EC163FD-733D-4220-882F-F1D93AEF1649}"/>
    <cellStyle name="Normal 4 6 4 9" xfId="9884" xr:uid="{10D3A275-BB2B-4AE8-9CF4-C3F63A3A561F}"/>
    <cellStyle name="Normal 4 6 5" xfId="869" xr:uid="{00000000-0005-0000-0000-00008F160000}"/>
    <cellStyle name="Normal 4 6 5 2" xfId="3104" xr:uid="{00000000-0005-0000-0000-000090160000}"/>
    <cellStyle name="Normal 4 6 5 2 2" xfId="7326" xr:uid="{00000000-0005-0000-0000-000091160000}"/>
    <cellStyle name="Normal 4 6 5 2 2 2" xfId="16652" xr:uid="{52DA090D-8544-4B5C-9FBF-E669F6535AC8}"/>
    <cellStyle name="Normal 4 6 5 2 3" xfId="12435" xr:uid="{5309271B-A35B-4B3F-A217-A4D48D60A429}"/>
    <cellStyle name="Normal 4 6 5 3" xfId="5181" xr:uid="{00000000-0005-0000-0000-000092160000}"/>
    <cellStyle name="Normal 4 6 5 3 2" xfId="14507" xr:uid="{5C2D3210-7116-4FD4-AF5D-00417212EB17}"/>
    <cellStyle name="Normal 4 6 5 4" xfId="9196" xr:uid="{8DF5D81E-BEC3-4373-A99C-2D9CDEEBBA3C}"/>
    <cellStyle name="Normal 4 6 5 4 2" xfId="18512" xr:uid="{8B9EBC42-F00C-4B29-84AA-839ABB46755B}"/>
    <cellStyle name="Normal 4 6 5 5" xfId="10290" xr:uid="{327F56A0-F6E7-490B-8DE6-5E03D01B093B}"/>
    <cellStyle name="Normal 4 6 6" xfId="1287" xr:uid="{00000000-0005-0000-0000-000093160000}"/>
    <cellStyle name="Normal 4 6 6 2" xfId="3517" xr:uid="{00000000-0005-0000-0000-000094160000}"/>
    <cellStyle name="Normal 4 6 6 2 2" xfId="7739" xr:uid="{00000000-0005-0000-0000-000095160000}"/>
    <cellStyle name="Normal 4 6 6 2 2 2" xfId="17065" xr:uid="{A86BEA40-580D-4C19-9C9D-C027F483EED4}"/>
    <cellStyle name="Normal 4 6 6 2 3" xfId="12848" xr:uid="{992BCA59-1AB0-4453-8795-CDA69F30826E}"/>
    <cellStyle name="Normal 4 6 6 3" xfId="5594" xr:uid="{00000000-0005-0000-0000-000096160000}"/>
    <cellStyle name="Normal 4 6 6 3 2" xfId="14920" xr:uid="{CCFE7C5C-9F22-4646-B6A1-D5E157DAB0C4}"/>
    <cellStyle name="Normal 4 6 6 4" xfId="10703" xr:uid="{9470865E-D93F-4D79-B9EE-3EC3E95B1B5C}"/>
    <cellStyle name="Normal 4 6 7" xfId="1700" xr:uid="{00000000-0005-0000-0000-000097160000}"/>
    <cellStyle name="Normal 4 6 7 2" xfId="3930" xr:uid="{00000000-0005-0000-0000-000098160000}"/>
    <cellStyle name="Normal 4 6 7 2 2" xfId="8152" xr:uid="{00000000-0005-0000-0000-000099160000}"/>
    <cellStyle name="Normal 4 6 7 2 2 2" xfId="17478" xr:uid="{0A893028-5BF9-49EE-84E2-1BC80B4C7648}"/>
    <cellStyle name="Normal 4 6 7 2 3" xfId="13261" xr:uid="{06850889-C65B-45CC-83B0-FAAB55DF537E}"/>
    <cellStyle name="Normal 4 6 7 3" xfId="6007" xr:uid="{00000000-0005-0000-0000-00009A160000}"/>
    <cellStyle name="Normal 4 6 7 3 2" xfId="15333" xr:uid="{600BE239-0316-4DC4-AAD9-0B589E52D3F9}"/>
    <cellStyle name="Normal 4 6 7 4" xfId="11116" xr:uid="{3214476C-F8DC-4CC8-A243-E44ABC46941E}"/>
    <cellStyle name="Normal 4 6 8" xfId="2114" xr:uid="{00000000-0005-0000-0000-00009B160000}"/>
    <cellStyle name="Normal 4 6 8 2" xfId="4343" xr:uid="{00000000-0005-0000-0000-00009C160000}"/>
    <cellStyle name="Normal 4 6 8 2 2" xfId="8565" xr:uid="{00000000-0005-0000-0000-00009D160000}"/>
    <cellStyle name="Normal 4 6 8 2 2 2" xfId="17891" xr:uid="{A04ACF60-3828-43C5-8F68-F91CE7E0A2F7}"/>
    <cellStyle name="Normal 4 6 8 2 3" xfId="13674" xr:uid="{A790C2B2-BAE8-4F4B-9996-6BDD47E50BDF}"/>
    <cellStyle name="Normal 4 6 8 3" xfId="6420" xr:uid="{00000000-0005-0000-0000-00009E160000}"/>
    <cellStyle name="Normal 4 6 8 3 2" xfId="15746" xr:uid="{D31E61B5-5E1A-49C9-A7B2-9507226AEEE6}"/>
    <cellStyle name="Normal 4 6 8 4" xfId="11529" xr:uid="{74DA8B06-E869-41B5-A7FE-46A1491B41D9}"/>
    <cellStyle name="Normal 4 6 9" xfId="2550" xr:uid="{00000000-0005-0000-0000-00009F160000}"/>
    <cellStyle name="Normal 4 6 9 2" xfId="6833" xr:uid="{00000000-0005-0000-0000-0000A0160000}"/>
    <cellStyle name="Normal 4 6 9 2 2" xfId="16159" xr:uid="{FD8FBAFD-8A04-4375-9762-23E55DAFBE94}"/>
    <cellStyle name="Normal 4 6 9 3" xfId="11942" xr:uid="{FB928A00-D412-433F-BF7B-550B124E08E8}"/>
    <cellStyle name="Normal 4 7" xfId="403" xr:uid="{00000000-0005-0000-0000-0000A1160000}"/>
    <cellStyle name="Normal 4 7 10" xfId="9885" xr:uid="{4B7C6D3F-57ED-43FD-AD45-647F13989E0B}"/>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1F538651-5710-4C15-B2AA-A59907D1B93B}"/>
    <cellStyle name="Normal 4 7 2 2 2 3" xfId="12444" xr:uid="{4CDFDBB0-F0C7-49A5-B1F2-E09A00C886E7}"/>
    <cellStyle name="Normal 4 7 2 2 3" xfId="5190" xr:uid="{00000000-0005-0000-0000-0000A6160000}"/>
    <cellStyle name="Normal 4 7 2 2 3 2" xfId="14516" xr:uid="{12065558-4C3E-4687-8156-0618066EA18F}"/>
    <cellStyle name="Normal 4 7 2 2 4" xfId="9475" xr:uid="{1E309EF6-7D7C-4A4D-B2F1-E00D0CF6E167}"/>
    <cellStyle name="Normal 4 7 2 2 4 2" xfId="18790" xr:uid="{94E8E092-40CC-44B5-AB79-191698FA5762}"/>
    <cellStyle name="Normal 4 7 2 2 5" xfId="10299" xr:uid="{886B886B-3C57-49E3-A396-D29CECA3F2CA}"/>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3470E952-6F54-4B52-9462-888AC2133698}"/>
    <cellStyle name="Normal 4 7 2 3 2 3" xfId="12857" xr:uid="{722B3C78-AEB7-4F0E-92EC-3B9FF1659F31}"/>
    <cellStyle name="Normal 4 7 2 3 3" xfId="5603" xr:uid="{00000000-0005-0000-0000-0000AA160000}"/>
    <cellStyle name="Normal 4 7 2 3 3 2" xfId="14929" xr:uid="{805F0594-9877-45D2-BA1B-54A0A2321F68}"/>
    <cellStyle name="Normal 4 7 2 3 4" xfId="10712" xr:uid="{04505626-4481-45F6-99FB-439CF19C8A7B}"/>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C468F4F9-5370-4BC5-B085-4861BE823A6E}"/>
    <cellStyle name="Normal 4 7 2 4 2 3" xfId="13270" xr:uid="{1CDCA487-8918-47CA-89F2-71C751612FCA}"/>
    <cellStyle name="Normal 4 7 2 4 3" xfId="6016" xr:uid="{00000000-0005-0000-0000-0000AE160000}"/>
    <cellStyle name="Normal 4 7 2 4 3 2" xfId="15342" xr:uid="{CF2EAEA6-9CE9-49F9-9821-919E54DB38DA}"/>
    <cellStyle name="Normal 4 7 2 4 4" xfId="11125" xr:uid="{607DCD29-1E63-46C5-BC8B-6EE7BD0F4619}"/>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53E9B595-6EE2-4B41-82F6-09CF27E0AD2F}"/>
    <cellStyle name="Normal 4 7 2 5 2 3" xfId="13683" xr:uid="{89B104E0-F7C3-47B5-A7B8-0A037ED1C529}"/>
    <cellStyle name="Normal 4 7 2 5 3" xfId="6429" xr:uid="{00000000-0005-0000-0000-0000B2160000}"/>
    <cellStyle name="Normal 4 7 2 5 3 2" xfId="15755" xr:uid="{8AE3BD10-52DE-4ADD-88DE-7B9D6784B20A}"/>
    <cellStyle name="Normal 4 7 2 5 4" xfId="11538" xr:uid="{B3866767-B81A-4734-B84C-FD809BF21229}"/>
    <cellStyle name="Normal 4 7 2 6" xfId="2559" xr:uid="{00000000-0005-0000-0000-0000B3160000}"/>
    <cellStyle name="Normal 4 7 2 6 2" xfId="6842" xr:uid="{00000000-0005-0000-0000-0000B4160000}"/>
    <cellStyle name="Normal 4 7 2 6 2 2" xfId="16168" xr:uid="{D1211C2F-D37F-4A1E-86BD-10F12705713B}"/>
    <cellStyle name="Normal 4 7 2 6 3" xfId="11951" xr:uid="{6CB5FADB-7272-4733-9CC8-D7146E367182}"/>
    <cellStyle name="Normal 4 7 2 7" xfId="4777" xr:uid="{00000000-0005-0000-0000-0000B5160000}"/>
    <cellStyle name="Normal 4 7 2 7 2" xfId="14103" xr:uid="{F8A877A3-EDEA-474A-B9A9-BA9F431FCB66}"/>
    <cellStyle name="Normal 4 7 2 8" xfId="9050" xr:uid="{C18A0BCD-6C40-47C4-AC72-E06914F008F6}"/>
    <cellStyle name="Normal 4 7 2 8 2" xfId="18374" xr:uid="{FB8290C7-4611-41DF-89E9-9001999FA527}"/>
    <cellStyle name="Normal 4 7 2 9" xfId="9886" xr:uid="{CF1494B5-A466-4A48-AEB8-FF5F496FA2DF}"/>
    <cellStyle name="Normal 4 7 3" xfId="877" xr:uid="{00000000-0005-0000-0000-0000B6160000}"/>
    <cellStyle name="Normal 4 7 3 2" xfId="3112" xr:uid="{00000000-0005-0000-0000-0000B7160000}"/>
    <cellStyle name="Normal 4 7 3 2 2" xfId="7334" xr:uid="{00000000-0005-0000-0000-0000B8160000}"/>
    <cellStyle name="Normal 4 7 3 2 2 2" xfId="16660" xr:uid="{7B56A031-EB94-49E0-AD08-5985B03C26A7}"/>
    <cellStyle name="Normal 4 7 3 2 3" xfId="12443" xr:uid="{8CF49DFD-4799-462C-A17C-4E2BF0BEFC65}"/>
    <cellStyle name="Normal 4 7 3 3" xfId="5189" xr:uid="{00000000-0005-0000-0000-0000B9160000}"/>
    <cellStyle name="Normal 4 7 3 3 2" xfId="14515" xr:uid="{0E2B2815-2154-4C22-8AC7-200E17AB9B97}"/>
    <cellStyle name="Normal 4 7 3 4" xfId="9268" xr:uid="{83DA99B2-5D77-4110-AEB9-304D3ECEF3EB}"/>
    <cellStyle name="Normal 4 7 3 4 2" xfId="18583" xr:uid="{55B25D5B-D357-40FE-A9BD-C8F2D385FB50}"/>
    <cellStyle name="Normal 4 7 3 5" xfId="10298" xr:uid="{7CEA63B9-110E-4E8A-8ECC-EC92760562BE}"/>
    <cellStyle name="Normal 4 7 4" xfId="1295" xr:uid="{00000000-0005-0000-0000-0000BA160000}"/>
    <cellStyle name="Normal 4 7 4 2" xfId="3525" xr:uid="{00000000-0005-0000-0000-0000BB160000}"/>
    <cellStyle name="Normal 4 7 4 2 2" xfId="7747" xr:uid="{00000000-0005-0000-0000-0000BC160000}"/>
    <cellStyle name="Normal 4 7 4 2 2 2" xfId="17073" xr:uid="{5C57B2CC-A525-461D-8FB3-571825D83DAF}"/>
    <cellStyle name="Normal 4 7 4 2 3" xfId="12856" xr:uid="{58381FA3-CE7E-4D8A-8811-76179B49ACDF}"/>
    <cellStyle name="Normal 4 7 4 3" xfId="5602" xr:uid="{00000000-0005-0000-0000-0000BD160000}"/>
    <cellStyle name="Normal 4 7 4 3 2" xfId="14928" xr:uid="{66AEB7F0-282C-41E7-AEA8-CAE009EEBF9B}"/>
    <cellStyle name="Normal 4 7 4 4" xfId="10711" xr:uid="{6EDE9AA4-F081-4B42-B73D-BBCD1D0B7150}"/>
    <cellStyle name="Normal 4 7 5" xfId="1708" xr:uid="{00000000-0005-0000-0000-0000BE160000}"/>
    <cellStyle name="Normal 4 7 5 2" xfId="3938" xr:uid="{00000000-0005-0000-0000-0000BF160000}"/>
    <cellStyle name="Normal 4 7 5 2 2" xfId="8160" xr:uid="{00000000-0005-0000-0000-0000C0160000}"/>
    <cellStyle name="Normal 4 7 5 2 2 2" xfId="17486" xr:uid="{17B6EA07-DF9E-4495-85B0-3E09534AE8E2}"/>
    <cellStyle name="Normal 4 7 5 2 3" xfId="13269" xr:uid="{352B878D-179F-41B5-A048-46412C3E344C}"/>
    <cellStyle name="Normal 4 7 5 3" xfId="6015" xr:uid="{00000000-0005-0000-0000-0000C1160000}"/>
    <cellStyle name="Normal 4 7 5 3 2" xfId="15341" xr:uid="{9CBB0EEB-7D4C-47D9-B4C2-323B6D784EBF}"/>
    <cellStyle name="Normal 4 7 5 4" xfId="11124" xr:uid="{85C0FB62-EAFC-4FB8-BBEC-0BE593C56009}"/>
    <cellStyle name="Normal 4 7 6" xfId="2122" xr:uid="{00000000-0005-0000-0000-0000C2160000}"/>
    <cellStyle name="Normal 4 7 6 2" xfId="4351" xr:uid="{00000000-0005-0000-0000-0000C3160000}"/>
    <cellStyle name="Normal 4 7 6 2 2" xfId="8573" xr:uid="{00000000-0005-0000-0000-0000C4160000}"/>
    <cellStyle name="Normal 4 7 6 2 2 2" xfId="17899" xr:uid="{F35EFE39-76B7-47BD-9483-E5FE2FA3FE56}"/>
    <cellStyle name="Normal 4 7 6 2 3" xfId="13682" xr:uid="{4016FBF8-BC65-4745-8212-F297C228C63F}"/>
    <cellStyle name="Normal 4 7 6 3" xfId="6428" xr:uid="{00000000-0005-0000-0000-0000C5160000}"/>
    <cellStyle name="Normal 4 7 6 3 2" xfId="15754" xr:uid="{51E1D3F8-CBF0-4B79-BF1E-2EFC64518564}"/>
    <cellStyle name="Normal 4 7 6 4" xfId="11537" xr:uid="{124DD0AB-C2B1-4C18-B24D-FEB2A74621F9}"/>
    <cellStyle name="Normal 4 7 7" xfId="2558" xr:uid="{00000000-0005-0000-0000-0000C6160000}"/>
    <cellStyle name="Normal 4 7 7 2" xfId="6841" xr:uid="{00000000-0005-0000-0000-0000C7160000}"/>
    <cellStyle name="Normal 4 7 7 2 2" xfId="16167" xr:uid="{5D61741E-834B-4A93-85AC-B2A687475CCF}"/>
    <cellStyle name="Normal 4 7 7 3" xfId="11950" xr:uid="{246A4F97-9181-456A-AE85-E33F1B8002AD}"/>
    <cellStyle name="Normal 4 7 8" xfId="4776" xr:uid="{00000000-0005-0000-0000-0000C8160000}"/>
    <cellStyle name="Normal 4 7 8 2" xfId="14102" xr:uid="{31DA9830-9D00-463C-9C8C-62E83F8B99A5}"/>
    <cellStyle name="Normal 4 7 9" xfId="8843" xr:uid="{092972D9-0015-4C5A-94A6-5AFD2026266B}"/>
    <cellStyle name="Normal 4 7 9 2" xfId="18167" xr:uid="{85CBD8FD-D18E-4F0A-B1C7-F32789A381D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62" xr:uid="{D53890D2-9725-4B70-9C0C-1659802EA703}"/>
    <cellStyle name="Normal 4 8 2 2 3" xfId="12445" xr:uid="{90CA2A1F-189E-43AF-9D01-6755019D225C}"/>
    <cellStyle name="Normal 4 8 2 3" xfId="5191" xr:uid="{00000000-0005-0000-0000-0000CD160000}"/>
    <cellStyle name="Normal 4 8 2 3 2" xfId="14517" xr:uid="{07CED3CC-A550-4A96-A937-1ED28A653BC1}"/>
    <cellStyle name="Normal 4 8 2 4" xfId="9384" xr:uid="{6351F1DA-E485-4044-8429-C0AE76E79EEE}"/>
    <cellStyle name="Normal 4 8 2 4 2" xfId="18699" xr:uid="{77D7A818-D5A3-45E5-8CF5-FAC22D482DFB}"/>
    <cellStyle name="Normal 4 8 2 5" xfId="10300" xr:uid="{58B87F75-3FC2-44E3-8C5A-770B81D6F865}"/>
    <cellStyle name="Normal 4 8 3" xfId="1297" xr:uid="{00000000-0005-0000-0000-0000CE160000}"/>
    <cellStyle name="Normal 4 8 3 2" xfId="3527" xr:uid="{00000000-0005-0000-0000-0000CF160000}"/>
    <cellStyle name="Normal 4 8 3 2 2" xfId="7749" xr:uid="{00000000-0005-0000-0000-0000D0160000}"/>
    <cellStyle name="Normal 4 8 3 2 2 2" xfId="17075" xr:uid="{0F16E4DB-174C-4BDF-8857-FD1A3B2E7015}"/>
    <cellStyle name="Normal 4 8 3 2 3" xfId="12858" xr:uid="{E1167A1C-F471-47CA-BA0B-E99960F7D17D}"/>
    <cellStyle name="Normal 4 8 3 3" xfId="5604" xr:uid="{00000000-0005-0000-0000-0000D1160000}"/>
    <cellStyle name="Normal 4 8 3 3 2" xfId="14930" xr:uid="{6C41EEF8-B894-4537-A604-516B146F9F00}"/>
    <cellStyle name="Normal 4 8 3 4" xfId="10713" xr:uid="{46A62244-2002-48CE-A5A7-55EDF22511C5}"/>
    <cellStyle name="Normal 4 8 4" xfId="1710" xr:uid="{00000000-0005-0000-0000-0000D2160000}"/>
    <cellStyle name="Normal 4 8 4 2" xfId="3940" xr:uid="{00000000-0005-0000-0000-0000D3160000}"/>
    <cellStyle name="Normal 4 8 4 2 2" xfId="8162" xr:uid="{00000000-0005-0000-0000-0000D4160000}"/>
    <cellStyle name="Normal 4 8 4 2 2 2" xfId="17488" xr:uid="{9F983A1B-1F47-4096-B29F-D634161018A8}"/>
    <cellStyle name="Normal 4 8 4 2 3" xfId="13271" xr:uid="{F1585550-5F94-4B69-96EA-8342DEE6B574}"/>
    <cellStyle name="Normal 4 8 4 3" xfId="6017" xr:uid="{00000000-0005-0000-0000-0000D5160000}"/>
    <cellStyle name="Normal 4 8 4 3 2" xfId="15343" xr:uid="{ECC7FE8E-3786-4C77-B12C-2D3CB591C1E6}"/>
    <cellStyle name="Normal 4 8 4 4" xfId="11126" xr:uid="{E0F10B7E-7D7D-4489-910C-9E951CA6A155}"/>
    <cellStyle name="Normal 4 8 5" xfId="2124" xr:uid="{00000000-0005-0000-0000-0000D6160000}"/>
    <cellStyle name="Normal 4 8 5 2" xfId="4353" xr:uid="{00000000-0005-0000-0000-0000D7160000}"/>
    <cellStyle name="Normal 4 8 5 2 2" xfId="8575" xr:uid="{00000000-0005-0000-0000-0000D8160000}"/>
    <cellStyle name="Normal 4 8 5 2 2 2" xfId="17901" xr:uid="{3272FAEB-5E0C-4FE1-98F4-40A10F5FF8DD}"/>
    <cellStyle name="Normal 4 8 5 2 3" xfId="13684" xr:uid="{8451B860-DA72-4681-BDFD-31409A5ED3E7}"/>
    <cellStyle name="Normal 4 8 5 3" xfId="6430" xr:uid="{00000000-0005-0000-0000-0000D9160000}"/>
    <cellStyle name="Normal 4 8 5 3 2" xfId="15756" xr:uid="{1A825F6C-8FAD-4516-B2EF-031B7B9EAB90}"/>
    <cellStyle name="Normal 4 8 5 4" xfId="11539" xr:uid="{B2FAD78B-D462-4BA1-ADB8-5FD762FD648E}"/>
    <cellStyle name="Normal 4 8 6" xfId="2560" xr:uid="{00000000-0005-0000-0000-0000DA160000}"/>
    <cellStyle name="Normal 4 8 6 2" xfId="6843" xr:uid="{00000000-0005-0000-0000-0000DB160000}"/>
    <cellStyle name="Normal 4 8 6 2 2" xfId="16169" xr:uid="{53F0DB31-0191-495D-97BE-FEEFF8266BF1}"/>
    <cellStyle name="Normal 4 8 6 3" xfId="11952" xr:uid="{98696F42-DB13-42F0-ABC6-7A743149F3D7}"/>
    <cellStyle name="Normal 4 8 7" xfId="4778" xr:uid="{00000000-0005-0000-0000-0000DC160000}"/>
    <cellStyle name="Normal 4 8 7 2" xfId="14104" xr:uid="{D84D6E66-36EE-4A0C-AB0D-B5F3894A7E91}"/>
    <cellStyle name="Normal 4 8 8" xfId="8959" xr:uid="{E3216EF3-66EB-48FF-967C-A258B3C3F4FF}"/>
    <cellStyle name="Normal 4 8 8 2" xfId="18283" xr:uid="{31DC6BB1-8BF7-4A20-8052-48EF7CC4AA97}"/>
    <cellStyle name="Normal 4 8 9" xfId="9887" xr:uid="{FF13006A-C3A6-4DD4-93F8-1F055DC4A1A8}"/>
    <cellStyle name="Normal 4 9" xfId="4715" xr:uid="{00000000-0005-0000-0000-0000DD160000}"/>
    <cellStyle name="Normal 4 9 2" xfId="9162" xr:uid="{BC355FAB-4557-4712-A03F-EB5522B29E6A}"/>
    <cellStyle name="Normal 4 9 2 2" xfId="18480" xr:uid="{DB6F9B8A-DEB6-4E72-953A-5B5FEB3B3F42}"/>
    <cellStyle name="Normal 4 9 3" xfId="14041" xr:uid="{D5C5548C-1E00-411A-BF0F-7442C960481C}"/>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D5938CA9-2256-483E-B6C5-7386B48C7D1F}"/>
    <cellStyle name="Normal 5 10 2 3" xfId="13272" xr:uid="{51DD71A3-BF19-4938-8B6C-5F7B92878CEC}"/>
    <cellStyle name="Normal 5 10 3" xfId="6018" xr:uid="{00000000-0005-0000-0000-0000E2160000}"/>
    <cellStyle name="Normal 5 10 3 2" xfId="15344" xr:uid="{1926E5B0-5C0F-4B28-A18E-98AF85520B8E}"/>
    <cellStyle name="Normal 5 10 4" xfId="11127" xr:uid="{17510070-6EB7-4FF5-A799-39D33DD40FE8}"/>
    <cellStyle name="Normal 5 11" xfId="2125" xr:uid="{00000000-0005-0000-0000-0000E3160000}"/>
    <cellStyle name="Normal 5 11 2" xfId="4354" xr:uid="{00000000-0005-0000-0000-0000E4160000}"/>
    <cellStyle name="Normal 5 11 2 2" xfId="8576" xr:uid="{00000000-0005-0000-0000-0000E5160000}"/>
    <cellStyle name="Normal 5 11 2 2 2" xfId="17902" xr:uid="{902310C2-BEBE-4900-86AF-6167FBD9A06E}"/>
    <cellStyle name="Normal 5 11 2 3" xfId="13685" xr:uid="{8FEF8317-DD55-44C8-8628-04E502AFC054}"/>
    <cellStyle name="Normal 5 11 3" xfId="6431" xr:uid="{00000000-0005-0000-0000-0000E6160000}"/>
    <cellStyle name="Normal 5 11 3 2" xfId="15757" xr:uid="{96D756EE-026B-4FA0-BD06-DE6BD5399FC0}"/>
    <cellStyle name="Normal 5 11 4" xfId="11540" xr:uid="{94AA1129-E44C-4350-A8F9-C9F65C3A09E1}"/>
    <cellStyle name="Normal 5 12" xfId="2561" xr:uid="{00000000-0005-0000-0000-0000E7160000}"/>
    <cellStyle name="Normal 5 12 2" xfId="6844" xr:uid="{00000000-0005-0000-0000-0000E8160000}"/>
    <cellStyle name="Normal 5 12 2 2" xfId="16170" xr:uid="{50C82FDC-9F0E-485E-B9A0-C8CC864AD688}"/>
    <cellStyle name="Normal 5 12 3" xfId="11953" xr:uid="{13B57616-0B51-469B-B01C-E13E7D6B9DB4}"/>
    <cellStyle name="Normal 5 13" xfId="4779" xr:uid="{00000000-0005-0000-0000-0000E9160000}"/>
    <cellStyle name="Normal 5 13 2" xfId="14105" xr:uid="{DBA411AE-F5DA-487F-BA45-4AB124BA1206}"/>
    <cellStyle name="Normal 5 14" xfId="8741" xr:uid="{6467398C-BC57-47BF-AF01-9B3356F8431F}"/>
    <cellStyle name="Normal 5 14 2" xfId="18065" xr:uid="{055F9797-C781-4411-B5F4-52BDE0A8E4A2}"/>
    <cellStyle name="Normal 5 15" xfId="9888" xr:uid="{FC221FDE-EA3A-40DF-8287-1DA5565CB32A}"/>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2EDDA9AD-B991-441B-AA0D-E7807C194622}"/>
    <cellStyle name="Normal 5 2 10 2 3" xfId="13686" xr:uid="{FA015147-46AF-4C68-8820-61695484A56A}"/>
    <cellStyle name="Normal 5 2 10 3" xfId="6432" xr:uid="{00000000-0005-0000-0000-0000EE160000}"/>
    <cellStyle name="Normal 5 2 10 3 2" xfId="15758" xr:uid="{515177C5-5443-4AF0-92E9-08F54FCE50F4}"/>
    <cellStyle name="Normal 5 2 10 4" xfId="11541" xr:uid="{72D6B20E-A06F-42E9-A77A-59DDBFB30E1D}"/>
    <cellStyle name="Normal 5 2 11" xfId="2562" xr:uid="{00000000-0005-0000-0000-0000EF160000}"/>
    <cellStyle name="Normal 5 2 11 2" xfId="6845" xr:uid="{00000000-0005-0000-0000-0000F0160000}"/>
    <cellStyle name="Normal 5 2 11 2 2" xfId="16171" xr:uid="{7EFC7815-91FA-418C-8CE8-3189C52F8638}"/>
    <cellStyle name="Normal 5 2 11 3" xfId="11954" xr:uid="{8730C522-C430-4379-A39E-6BB3353FE36F}"/>
    <cellStyle name="Normal 5 2 12" xfId="4780" xr:uid="{00000000-0005-0000-0000-0000F1160000}"/>
    <cellStyle name="Normal 5 2 12 2" xfId="14106" xr:uid="{9F809A19-8814-47BD-9230-6C8E8A4111CA}"/>
    <cellStyle name="Normal 5 2 13" xfId="8744" xr:uid="{40D5DF2B-E9DF-4D52-AAE0-3E5A94050B59}"/>
    <cellStyle name="Normal 5 2 13 2" xfId="18068" xr:uid="{AC60C888-AD70-4869-9BC5-48DACC0DA784}"/>
    <cellStyle name="Normal 5 2 14" xfId="9889" xr:uid="{1383415C-0B66-4635-8A4F-F44AE2A7857D}"/>
    <cellStyle name="Normal 5 2 2" xfId="408" xr:uid="{00000000-0005-0000-0000-0000F2160000}"/>
    <cellStyle name="Normal 5 2 2 10" xfId="2563" xr:uid="{00000000-0005-0000-0000-0000F3160000}"/>
    <cellStyle name="Normal 5 2 2 10 2" xfId="6846" xr:uid="{00000000-0005-0000-0000-0000F4160000}"/>
    <cellStyle name="Normal 5 2 2 10 2 2" xfId="16172" xr:uid="{FA6D021E-5A7F-4A32-A405-900E2C36DF6E}"/>
    <cellStyle name="Normal 5 2 2 10 3" xfId="11955" xr:uid="{900EC229-D868-4411-8A3B-CC200DE9FD00}"/>
    <cellStyle name="Normal 5 2 2 11" xfId="4781" xr:uid="{00000000-0005-0000-0000-0000F5160000}"/>
    <cellStyle name="Normal 5 2 2 11 2" xfId="14107" xr:uid="{BCBD843E-EDFA-4826-8E8D-292B0F6F4B25}"/>
    <cellStyle name="Normal 5 2 2 12" xfId="8753" xr:uid="{96D04E2F-D92F-448D-9FDA-8261D8BEE094}"/>
    <cellStyle name="Normal 5 2 2 12 2" xfId="18077" xr:uid="{F8B4E163-0A09-493A-A337-1084FF032427}"/>
    <cellStyle name="Normal 5 2 2 13" xfId="9890" xr:uid="{512F2A38-19DE-4BE0-956C-844F37E72D85}"/>
    <cellStyle name="Normal 5 2 2 2" xfId="409" xr:uid="{00000000-0005-0000-0000-0000F6160000}"/>
    <cellStyle name="Normal 5 2 2 2 10" xfId="4782" xr:uid="{00000000-0005-0000-0000-0000F7160000}"/>
    <cellStyle name="Normal 5 2 2 2 10 2" xfId="14108" xr:uid="{B319DB6E-6357-4C17-A17A-DCA67A4B8253}"/>
    <cellStyle name="Normal 5 2 2 2 11" xfId="8771" xr:uid="{0E58ED1C-12F1-4692-801F-170CA6F7CBDB}"/>
    <cellStyle name="Normal 5 2 2 2 11 2" xfId="18095" xr:uid="{DEE3F57E-E01E-4A6C-9079-CDBBB9DEC9D2}"/>
    <cellStyle name="Normal 5 2 2 2 12" xfId="9891" xr:uid="{7121ED70-CF24-4852-A2A4-5D855DB5A8C4}"/>
    <cellStyle name="Normal 5 2 2 2 2" xfId="410" xr:uid="{00000000-0005-0000-0000-0000F8160000}"/>
    <cellStyle name="Normal 5 2 2 2 2 10" xfId="8829" xr:uid="{AC161972-21E9-4E03-8D2E-9F95632CB08D}"/>
    <cellStyle name="Normal 5 2 2 2 2 10 2" xfId="18153" xr:uid="{59890082-63E5-4032-8ABB-267088D4BE05}"/>
    <cellStyle name="Normal 5 2 2 2 2 11" xfId="9892" xr:uid="{6151AA05-FD73-4477-8E13-E3A305B02503}"/>
    <cellStyle name="Normal 5 2 2 2 2 2" xfId="411" xr:uid="{00000000-0005-0000-0000-0000F9160000}"/>
    <cellStyle name="Normal 5 2 2 2 2 2 10" xfId="9893" xr:uid="{43C9E854-810B-414C-AD3F-5B13A12D4457}"/>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DA8B71C4-7F81-4D7F-A9C7-756AB2734F39}"/>
    <cellStyle name="Normal 5 2 2 2 2 2 2 2 2 3" xfId="12452" xr:uid="{6DCEF022-1AC2-4D7E-8721-20E4092E5FF0}"/>
    <cellStyle name="Normal 5 2 2 2 2 2 2 2 3" xfId="5198" xr:uid="{00000000-0005-0000-0000-0000FE160000}"/>
    <cellStyle name="Normal 5 2 2 2 2 2 2 2 3 2" xfId="14524" xr:uid="{E9062693-C0CE-4D42-B258-753A1FBDFCE7}"/>
    <cellStyle name="Normal 5 2 2 2 2 2 2 2 4" xfId="9564" xr:uid="{15884BE4-44C0-46E7-A184-FC102AAADEB4}"/>
    <cellStyle name="Normal 5 2 2 2 2 2 2 2 4 2" xfId="18879" xr:uid="{8BF3751D-EE26-4678-B09B-217C10A86A38}"/>
    <cellStyle name="Normal 5 2 2 2 2 2 2 2 5" xfId="10307" xr:uid="{ACFAFE3B-5F13-4495-AD37-0AB24BA4224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A84DB3A2-E5E7-40F7-A5C8-9BB74835E8D4}"/>
    <cellStyle name="Normal 5 2 2 2 2 2 2 3 2 3" xfId="12865" xr:uid="{4B4E396A-A5A9-47E6-B271-8809A88FA0E3}"/>
    <cellStyle name="Normal 5 2 2 2 2 2 2 3 3" xfId="5611" xr:uid="{00000000-0005-0000-0000-000002170000}"/>
    <cellStyle name="Normal 5 2 2 2 2 2 2 3 3 2" xfId="14937" xr:uid="{45A1F6AF-1C45-40B0-AD0B-5A41241CDF10}"/>
    <cellStyle name="Normal 5 2 2 2 2 2 2 3 4" xfId="10720" xr:uid="{91E4D656-A065-4744-B96E-EAD27D63E389}"/>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26E40E30-F11B-46B5-9049-7771F36E5235}"/>
    <cellStyle name="Normal 5 2 2 2 2 2 2 4 2 3" xfId="13278" xr:uid="{A7624EF6-CD3E-45B2-9995-F9F6C08501C0}"/>
    <cellStyle name="Normal 5 2 2 2 2 2 2 4 3" xfId="6024" xr:uid="{00000000-0005-0000-0000-000006170000}"/>
    <cellStyle name="Normal 5 2 2 2 2 2 2 4 3 2" xfId="15350" xr:uid="{0B8D3EA1-B4F7-4200-ADCB-444F66B9CA3D}"/>
    <cellStyle name="Normal 5 2 2 2 2 2 2 4 4" xfId="11133" xr:uid="{1DB7239F-ABC7-4A7A-A841-0563AEC43579}"/>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7CE9A792-48FE-43DE-AB22-3524EAE64E8E}"/>
    <cellStyle name="Normal 5 2 2 2 2 2 2 5 2 3" xfId="13691" xr:uid="{F3E961A3-1828-4E65-B850-AF3674FA9662}"/>
    <cellStyle name="Normal 5 2 2 2 2 2 2 5 3" xfId="6437" xr:uid="{00000000-0005-0000-0000-00000A170000}"/>
    <cellStyle name="Normal 5 2 2 2 2 2 2 5 3 2" xfId="15763" xr:uid="{17CE0A30-B930-48F2-8A56-E9093556C035}"/>
    <cellStyle name="Normal 5 2 2 2 2 2 2 5 4" xfId="11546" xr:uid="{8C82C85B-89F7-4922-9A6B-B4239C5E356A}"/>
    <cellStyle name="Normal 5 2 2 2 2 2 2 6" xfId="2567" xr:uid="{00000000-0005-0000-0000-00000B170000}"/>
    <cellStyle name="Normal 5 2 2 2 2 2 2 6 2" xfId="6850" xr:uid="{00000000-0005-0000-0000-00000C170000}"/>
    <cellStyle name="Normal 5 2 2 2 2 2 2 6 2 2" xfId="16176" xr:uid="{A78D9662-EEC6-42D6-B4EA-57E3E1C258E1}"/>
    <cellStyle name="Normal 5 2 2 2 2 2 2 6 3" xfId="11959" xr:uid="{11B2BFD7-CCFF-430F-9337-61997737E0DF}"/>
    <cellStyle name="Normal 5 2 2 2 2 2 2 7" xfId="4785" xr:uid="{00000000-0005-0000-0000-00000D170000}"/>
    <cellStyle name="Normal 5 2 2 2 2 2 2 7 2" xfId="14111" xr:uid="{2B71E8D5-49E9-48AF-8DC1-D32468C12882}"/>
    <cellStyle name="Normal 5 2 2 2 2 2 2 8" xfId="9139" xr:uid="{CFCC7179-F81D-4929-81F2-C6E64655A093}"/>
    <cellStyle name="Normal 5 2 2 2 2 2 2 8 2" xfId="18463" xr:uid="{2936808E-5223-47BD-9516-14D28D61B32D}"/>
    <cellStyle name="Normal 5 2 2 2 2 2 2 9" xfId="9894" xr:uid="{C101ECA0-C86D-4E0B-A7C5-A602D22C6677}"/>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FD806F30-E4F9-4D5E-B34E-FDE072F6015C}"/>
    <cellStyle name="Normal 5 2 2 2 2 2 3 2 3" xfId="12451" xr:uid="{49C455AD-96FD-49F3-99F9-11B89528A5C0}"/>
    <cellStyle name="Normal 5 2 2 2 2 2 3 3" xfId="5197" xr:uid="{00000000-0005-0000-0000-000011170000}"/>
    <cellStyle name="Normal 5 2 2 2 2 2 3 3 2" xfId="14523" xr:uid="{47CA5C87-965A-48ED-BA43-AD26CF73AC51}"/>
    <cellStyle name="Normal 5 2 2 2 2 2 3 4" xfId="9357" xr:uid="{1809EB60-9E69-4954-99A5-643CD830C5FB}"/>
    <cellStyle name="Normal 5 2 2 2 2 2 3 4 2" xfId="18672" xr:uid="{0B2DBCCC-FB4D-413B-ABCA-3F9EFE2B1D8F}"/>
    <cellStyle name="Normal 5 2 2 2 2 2 3 5" xfId="10306" xr:uid="{443CB552-CFF9-4568-8B54-F64A4C78869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A329C241-2BCF-41BB-9EDE-1BD045958E21}"/>
    <cellStyle name="Normal 5 2 2 2 2 2 4 2 3" xfId="12864" xr:uid="{69795C4D-A950-4B8C-BB92-7200574E1501}"/>
    <cellStyle name="Normal 5 2 2 2 2 2 4 3" xfId="5610" xr:uid="{00000000-0005-0000-0000-000015170000}"/>
    <cellStyle name="Normal 5 2 2 2 2 2 4 3 2" xfId="14936" xr:uid="{68A24C0D-FE48-432C-B76E-04AA4FE4C5E7}"/>
    <cellStyle name="Normal 5 2 2 2 2 2 4 4" xfId="10719" xr:uid="{75151DD3-9A76-4D09-BB77-BDF5B5E4A166}"/>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677636A1-74D7-4FDA-9FF8-5A0E056BD913}"/>
    <cellStyle name="Normal 5 2 2 2 2 2 5 2 3" xfId="13277" xr:uid="{18789552-002E-4375-89F1-6758F35AC82C}"/>
    <cellStyle name="Normal 5 2 2 2 2 2 5 3" xfId="6023" xr:uid="{00000000-0005-0000-0000-000019170000}"/>
    <cellStyle name="Normal 5 2 2 2 2 2 5 3 2" xfId="15349" xr:uid="{75A4E71D-22F3-48F7-ABF0-76908F724BA9}"/>
    <cellStyle name="Normal 5 2 2 2 2 2 5 4" xfId="11132" xr:uid="{883BF6C6-D3B4-41A7-86F6-1B7205E34EA1}"/>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54D58D76-695E-4C3C-8AD9-F23050C8B1B6}"/>
    <cellStyle name="Normal 5 2 2 2 2 2 6 2 3" xfId="13690" xr:uid="{2EA28CA0-AC3F-47A3-8A53-BF54305BC5EA}"/>
    <cellStyle name="Normal 5 2 2 2 2 2 6 3" xfId="6436" xr:uid="{00000000-0005-0000-0000-00001D170000}"/>
    <cellStyle name="Normal 5 2 2 2 2 2 6 3 2" xfId="15762" xr:uid="{05CC6F6E-66D1-4ACA-9616-C79894868AFC}"/>
    <cellStyle name="Normal 5 2 2 2 2 2 6 4" xfId="11545" xr:uid="{29B3483D-D8ED-43C3-B127-AB112F903DB6}"/>
    <cellStyle name="Normal 5 2 2 2 2 2 7" xfId="2566" xr:uid="{00000000-0005-0000-0000-00001E170000}"/>
    <cellStyle name="Normal 5 2 2 2 2 2 7 2" xfId="6849" xr:uid="{00000000-0005-0000-0000-00001F170000}"/>
    <cellStyle name="Normal 5 2 2 2 2 2 7 2 2" xfId="16175" xr:uid="{1AE8CC68-B8A6-486F-8781-7906A946063B}"/>
    <cellStyle name="Normal 5 2 2 2 2 2 7 3" xfId="11958" xr:uid="{CD158ED6-7020-499A-BB1D-78C4237C954D}"/>
    <cellStyle name="Normal 5 2 2 2 2 2 8" xfId="4784" xr:uid="{00000000-0005-0000-0000-000020170000}"/>
    <cellStyle name="Normal 5 2 2 2 2 2 8 2" xfId="14110" xr:uid="{A82733C8-E89D-4718-B596-F736C564D865}"/>
    <cellStyle name="Normal 5 2 2 2 2 2 9" xfId="8932" xr:uid="{8A89D9DD-5FCE-4028-8D52-F4758EFA866E}"/>
    <cellStyle name="Normal 5 2 2 2 2 2 9 2" xfId="18256" xr:uid="{C6548529-A7F2-45E4-A5BE-759B14E3A76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08B9E953-82F1-49DF-9ABE-6888A338F16E}"/>
    <cellStyle name="Normal 5 2 2 2 2 3 2 2 3" xfId="12453" xr:uid="{609EBCCC-9DC8-4C38-BCB7-3930B5D46F13}"/>
    <cellStyle name="Normal 5 2 2 2 2 3 2 3" xfId="5199" xr:uid="{00000000-0005-0000-0000-000025170000}"/>
    <cellStyle name="Normal 5 2 2 2 2 3 2 3 2" xfId="14525" xr:uid="{48912103-3DAF-491F-9176-8E9874F1F402}"/>
    <cellStyle name="Normal 5 2 2 2 2 3 2 4" xfId="9461" xr:uid="{815E4D9A-ED64-4B6C-A17A-F6D83CC40A47}"/>
    <cellStyle name="Normal 5 2 2 2 2 3 2 4 2" xfId="18776" xr:uid="{4907AF3D-5210-4461-B727-5571F5AE75A5}"/>
    <cellStyle name="Normal 5 2 2 2 2 3 2 5" xfId="10308" xr:uid="{93C09ECF-54A8-4F42-A4F6-A7BF6E8E32D5}"/>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DCEBC571-0073-4A38-943B-443307C3630A}"/>
    <cellStyle name="Normal 5 2 2 2 2 3 3 2 3" xfId="12866" xr:uid="{EBD9236E-919E-4EBC-A918-E17B6EADE653}"/>
    <cellStyle name="Normal 5 2 2 2 2 3 3 3" xfId="5612" xr:uid="{00000000-0005-0000-0000-000029170000}"/>
    <cellStyle name="Normal 5 2 2 2 2 3 3 3 2" xfId="14938" xr:uid="{886455A8-54F8-4D05-95F8-D42674DA8F23}"/>
    <cellStyle name="Normal 5 2 2 2 2 3 3 4" xfId="10721" xr:uid="{36ECF827-8385-405A-A35C-EDDEE897CD3A}"/>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F369B384-E965-4D5C-B614-9FB2F114BB9C}"/>
    <cellStyle name="Normal 5 2 2 2 2 3 4 2 3" xfId="13279" xr:uid="{B9A53997-9A43-4E85-8F5A-4617C3D5F3CE}"/>
    <cellStyle name="Normal 5 2 2 2 2 3 4 3" xfId="6025" xr:uid="{00000000-0005-0000-0000-00002D170000}"/>
    <cellStyle name="Normal 5 2 2 2 2 3 4 3 2" xfId="15351" xr:uid="{58698E98-2734-4B59-A913-0ABA2313E581}"/>
    <cellStyle name="Normal 5 2 2 2 2 3 4 4" xfId="11134" xr:uid="{0AEB6279-875F-4057-B712-BD92FFB563C8}"/>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363C88B4-2905-43D7-8C29-65D918B4F7A6}"/>
    <cellStyle name="Normal 5 2 2 2 2 3 5 2 3" xfId="13692" xr:uid="{B2292CC5-91E5-4F4C-B467-B63B016C00B8}"/>
    <cellStyle name="Normal 5 2 2 2 2 3 5 3" xfId="6438" xr:uid="{00000000-0005-0000-0000-000031170000}"/>
    <cellStyle name="Normal 5 2 2 2 2 3 5 3 2" xfId="15764" xr:uid="{D464B219-D6C5-44BC-90F9-D5D1FFDCF16A}"/>
    <cellStyle name="Normal 5 2 2 2 2 3 5 4" xfId="11547" xr:uid="{316C0142-7EAD-44BC-ACCF-6C1BA823C91C}"/>
    <cellStyle name="Normal 5 2 2 2 2 3 6" xfId="2568" xr:uid="{00000000-0005-0000-0000-000032170000}"/>
    <cellStyle name="Normal 5 2 2 2 2 3 6 2" xfId="6851" xr:uid="{00000000-0005-0000-0000-000033170000}"/>
    <cellStyle name="Normal 5 2 2 2 2 3 6 2 2" xfId="16177" xr:uid="{A0FA7DD0-89AC-4038-B426-5A9586B73A7A}"/>
    <cellStyle name="Normal 5 2 2 2 2 3 6 3" xfId="11960" xr:uid="{374106E1-01A6-4BED-93FC-9CC0EA470164}"/>
    <cellStyle name="Normal 5 2 2 2 2 3 7" xfId="4786" xr:uid="{00000000-0005-0000-0000-000034170000}"/>
    <cellStyle name="Normal 5 2 2 2 2 3 7 2" xfId="14112" xr:uid="{8EC410D0-81B7-410E-81ED-8CD195B793A9}"/>
    <cellStyle name="Normal 5 2 2 2 2 3 8" xfId="9036" xr:uid="{2B9BC3AC-900A-42EE-A23F-E5574B6E75BC}"/>
    <cellStyle name="Normal 5 2 2 2 2 3 8 2" xfId="18360" xr:uid="{2465DCFB-1397-41A0-B23C-80E4522CAEC6}"/>
    <cellStyle name="Normal 5 2 2 2 2 3 9" xfId="9895" xr:uid="{2943783A-8CFC-4E3A-9210-F40E422BF67F}"/>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5E8728BC-0965-4035-A78E-F722C5FC5520}"/>
    <cellStyle name="Normal 5 2 2 2 2 4 2 3" xfId="12450" xr:uid="{6998CB34-352A-402E-BCAF-D60F34AD41CE}"/>
    <cellStyle name="Normal 5 2 2 2 2 4 3" xfId="5196" xr:uid="{00000000-0005-0000-0000-000038170000}"/>
    <cellStyle name="Normal 5 2 2 2 2 4 3 2" xfId="14522" xr:uid="{F7420AD0-4696-4B2A-9D35-D6F2ACF9E177}"/>
    <cellStyle name="Normal 5 2 2 2 2 4 4" xfId="9254" xr:uid="{B0B4DA0D-4C0F-4712-8BF0-280C2A85D575}"/>
    <cellStyle name="Normal 5 2 2 2 2 4 4 2" xfId="18569" xr:uid="{4670D858-C2D0-46F1-9FA8-4FAACE67B214}"/>
    <cellStyle name="Normal 5 2 2 2 2 4 5" xfId="10305" xr:uid="{12255050-555F-4D26-8D7D-41FF8F091ED1}"/>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2DB1258E-4444-400B-B44E-74A06371F2EF}"/>
    <cellStyle name="Normal 5 2 2 2 2 5 2 3" xfId="12863" xr:uid="{4F14DCD6-EC44-4F3D-853E-CBC78D72FB6E}"/>
    <cellStyle name="Normal 5 2 2 2 2 5 3" xfId="5609" xr:uid="{00000000-0005-0000-0000-00003C170000}"/>
    <cellStyle name="Normal 5 2 2 2 2 5 3 2" xfId="14935" xr:uid="{B7DF3072-DBD6-421F-9FE4-3C7885039EA5}"/>
    <cellStyle name="Normal 5 2 2 2 2 5 4" xfId="10718" xr:uid="{C83C39F4-24A1-4EF9-8643-D977B719B7FB}"/>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946D45C4-04F4-4486-A238-8B819FBDB3F9}"/>
    <cellStyle name="Normal 5 2 2 2 2 6 2 3" xfId="13276" xr:uid="{15376AA5-FD89-4105-B27D-38EEBA5DA2EF}"/>
    <cellStyle name="Normal 5 2 2 2 2 6 3" xfId="6022" xr:uid="{00000000-0005-0000-0000-000040170000}"/>
    <cellStyle name="Normal 5 2 2 2 2 6 3 2" xfId="15348" xr:uid="{55E7C43A-2C7E-4598-84A0-835786C7474C}"/>
    <cellStyle name="Normal 5 2 2 2 2 6 4" xfId="11131" xr:uid="{7A4DC8AC-D7F7-4861-BECA-992B40F10766}"/>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9C527BCB-7385-4628-BA37-CA3D8626FFA6}"/>
    <cellStyle name="Normal 5 2 2 2 2 7 2 3" xfId="13689" xr:uid="{B32BDD10-D727-40C4-A76A-7A28402F8D3C}"/>
    <cellStyle name="Normal 5 2 2 2 2 7 3" xfId="6435" xr:uid="{00000000-0005-0000-0000-000044170000}"/>
    <cellStyle name="Normal 5 2 2 2 2 7 3 2" xfId="15761" xr:uid="{9E2396E1-AF2C-478C-AC6E-D26E73D8F14A}"/>
    <cellStyle name="Normal 5 2 2 2 2 7 4" xfId="11544" xr:uid="{E0D45362-78C9-48BC-9F10-84CAAC70AE01}"/>
    <cellStyle name="Normal 5 2 2 2 2 8" xfId="2565" xr:uid="{00000000-0005-0000-0000-000045170000}"/>
    <cellStyle name="Normal 5 2 2 2 2 8 2" xfId="6848" xr:uid="{00000000-0005-0000-0000-000046170000}"/>
    <cellStyle name="Normal 5 2 2 2 2 8 2 2" xfId="16174" xr:uid="{BE589290-250F-4B83-9F6A-7FE2900C98D2}"/>
    <cellStyle name="Normal 5 2 2 2 2 8 3" xfId="11957" xr:uid="{1D65982A-4EBB-4D9D-B096-945D0E71C185}"/>
    <cellStyle name="Normal 5 2 2 2 2 9" xfId="4783" xr:uid="{00000000-0005-0000-0000-000047170000}"/>
    <cellStyle name="Normal 5 2 2 2 2 9 2" xfId="14109" xr:uid="{D5E649E3-5B1F-4230-8449-56EC5434AEC2}"/>
    <cellStyle name="Normal 5 2 2 2 3" xfId="414" xr:uid="{00000000-0005-0000-0000-000048170000}"/>
    <cellStyle name="Normal 5 2 2 2 3 10" xfId="9896" xr:uid="{D26ABF4A-F490-43BF-A202-94C148F0F83D}"/>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C87BF7F6-09AE-4257-8B79-CE5CAFAC87BC}"/>
    <cellStyle name="Normal 5 2 2 2 3 2 2 2 3" xfId="12455" xr:uid="{E14B4FAD-6561-48B5-B81E-E55E2F08D956}"/>
    <cellStyle name="Normal 5 2 2 2 3 2 2 3" xfId="5201" xr:uid="{00000000-0005-0000-0000-00004D170000}"/>
    <cellStyle name="Normal 5 2 2 2 3 2 2 3 2" xfId="14527" xr:uid="{2879A1D5-85AB-4FFF-B593-3A99821BB8A5}"/>
    <cellStyle name="Normal 5 2 2 2 3 2 2 4" xfId="9506" xr:uid="{65E8E1F9-5B62-47C9-8131-412DF42F5268}"/>
    <cellStyle name="Normal 5 2 2 2 3 2 2 4 2" xfId="18821" xr:uid="{5442FF43-09F8-41CB-9F88-13E395CEB1EE}"/>
    <cellStyle name="Normal 5 2 2 2 3 2 2 5" xfId="10310" xr:uid="{ACCE530C-2E01-4779-8A00-D3EDB6B67E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D6F07725-0982-4F7C-889D-DCBA6309AFCB}"/>
    <cellStyle name="Normal 5 2 2 2 3 2 3 2 3" xfId="12868" xr:uid="{EDE7E14B-8F78-4080-875D-F05CD026A76A}"/>
    <cellStyle name="Normal 5 2 2 2 3 2 3 3" xfId="5614" xr:uid="{00000000-0005-0000-0000-000051170000}"/>
    <cellStyle name="Normal 5 2 2 2 3 2 3 3 2" xfId="14940" xr:uid="{DDBAB7EB-1DD8-4AC7-93CB-B72C2ECB7F74}"/>
    <cellStyle name="Normal 5 2 2 2 3 2 3 4" xfId="10723" xr:uid="{568CA9DF-4092-4F12-AD6C-9886C9E7CD75}"/>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44F7880E-7B7C-47E8-942A-8DF6E7902CF0}"/>
    <cellStyle name="Normal 5 2 2 2 3 2 4 2 3" xfId="13281" xr:uid="{BC310956-6F09-44CE-A2D6-9528444A41A6}"/>
    <cellStyle name="Normal 5 2 2 2 3 2 4 3" xfId="6027" xr:uid="{00000000-0005-0000-0000-000055170000}"/>
    <cellStyle name="Normal 5 2 2 2 3 2 4 3 2" xfId="15353" xr:uid="{86CC6438-0F9A-4EF4-BF31-167081068F06}"/>
    <cellStyle name="Normal 5 2 2 2 3 2 4 4" xfId="11136" xr:uid="{4E01A2FD-C94E-4815-BB02-6DB5E5191ED9}"/>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E16E4F34-5DA2-4533-BD38-7222592E3E63}"/>
    <cellStyle name="Normal 5 2 2 2 3 2 5 2 3" xfId="13694" xr:uid="{A78C41E8-2898-46FC-87EA-D100624CCDDE}"/>
    <cellStyle name="Normal 5 2 2 2 3 2 5 3" xfId="6440" xr:uid="{00000000-0005-0000-0000-000059170000}"/>
    <cellStyle name="Normal 5 2 2 2 3 2 5 3 2" xfId="15766" xr:uid="{BBBBBD86-344A-40B5-B1C3-59BA6C52D02C}"/>
    <cellStyle name="Normal 5 2 2 2 3 2 5 4" xfId="11549" xr:uid="{A2A31098-1269-4DDD-A807-78ED15BBA7CD}"/>
    <cellStyle name="Normal 5 2 2 2 3 2 6" xfId="2570" xr:uid="{00000000-0005-0000-0000-00005A170000}"/>
    <cellStyle name="Normal 5 2 2 2 3 2 6 2" xfId="6853" xr:uid="{00000000-0005-0000-0000-00005B170000}"/>
    <cellStyle name="Normal 5 2 2 2 3 2 6 2 2" xfId="16179" xr:uid="{443934AD-A020-46F6-9734-1C96BAE1A95B}"/>
    <cellStyle name="Normal 5 2 2 2 3 2 6 3" xfId="11962" xr:uid="{C743424E-6EB6-40A0-A7B3-A4632D7F4E9C}"/>
    <cellStyle name="Normal 5 2 2 2 3 2 7" xfId="4788" xr:uid="{00000000-0005-0000-0000-00005C170000}"/>
    <cellStyle name="Normal 5 2 2 2 3 2 7 2" xfId="14114" xr:uid="{C69B3C2A-4FD4-4977-A262-108D2BF501B4}"/>
    <cellStyle name="Normal 5 2 2 2 3 2 8" xfId="9081" xr:uid="{B0400C6D-4400-4F06-9092-2DCAD3324CF1}"/>
    <cellStyle name="Normal 5 2 2 2 3 2 8 2" xfId="18405" xr:uid="{FCC56FE9-499D-4DD4-AEDF-742D871CC31E}"/>
    <cellStyle name="Normal 5 2 2 2 3 2 9" xfId="9897" xr:uid="{519845FA-FB82-459C-88C2-51267C1902EA}"/>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EC35E9EA-8D96-411E-B215-0F3F3E686B63}"/>
    <cellStyle name="Normal 5 2 2 2 3 3 2 3" xfId="12454" xr:uid="{2D32F51A-AADE-4A97-A485-7D3EAFB36E6D}"/>
    <cellStyle name="Normal 5 2 2 2 3 3 3" xfId="5200" xr:uid="{00000000-0005-0000-0000-000060170000}"/>
    <cellStyle name="Normal 5 2 2 2 3 3 3 2" xfId="14526" xr:uid="{B35B5642-AA46-4B2D-AAB0-0403189F428A}"/>
    <cellStyle name="Normal 5 2 2 2 3 3 4" xfId="9299" xr:uid="{85780536-A38F-4D86-8846-D9FA6BB2D61D}"/>
    <cellStyle name="Normal 5 2 2 2 3 3 4 2" xfId="18614" xr:uid="{99D0DADF-A52A-4189-BE0B-6549FBD82027}"/>
    <cellStyle name="Normal 5 2 2 2 3 3 5" xfId="10309" xr:uid="{FF5E1881-BD9F-4B85-BF38-EE9E387A43EF}"/>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D7B3B4C1-AA0C-4F07-A3AB-A95979EA395F}"/>
    <cellStyle name="Normal 5 2 2 2 3 4 2 3" xfId="12867" xr:uid="{8BA869F4-724D-496D-B6E4-E4C5FE6FBC13}"/>
    <cellStyle name="Normal 5 2 2 2 3 4 3" xfId="5613" xr:uid="{00000000-0005-0000-0000-000064170000}"/>
    <cellStyle name="Normal 5 2 2 2 3 4 3 2" xfId="14939" xr:uid="{F0DC0845-6C5E-4A92-8DC3-DB1EB63BA137}"/>
    <cellStyle name="Normal 5 2 2 2 3 4 4" xfId="10722" xr:uid="{AD9F29A5-48F3-48AB-8FDC-0FDAA58AC8A3}"/>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57098052-EE22-4AE8-9AEC-3CFB5B9F05CC}"/>
    <cellStyle name="Normal 5 2 2 2 3 5 2 3" xfId="13280" xr:uid="{7E681760-1BF9-4DA7-8975-B644B2AFC514}"/>
    <cellStyle name="Normal 5 2 2 2 3 5 3" xfId="6026" xr:uid="{00000000-0005-0000-0000-000068170000}"/>
    <cellStyle name="Normal 5 2 2 2 3 5 3 2" xfId="15352" xr:uid="{B9CE79C0-7CF0-40AD-9E21-36B1223A2E7C}"/>
    <cellStyle name="Normal 5 2 2 2 3 5 4" xfId="11135" xr:uid="{8ED7CAD1-EF88-425C-B4A3-F593BE84FFB5}"/>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08B75DEA-A0A0-4E20-8C7C-402770FDF2CE}"/>
    <cellStyle name="Normal 5 2 2 2 3 6 2 3" xfId="13693" xr:uid="{D28A6CF3-2651-4BCC-BE24-23E74D329AD5}"/>
    <cellStyle name="Normal 5 2 2 2 3 6 3" xfId="6439" xr:uid="{00000000-0005-0000-0000-00006C170000}"/>
    <cellStyle name="Normal 5 2 2 2 3 6 3 2" xfId="15765" xr:uid="{F9EF69F7-DF39-4F0C-8FB4-9BCDB3E83A1B}"/>
    <cellStyle name="Normal 5 2 2 2 3 6 4" xfId="11548" xr:uid="{36F13FDC-5287-42F0-9DD7-ED2E5E627857}"/>
    <cellStyle name="Normal 5 2 2 2 3 7" xfId="2569" xr:uid="{00000000-0005-0000-0000-00006D170000}"/>
    <cellStyle name="Normal 5 2 2 2 3 7 2" xfId="6852" xr:uid="{00000000-0005-0000-0000-00006E170000}"/>
    <cellStyle name="Normal 5 2 2 2 3 7 2 2" xfId="16178" xr:uid="{5C61053A-D9BF-4335-968F-0E82A4C33438}"/>
    <cellStyle name="Normal 5 2 2 2 3 7 3" xfId="11961" xr:uid="{DA23A323-4D32-45E2-A50C-49349238C5D8}"/>
    <cellStyle name="Normal 5 2 2 2 3 8" xfId="4787" xr:uid="{00000000-0005-0000-0000-00006F170000}"/>
    <cellStyle name="Normal 5 2 2 2 3 8 2" xfId="14113" xr:uid="{9423FD1A-6205-4339-B8AD-42A34BA6B9F8}"/>
    <cellStyle name="Normal 5 2 2 2 3 9" xfId="8874" xr:uid="{D7CEB9F3-DFA5-483F-B08A-C4A582DD7FE8}"/>
    <cellStyle name="Normal 5 2 2 2 3 9 2" xfId="18198" xr:uid="{4553D7E6-6B08-4B50-93D2-A67370390CD2}"/>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39DC830D-1778-400D-BF97-BA7EF438A402}"/>
    <cellStyle name="Normal 5 2 2 2 4 2 2 3" xfId="12456" xr:uid="{DF600A4C-2493-463F-92F9-48CE214113F3}"/>
    <cellStyle name="Normal 5 2 2 2 4 2 3" xfId="5202" xr:uid="{00000000-0005-0000-0000-000074170000}"/>
    <cellStyle name="Normal 5 2 2 2 4 2 3 2" xfId="14528" xr:uid="{9AB5E5E8-7D9E-479D-81F8-133EE4B10E2C}"/>
    <cellStyle name="Normal 5 2 2 2 4 2 4" xfId="9403" xr:uid="{DDA7C497-662A-4A76-A324-A27E6A0A2B3D}"/>
    <cellStyle name="Normal 5 2 2 2 4 2 4 2" xfId="18718" xr:uid="{61A51CAF-9C87-4904-959A-BD9E4D5DB21D}"/>
    <cellStyle name="Normal 5 2 2 2 4 2 5" xfId="10311" xr:uid="{D107962F-A3CD-4502-93A4-AA25FBA99ACC}"/>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4D6D2628-4480-4105-B3FC-AC701DEE7CF3}"/>
    <cellStyle name="Normal 5 2 2 2 4 3 2 3" xfId="12869" xr:uid="{261C4E4E-9556-481A-9F8C-62EBC024A6D7}"/>
    <cellStyle name="Normal 5 2 2 2 4 3 3" xfId="5615" xr:uid="{00000000-0005-0000-0000-000078170000}"/>
    <cellStyle name="Normal 5 2 2 2 4 3 3 2" xfId="14941" xr:uid="{8E1FD953-550D-424F-98C8-0E856FCB242B}"/>
    <cellStyle name="Normal 5 2 2 2 4 3 4" xfId="10724" xr:uid="{BBCC874E-9391-4320-8728-FC680907B51F}"/>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82FDED8A-E6A1-4C1D-B185-1283897DCF02}"/>
    <cellStyle name="Normal 5 2 2 2 4 4 2 3" xfId="13282" xr:uid="{EE91D257-A99F-4B33-9A84-69DAC31C7F9A}"/>
    <cellStyle name="Normal 5 2 2 2 4 4 3" xfId="6028" xr:uid="{00000000-0005-0000-0000-00007C170000}"/>
    <cellStyle name="Normal 5 2 2 2 4 4 3 2" xfId="15354" xr:uid="{3AB8066B-2912-4F9E-8238-55209996D861}"/>
    <cellStyle name="Normal 5 2 2 2 4 4 4" xfId="11137" xr:uid="{1C25A2F7-FA53-4507-A97F-9BB975F589F8}"/>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356FB896-20D8-47FE-9F09-F0E7C116820F}"/>
    <cellStyle name="Normal 5 2 2 2 4 5 2 3" xfId="13695" xr:uid="{A4F36EF7-9846-481E-9E31-3C0A1FFADF65}"/>
    <cellStyle name="Normal 5 2 2 2 4 5 3" xfId="6441" xr:uid="{00000000-0005-0000-0000-000080170000}"/>
    <cellStyle name="Normal 5 2 2 2 4 5 3 2" xfId="15767" xr:uid="{1401C5FA-B6B2-4646-B6F5-A1AAD5ED9A78}"/>
    <cellStyle name="Normal 5 2 2 2 4 5 4" xfId="11550" xr:uid="{665DE68F-AA62-486C-AB4F-3D2BD5B5E668}"/>
    <cellStyle name="Normal 5 2 2 2 4 6" xfId="2571" xr:uid="{00000000-0005-0000-0000-000081170000}"/>
    <cellStyle name="Normal 5 2 2 2 4 6 2" xfId="6854" xr:uid="{00000000-0005-0000-0000-000082170000}"/>
    <cellStyle name="Normal 5 2 2 2 4 6 2 2" xfId="16180" xr:uid="{3E0C3106-F978-41A3-AB10-0418FD63CB9E}"/>
    <cellStyle name="Normal 5 2 2 2 4 6 3" xfId="11963" xr:uid="{7EC6FBE4-3888-4CF0-A771-F851549DA91C}"/>
    <cellStyle name="Normal 5 2 2 2 4 7" xfId="4789" xr:uid="{00000000-0005-0000-0000-000083170000}"/>
    <cellStyle name="Normal 5 2 2 2 4 7 2" xfId="14115" xr:uid="{7B98A430-9352-4DCF-89D2-B9E18F75CD77}"/>
    <cellStyle name="Normal 5 2 2 2 4 8" xfId="8978" xr:uid="{5B5F86B4-BA0F-43A7-920A-E466FD014739}"/>
    <cellStyle name="Normal 5 2 2 2 4 8 2" xfId="18302" xr:uid="{EE9EA481-7BA3-415D-B14D-63054EB44304}"/>
    <cellStyle name="Normal 5 2 2 2 4 9" xfId="9898" xr:uid="{2F57112F-4F29-4CBE-A129-E897BC9FAD6D}"/>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23B4AE20-8E28-40EE-987A-75B7BD8837CB}"/>
    <cellStyle name="Normal 5 2 2 2 5 2 3" xfId="12449" xr:uid="{FFD13608-7192-4A8F-B0E2-B04295250F68}"/>
    <cellStyle name="Normal 5 2 2 2 5 3" xfId="5195" xr:uid="{00000000-0005-0000-0000-000087170000}"/>
    <cellStyle name="Normal 5 2 2 2 5 3 2" xfId="14521" xr:uid="{F80CC387-BA04-4297-B09B-65001B2CC6BD}"/>
    <cellStyle name="Normal 5 2 2 2 5 4" xfId="9195" xr:uid="{A7E71EA0-2CA4-4918-870E-A32EEF45C61A}"/>
    <cellStyle name="Normal 5 2 2 2 5 4 2" xfId="18511" xr:uid="{1506DE7C-B8A3-46B4-B076-0EC78E4BCF07}"/>
    <cellStyle name="Normal 5 2 2 2 5 5" xfId="10304" xr:uid="{107C37DC-9C58-45B0-B2FB-78E74CC90E2A}"/>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5C805DA0-9D13-4010-95D5-88530F8D27AF}"/>
    <cellStyle name="Normal 5 2 2 2 6 2 3" xfId="12862" xr:uid="{30E3A28D-B97F-4B1C-90E0-0CE50997A58C}"/>
    <cellStyle name="Normal 5 2 2 2 6 3" xfId="5608" xr:uid="{00000000-0005-0000-0000-00008B170000}"/>
    <cellStyle name="Normal 5 2 2 2 6 3 2" xfId="14934" xr:uid="{1C0A5066-0CEF-4AA3-B786-33D7D09CEBFC}"/>
    <cellStyle name="Normal 5 2 2 2 6 4" xfId="10717" xr:uid="{B7001202-195D-473C-BC45-A6BCAB0320CE}"/>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BAC5646F-0FCF-4B43-8EEA-B93370386089}"/>
    <cellStyle name="Normal 5 2 2 2 7 2 3" xfId="13275" xr:uid="{35CE2E90-4BB4-4622-9FDD-B3F89AC18BAC}"/>
    <cellStyle name="Normal 5 2 2 2 7 3" xfId="6021" xr:uid="{00000000-0005-0000-0000-00008F170000}"/>
    <cellStyle name="Normal 5 2 2 2 7 3 2" xfId="15347" xr:uid="{965D270C-0A51-456E-9692-96ACF425F3B9}"/>
    <cellStyle name="Normal 5 2 2 2 7 4" xfId="11130" xr:uid="{6DC9C61B-4F36-4FE7-8A35-A0D16E8FF566}"/>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F684C515-1C82-4CCB-9BF4-7E7B7E1D80F8}"/>
    <cellStyle name="Normal 5 2 2 2 8 2 3" xfId="13688" xr:uid="{D7DB3140-6215-4EEB-8BC8-415A7AC8B9A4}"/>
    <cellStyle name="Normal 5 2 2 2 8 3" xfId="6434" xr:uid="{00000000-0005-0000-0000-000093170000}"/>
    <cellStyle name="Normal 5 2 2 2 8 3 2" xfId="15760" xr:uid="{62B24FDE-BBAB-4E34-80EC-CA183275C1A7}"/>
    <cellStyle name="Normal 5 2 2 2 8 4" xfId="11543" xr:uid="{E844957D-6368-4C84-B79D-554F02BEB2EC}"/>
    <cellStyle name="Normal 5 2 2 2 9" xfId="2564" xr:uid="{00000000-0005-0000-0000-000094170000}"/>
    <cellStyle name="Normal 5 2 2 2 9 2" xfId="6847" xr:uid="{00000000-0005-0000-0000-000095170000}"/>
    <cellStyle name="Normal 5 2 2 2 9 2 2" xfId="16173" xr:uid="{776FC3CB-6900-4E1C-A58A-097CAF0CAAD2}"/>
    <cellStyle name="Normal 5 2 2 2 9 3" xfId="11956" xr:uid="{9274D4E6-D72C-476D-AADA-BF64677D369A}"/>
    <cellStyle name="Normal 5 2 2 3" xfId="417" xr:uid="{00000000-0005-0000-0000-000096170000}"/>
    <cellStyle name="Normal 5 2 2 3 10" xfId="8828" xr:uid="{5CED8211-F967-469B-812B-9DF6FC250177}"/>
    <cellStyle name="Normal 5 2 2 3 10 2" xfId="18152" xr:uid="{22E9BF4D-B6B1-4DED-B7D6-5F1E0F68F132}"/>
    <cellStyle name="Normal 5 2 2 3 11" xfId="9899" xr:uid="{4CB4B5F2-7037-4E2C-9B28-14C9C3B1748F}"/>
    <cellStyle name="Normal 5 2 2 3 2" xfId="418" xr:uid="{00000000-0005-0000-0000-000097170000}"/>
    <cellStyle name="Normal 5 2 2 3 2 10" xfId="9900" xr:uid="{9008F03B-05E3-4143-B819-1FCA099AF1DA}"/>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CB404DA9-6473-4774-886B-5812D01AE52A}"/>
    <cellStyle name="Normal 5 2 2 3 2 2 2 2 3" xfId="12459" xr:uid="{83F7F441-EC85-4F67-B825-25482D64DE58}"/>
    <cellStyle name="Normal 5 2 2 3 2 2 2 3" xfId="5205" xr:uid="{00000000-0005-0000-0000-00009C170000}"/>
    <cellStyle name="Normal 5 2 2 3 2 2 2 3 2" xfId="14531" xr:uid="{12C005B7-3594-4BDC-9489-42C72E26B591}"/>
    <cellStyle name="Normal 5 2 2 3 2 2 2 4" xfId="9563" xr:uid="{804E641C-B5FA-46A3-B805-C1D4AF390C28}"/>
    <cellStyle name="Normal 5 2 2 3 2 2 2 4 2" xfId="18878" xr:uid="{A15579E0-7363-471F-8E29-9277C5752366}"/>
    <cellStyle name="Normal 5 2 2 3 2 2 2 5" xfId="10314" xr:uid="{5A6609C5-A23D-492E-AA07-F567BC1A213D}"/>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D4754299-728C-4873-B9DC-D49F0CA178E8}"/>
    <cellStyle name="Normal 5 2 2 3 2 2 3 2 3" xfId="12872" xr:uid="{EB34B2C4-C69A-440A-AE0F-5905CFE8EFAB}"/>
    <cellStyle name="Normal 5 2 2 3 2 2 3 3" xfId="5618" xr:uid="{00000000-0005-0000-0000-0000A0170000}"/>
    <cellStyle name="Normal 5 2 2 3 2 2 3 3 2" xfId="14944" xr:uid="{88FF3FFA-1F05-46B9-A832-4E9A26391D5B}"/>
    <cellStyle name="Normal 5 2 2 3 2 2 3 4" xfId="10727" xr:uid="{6A2C9EFB-1DD3-4240-BF41-B72BFA879D32}"/>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FC8AB52D-1D34-4818-8F8C-D47585F81117}"/>
    <cellStyle name="Normal 5 2 2 3 2 2 4 2 3" xfId="13285" xr:uid="{B0FE2A3A-690D-4DA5-ACBA-464FA82A8743}"/>
    <cellStyle name="Normal 5 2 2 3 2 2 4 3" xfId="6031" xr:uid="{00000000-0005-0000-0000-0000A4170000}"/>
    <cellStyle name="Normal 5 2 2 3 2 2 4 3 2" xfId="15357" xr:uid="{8AA0E500-8499-4655-BB6F-1609671A3E8A}"/>
    <cellStyle name="Normal 5 2 2 3 2 2 4 4" xfId="11140" xr:uid="{117470A5-AB3A-4733-B157-567E77FAFE26}"/>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1D57D0B2-BD50-4622-A139-ACB5CA1C7D0C}"/>
    <cellStyle name="Normal 5 2 2 3 2 2 5 2 3" xfId="13698" xr:uid="{5C83BCCF-C6DB-43E4-B3F0-D9711E588D22}"/>
    <cellStyle name="Normal 5 2 2 3 2 2 5 3" xfId="6444" xr:uid="{00000000-0005-0000-0000-0000A8170000}"/>
    <cellStyle name="Normal 5 2 2 3 2 2 5 3 2" xfId="15770" xr:uid="{6CA47596-804A-4E90-9B7B-76551DAE513B}"/>
    <cellStyle name="Normal 5 2 2 3 2 2 5 4" xfId="11553" xr:uid="{D15F1CF9-C348-4580-8DA0-4240D967536F}"/>
    <cellStyle name="Normal 5 2 2 3 2 2 6" xfId="2574" xr:uid="{00000000-0005-0000-0000-0000A9170000}"/>
    <cellStyle name="Normal 5 2 2 3 2 2 6 2" xfId="6857" xr:uid="{00000000-0005-0000-0000-0000AA170000}"/>
    <cellStyle name="Normal 5 2 2 3 2 2 6 2 2" xfId="16183" xr:uid="{47D35562-00D1-484B-982E-58F6F2A34638}"/>
    <cellStyle name="Normal 5 2 2 3 2 2 6 3" xfId="11966" xr:uid="{3E260C6C-26FC-4A7F-8CAD-3F8A304557F7}"/>
    <cellStyle name="Normal 5 2 2 3 2 2 7" xfId="4792" xr:uid="{00000000-0005-0000-0000-0000AB170000}"/>
    <cellStyle name="Normal 5 2 2 3 2 2 7 2" xfId="14118" xr:uid="{C6AB5478-F831-4DC4-A519-E964D6C828A8}"/>
    <cellStyle name="Normal 5 2 2 3 2 2 8" xfId="9138" xr:uid="{BE73D583-3CAB-48A9-8A6F-E88EE69D1D1D}"/>
    <cellStyle name="Normal 5 2 2 3 2 2 8 2" xfId="18462" xr:uid="{891D876D-5FED-492D-9824-045A3AFAC354}"/>
    <cellStyle name="Normal 5 2 2 3 2 2 9" xfId="9901" xr:uid="{8D1CCA27-ACAD-4868-A3C2-3C9BFCE3DB51}"/>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ADC1E682-11E4-4B7B-8F72-DCA1E558178A}"/>
    <cellStyle name="Normal 5 2 2 3 2 3 2 3" xfId="12458" xr:uid="{8DF07ACA-40AA-4EE6-8951-743A1560F8E9}"/>
    <cellStyle name="Normal 5 2 2 3 2 3 3" xfId="5204" xr:uid="{00000000-0005-0000-0000-0000AF170000}"/>
    <cellStyle name="Normal 5 2 2 3 2 3 3 2" xfId="14530" xr:uid="{B8C0AA1C-BF33-4906-8825-D11F47B46D8D}"/>
    <cellStyle name="Normal 5 2 2 3 2 3 4" xfId="9356" xr:uid="{58BAA3B3-A7A2-4F6F-9929-D8BE9F0A557D}"/>
    <cellStyle name="Normal 5 2 2 3 2 3 4 2" xfId="18671" xr:uid="{042FD83A-51BE-48EA-8823-E09589EB52C6}"/>
    <cellStyle name="Normal 5 2 2 3 2 3 5" xfId="10313" xr:uid="{0829299F-8380-4089-9C3A-7353202CC044}"/>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C4DA5C7C-4FE8-445B-82EF-7DB9644C3DEB}"/>
    <cellStyle name="Normal 5 2 2 3 2 4 2 3" xfId="12871" xr:uid="{793B2DE0-EB88-41A2-B9B0-6491932B483F}"/>
    <cellStyle name="Normal 5 2 2 3 2 4 3" xfId="5617" xr:uid="{00000000-0005-0000-0000-0000B3170000}"/>
    <cellStyle name="Normal 5 2 2 3 2 4 3 2" xfId="14943" xr:uid="{7CC2C1F2-04BB-40A5-B727-A19F0CDDD731}"/>
    <cellStyle name="Normal 5 2 2 3 2 4 4" xfId="10726" xr:uid="{838C54B7-1C98-4D96-B3AE-2DDB9DA3698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5782F7B6-CF98-4EF1-B3F5-BF8E33A020EF}"/>
    <cellStyle name="Normal 5 2 2 3 2 5 2 3" xfId="13284" xr:uid="{788BEF2C-7809-4A40-8AB0-D56F03A244A9}"/>
    <cellStyle name="Normal 5 2 2 3 2 5 3" xfId="6030" xr:uid="{00000000-0005-0000-0000-0000B7170000}"/>
    <cellStyle name="Normal 5 2 2 3 2 5 3 2" xfId="15356" xr:uid="{1DC1D6E0-7836-49BE-8974-5B101C9E1089}"/>
    <cellStyle name="Normal 5 2 2 3 2 5 4" xfId="11139" xr:uid="{96C4808B-A764-49C1-ACF8-B8D59BD38068}"/>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F96E7C7A-3B7C-4EF1-8985-B7202F12B410}"/>
    <cellStyle name="Normal 5 2 2 3 2 6 2 3" xfId="13697" xr:uid="{A3157557-0B52-476F-8C3F-2BEE9B7E8995}"/>
    <cellStyle name="Normal 5 2 2 3 2 6 3" xfId="6443" xr:uid="{00000000-0005-0000-0000-0000BB170000}"/>
    <cellStyle name="Normal 5 2 2 3 2 6 3 2" xfId="15769" xr:uid="{EE35786B-08CE-4DB2-868D-D8A8A74DD0AE}"/>
    <cellStyle name="Normal 5 2 2 3 2 6 4" xfId="11552" xr:uid="{4772FE78-9159-4A82-B7AD-D5F106797A76}"/>
    <cellStyle name="Normal 5 2 2 3 2 7" xfId="2573" xr:uid="{00000000-0005-0000-0000-0000BC170000}"/>
    <cellStyle name="Normal 5 2 2 3 2 7 2" xfId="6856" xr:uid="{00000000-0005-0000-0000-0000BD170000}"/>
    <cellStyle name="Normal 5 2 2 3 2 7 2 2" xfId="16182" xr:uid="{C7AF7EBD-0E04-4DE8-A444-34831DAF2244}"/>
    <cellStyle name="Normal 5 2 2 3 2 7 3" xfId="11965" xr:uid="{4DD18FBF-6EB3-4AC4-92CC-F9D87632E43D}"/>
    <cellStyle name="Normal 5 2 2 3 2 8" xfId="4791" xr:uid="{00000000-0005-0000-0000-0000BE170000}"/>
    <cellStyle name="Normal 5 2 2 3 2 8 2" xfId="14117" xr:uid="{63B664B1-D03C-4342-872E-A535F63C2B9D}"/>
    <cellStyle name="Normal 5 2 2 3 2 9" xfId="8931" xr:uid="{E27E09D3-2564-4B82-8EA4-A27330B6B436}"/>
    <cellStyle name="Normal 5 2 2 3 2 9 2" xfId="18255" xr:uid="{414DF04F-8974-4B30-B28C-8EC8711D949C}"/>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8C306069-2E89-4E75-A2DC-CCAF41FB39A5}"/>
    <cellStyle name="Normal 5 2 2 3 3 2 2 3" xfId="12460" xr:uid="{16446050-CE54-452C-BD64-B525CB88F549}"/>
    <cellStyle name="Normal 5 2 2 3 3 2 3" xfId="5206" xr:uid="{00000000-0005-0000-0000-0000C3170000}"/>
    <cellStyle name="Normal 5 2 2 3 3 2 3 2" xfId="14532" xr:uid="{D4A9BA4D-2AEC-4FCC-99BF-8AA899E88335}"/>
    <cellStyle name="Normal 5 2 2 3 3 2 4" xfId="9460" xr:uid="{423E0BE9-24F3-4EF0-8962-2565594BF831}"/>
    <cellStyle name="Normal 5 2 2 3 3 2 4 2" xfId="18775" xr:uid="{8E2A699D-9C15-4D25-A174-273EF4346BAE}"/>
    <cellStyle name="Normal 5 2 2 3 3 2 5" xfId="10315" xr:uid="{907F0244-06F2-4858-A0EA-E24E0592045C}"/>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A9E0F577-24B1-49CA-8873-7F07A4C721E1}"/>
    <cellStyle name="Normal 5 2 2 3 3 3 2 3" xfId="12873" xr:uid="{5B091BE9-7ED2-41AC-8C64-16D3325EFCB4}"/>
    <cellStyle name="Normal 5 2 2 3 3 3 3" xfId="5619" xr:uid="{00000000-0005-0000-0000-0000C7170000}"/>
    <cellStyle name="Normal 5 2 2 3 3 3 3 2" xfId="14945" xr:uid="{B9DB7317-D6D7-49AD-B972-4AF051F8966F}"/>
    <cellStyle name="Normal 5 2 2 3 3 3 4" xfId="10728" xr:uid="{C5F92E63-9FB8-4AB0-AEC5-770D3B323DFF}"/>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4A050861-29AA-46E9-9CAA-AA74BD4D0D47}"/>
    <cellStyle name="Normal 5 2 2 3 3 4 2 3" xfId="13286" xr:uid="{677CED5C-0A39-495E-9867-2FAA63422E6B}"/>
    <cellStyle name="Normal 5 2 2 3 3 4 3" xfId="6032" xr:uid="{00000000-0005-0000-0000-0000CB170000}"/>
    <cellStyle name="Normal 5 2 2 3 3 4 3 2" xfId="15358" xr:uid="{6D0ACF83-9373-445C-9CBF-2A2F75F824B5}"/>
    <cellStyle name="Normal 5 2 2 3 3 4 4" xfId="11141" xr:uid="{B8C21FAA-32F6-47C9-B0FF-950D45DD8541}"/>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CB7B7D27-63E5-4802-A488-7B7B8CF77E92}"/>
    <cellStyle name="Normal 5 2 2 3 3 5 2 3" xfId="13699" xr:uid="{E039E3B3-9352-4C63-8648-2004557EEE3D}"/>
    <cellStyle name="Normal 5 2 2 3 3 5 3" xfId="6445" xr:uid="{00000000-0005-0000-0000-0000CF170000}"/>
    <cellStyle name="Normal 5 2 2 3 3 5 3 2" xfId="15771" xr:uid="{C2F6C569-154F-4EDF-B669-28ACA287D41A}"/>
    <cellStyle name="Normal 5 2 2 3 3 5 4" xfId="11554" xr:uid="{ED7017C0-B8D8-4440-9130-78E01AF6CEB8}"/>
    <cellStyle name="Normal 5 2 2 3 3 6" xfId="2575" xr:uid="{00000000-0005-0000-0000-0000D0170000}"/>
    <cellStyle name="Normal 5 2 2 3 3 6 2" xfId="6858" xr:uid="{00000000-0005-0000-0000-0000D1170000}"/>
    <cellStyle name="Normal 5 2 2 3 3 6 2 2" xfId="16184" xr:uid="{347D64E4-830A-46BE-B4EC-E81236C376B5}"/>
    <cellStyle name="Normal 5 2 2 3 3 6 3" xfId="11967" xr:uid="{A692E705-FAAD-41FD-B554-0B178DBB7A20}"/>
    <cellStyle name="Normal 5 2 2 3 3 7" xfId="4793" xr:uid="{00000000-0005-0000-0000-0000D2170000}"/>
    <cellStyle name="Normal 5 2 2 3 3 7 2" xfId="14119" xr:uid="{C91F47DA-DE1C-41E6-BFE8-812F081B6FE3}"/>
    <cellStyle name="Normal 5 2 2 3 3 8" xfId="9035" xr:uid="{6AC57173-16AF-4847-A277-E4254AACDA36}"/>
    <cellStyle name="Normal 5 2 2 3 3 8 2" xfId="18359" xr:uid="{49E54BCA-2A49-4624-817F-102801C55FB7}"/>
    <cellStyle name="Normal 5 2 2 3 3 9" xfId="9902" xr:uid="{4CF48B17-AFCA-4422-A509-524B1FE52FAF}"/>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2373C232-BE2A-4553-84A2-42100E8276AD}"/>
    <cellStyle name="Normal 5 2 2 3 4 2 3" xfId="12457" xr:uid="{6185E765-C705-4B16-A091-36F3401E4E42}"/>
    <cellStyle name="Normal 5 2 2 3 4 3" xfId="5203" xr:uid="{00000000-0005-0000-0000-0000D6170000}"/>
    <cellStyle name="Normal 5 2 2 3 4 3 2" xfId="14529" xr:uid="{7E2E40D0-9AD5-4F9A-BFF9-1C090CC9CA15}"/>
    <cellStyle name="Normal 5 2 2 3 4 4" xfId="9253" xr:uid="{A5C3AAF9-67DD-41B1-A0BF-05B69F588F71}"/>
    <cellStyle name="Normal 5 2 2 3 4 4 2" xfId="18568" xr:uid="{27764210-1BD0-442A-8174-45C5E4665789}"/>
    <cellStyle name="Normal 5 2 2 3 4 5" xfId="10312" xr:uid="{8615837E-39A9-46DF-A494-7F78143FC0DF}"/>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DBB36AC2-98DF-4E88-BCC0-75D27DF4D99C}"/>
    <cellStyle name="Normal 5 2 2 3 5 2 3" xfId="12870" xr:uid="{4C48A750-DFC3-4F96-9960-B811F1661E4F}"/>
    <cellStyle name="Normal 5 2 2 3 5 3" xfId="5616" xr:uid="{00000000-0005-0000-0000-0000DA170000}"/>
    <cellStyle name="Normal 5 2 2 3 5 3 2" xfId="14942" xr:uid="{DF28AB63-2DFD-44E3-B1BA-ED7CCA51093C}"/>
    <cellStyle name="Normal 5 2 2 3 5 4" xfId="10725" xr:uid="{25C2C60B-CC8F-4569-BB6A-BFD044B326BC}"/>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F1393A54-69F8-4BEA-A38C-E47A334CEC08}"/>
    <cellStyle name="Normal 5 2 2 3 6 2 3" xfId="13283" xr:uid="{B0578287-C779-4401-982E-22ED4EEB1F95}"/>
    <cellStyle name="Normal 5 2 2 3 6 3" xfId="6029" xr:uid="{00000000-0005-0000-0000-0000DE170000}"/>
    <cellStyle name="Normal 5 2 2 3 6 3 2" xfId="15355" xr:uid="{A201A691-24D6-4386-ABC2-5F08561AED62}"/>
    <cellStyle name="Normal 5 2 2 3 6 4" xfId="11138" xr:uid="{FE36CC62-14AB-4A98-A81D-E58E7339C223}"/>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4C1F87D6-B80C-49D9-9017-38D95831129F}"/>
    <cellStyle name="Normal 5 2 2 3 7 2 3" xfId="13696" xr:uid="{A40EE284-F675-4C8E-8518-772BD0579C3A}"/>
    <cellStyle name="Normal 5 2 2 3 7 3" xfId="6442" xr:uid="{00000000-0005-0000-0000-0000E2170000}"/>
    <cellStyle name="Normal 5 2 2 3 7 3 2" xfId="15768" xr:uid="{F0207766-2B0A-4279-9427-64B5C0933B5D}"/>
    <cellStyle name="Normal 5 2 2 3 7 4" xfId="11551" xr:uid="{AC2755A1-D664-4B3B-BA64-410436C7A06D}"/>
    <cellStyle name="Normal 5 2 2 3 8" xfId="2572" xr:uid="{00000000-0005-0000-0000-0000E3170000}"/>
    <cellStyle name="Normal 5 2 2 3 8 2" xfId="6855" xr:uid="{00000000-0005-0000-0000-0000E4170000}"/>
    <cellStyle name="Normal 5 2 2 3 8 2 2" xfId="16181" xr:uid="{198664E2-22BA-485C-82DC-F9DCA5C46862}"/>
    <cellStyle name="Normal 5 2 2 3 8 3" xfId="11964" xr:uid="{CF3D9548-BF2F-4B61-8A76-739FB90128E6}"/>
    <cellStyle name="Normal 5 2 2 3 9" xfId="4790" xr:uid="{00000000-0005-0000-0000-0000E5170000}"/>
    <cellStyle name="Normal 5 2 2 3 9 2" xfId="14116" xr:uid="{47B5DEBF-1A04-4A6E-973A-1144A8FD63C2}"/>
    <cellStyle name="Normal 5 2 2 4" xfId="421" xr:uid="{00000000-0005-0000-0000-0000E6170000}"/>
    <cellStyle name="Normal 5 2 2 4 10" xfId="9903" xr:uid="{0179958C-80E1-4B56-B1B6-D39E7E4865A6}"/>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D93D07C4-D17D-4E0E-B34F-0D90010DAC51}"/>
    <cellStyle name="Normal 5 2 2 4 2 2 2 3" xfId="12462" xr:uid="{FF9247A3-3952-4411-B571-5294709D9913}"/>
    <cellStyle name="Normal 5 2 2 4 2 2 3" xfId="5208" xr:uid="{00000000-0005-0000-0000-0000EB170000}"/>
    <cellStyle name="Normal 5 2 2 4 2 2 3 2" xfId="14534" xr:uid="{F9C32BE1-59C6-4398-B8C2-DCC9E1047AA1}"/>
    <cellStyle name="Normal 5 2 2 4 2 2 4" xfId="9488" xr:uid="{2997B11D-E810-48A4-BD3C-4498479B295E}"/>
    <cellStyle name="Normal 5 2 2 4 2 2 4 2" xfId="18803" xr:uid="{7218B45F-EC90-41CA-ACD3-35961BA1AA87}"/>
    <cellStyle name="Normal 5 2 2 4 2 2 5" xfId="10317" xr:uid="{3E8A86C7-A3F0-4F44-BFDA-FDF93ACF4951}"/>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A15B61B8-DC5A-4886-9E76-2519A826321D}"/>
    <cellStyle name="Normal 5 2 2 4 2 3 2 3" xfId="12875" xr:uid="{B4630FBF-BB72-4FD0-A73C-464DD2CFDAD1}"/>
    <cellStyle name="Normal 5 2 2 4 2 3 3" xfId="5621" xr:uid="{00000000-0005-0000-0000-0000EF170000}"/>
    <cellStyle name="Normal 5 2 2 4 2 3 3 2" xfId="14947" xr:uid="{EAA8BBC8-54CC-4414-82ED-E7A4F6B69C03}"/>
    <cellStyle name="Normal 5 2 2 4 2 3 4" xfId="10730" xr:uid="{7F4DB0A8-87CE-4217-AFC7-4F96A35CFA4A}"/>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815DC2A0-F809-4BD4-B0D0-9DC51AB9587E}"/>
    <cellStyle name="Normal 5 2 2 4 2 4 2 3" xfId="13288" xr:uid="{26D7DB49-1861-47DE-BBED-37483DD5D72C}"/>
    <cellStyle name="Normal 5 2 2 4 2 4 3" xfId="6034" xr:uid="{00000000-0005-0000-0000-0000F3170000}"/>
    <cellStyle name="Normal 5 2 2 4 2 4 3 2" xfId="15360" xr:uid="{E13B7662-B470-46C8-920B-50F4006D44E5}"/>
    <cellStyle name="Normal 5 2 2 4 2 4 4" xfId="11143" xr:uid="{708E536C-B94E-4F40-AAAF-BB95ED5E75E1}"/>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ADE4A798-BA7B-4354-A0E1-651919DF51E4}"/>
    <cellStyle name="Normal 5 2 2 4 2 5 2 3" xfId="13701" xr:uid="{53835A93-8455-4244-857B-664D713D42AE}"/>
    <cellStyle name="Normal 5 2 2 4 2 5 3" xfId="6447" xr:uid="{00000000-0005-0000-0000-0000F7170000}"/>
    <cellStyle name="Normal 5 2 2 4 2 5 3 2" xfId="15773" xr:uid="{FBED6A1C-F075-41D3-9FB8-4A4CAC53599B}"/>
    <cellStyle name="Normal 5 2 2 4 2 5 4" xfId="11556" xr:uid="{4370C919-3731-4C0F-9686-81E7FA70198A}"/>
    <cellStyle name="Normal 5 2 2 4 2 6" xfId="2577" xr:uid="{00000000-0005-0000-0000-0000F8170000}"/>
    <cellStyle name="Normal 5 2 2 4 2 6 2" xfId="6860" xr:uid="{00000000-0005-0000-0000-0000F9170000}"/>
    <cellStyle name="Normal 5 2 2 4 2 6 2 2" xfId="16186" xr:uid="{96DF64E1-6C13-4C9D-BA0E-36E89704546A}"/>
    <cellStyle name="Normal 5 2 2 4 2 6 3" xfId="11969" xr:uid="{F7DB432E-C2A7-4F0C-921C-C65FE4E00664}"/>
    <cellStyle name="Normal 5 2 2 4 2 7" xfId="4795" xr:uid="{00000000-0005-0000-0000-0000FA170000}"/>
    <cellStyle name="Normal 5 2 2 4 2 7 2" xfId="14121" xr:uid="{8CA9E8E8-A188-4C2E-AE9F-4FEBB1F059AA}"/>
    <cellStyle name="Normal 5 2 2 4 2 8" xfId="9063" xr:uid="{3B1AA107-8D7F-4938-A60C-EED41E9B9A2A}"/>
    <cellStyle name="Normal 5 2 2 4 2 8 2" xfId="18387" xr:uid="{FA35B87C-F8E6-4402-B35B-83557A43DA1D}"/>
    <cellStyle name="Normal 5 2 2 4 2 9" xfId="9904" xr:uid="{CAE87EF4-B031-40AB-88BD-20C1185D663A}"/>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F2F58D82-F794-4F57-89F8-717270ED6658}"/>
    <cellStyle name="Normal 5 2 2 4 3 2 3" xfId="12461" xr:uid="{FA95B12C-72F9-441B-9D50-2BFD3E3A74A2}"/>
    <cellStyle name="Normal 5 2 2 4 3 3" xfId="5207" xr:uid="{00000000-0005-0000-0000-0000FE170000}"/>
    <cellStyle name="Normal 5 2 2 4 3 3 2" xfId="14533" xr:uid="{C7C1B076-343C-42FE-8016-85B38F611F78}"/>
    <cellStyle name="Normal 5 2 2 4 3 4" xfId="9281" xr:uid="{9304050F-95A7-4BE3-AD21-FEBB7D0875B2}"/>
    <cellStyle name="Normal 5 2 2 4 3 4 2" xfId="18596" xr:uid="{4D91BF31-4C72-4C71-90C9-D154842D0BA6}"/>
    <cellStyle name="Normal 5 2 2 4 3 5" xfId="10316" xr:uid="{53AF8DE0-DA03-4D61-BE50-1596EF2037C3}"/>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A4881A4F-33D8-48DE-BE71-10968660FF1E}"/>
    <cellStyle name="Normal 5 2 2 4 4 2 3" xfId="12874" xr:uid="{218675BA-9D4A-432E-8D37-A0095817CB91}"/>
    <cellStyle name="Normal 5 2 2 4 4 3" xfId="5620" xr:uid="{00000000-0005-0000-0000-000002180000}"/>
    <cellStyle name="Normal 5 2 2 4 4 3 2" xfId="14946" xr:uid="{5D362005-1A51-4230-9849-71E334411FBD}"/>
    <cellStyle name="Normal 5 2 2 4 4 4" xfId="10729" xr:uid="{DF5C81F6-68CC-4433-B119-59BD2D89D5BC}"/>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3CE8E547-DF89-4533-AD69-1C4ED6AAD7A5}"/>
    <cellStyle name="Normal 5 2 2 4 5 2 3" xfId="13287" xr:uid="{84EFE100-30F9-4AA1-8206-81E46B9C1AF6}"/>
    <cellStyle name="Normal 5 2 2 4 5 3" xfId="6033" xr:uid="{00000000-0005-0000-0000-000006180000}"/>
    <cellStyle name="Normal 5 2 2 4 5 3 2" xfId="15359" xr:uid="{AADC473A-0C6B-45EE-A79D-F5CB90EC600B}"/>
    <cellStyle name="Normal 5 2 2 4 5 4" xfId="11142" xr:uid="{6BDF1838-90AC-4EB3-A234-8AD04AFDF8CF}"/>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1E9B2E39-4EEC-416A-A977-E42D9C582C45}"/>
    <cellStyle name="Normal 5 2 2 4 6 2 3" xfId="13700" xr:uid="{B5AC9089-4D8D-4C75-AC90-13CF1CB307EC}"/>
    <cellStyle name="Normal 5 2 2 4 6 3" xfId="6446" xr:uid="{00000000-0005-0000-0000-00000A180000}"/>
    <cellStyle name="Normal 5 2 2 4 6 3 2" xfId="15772" xr:uid="{A299D1E2-9F7E-4643-BFEC-A722FFA9FF0E}"/>
    <cellStyle name="Normal 5 2 2 4 6 4" xfId="11555" xr:uid="{267DE5AB-EE44-4AD6-ADA7-50858223E9EE}"/>
    <cellStyle name="Normal 5 2 2 4 7" xfId="2576" xr:uid="{00000000-0005-0000-0000-00000B180000}"/>
    <cellStyle name="Normal 5 2 2 4 7 2" xfId="6859" xr:uid="{00000000-0005-0000-0000-00000C180000}"/>
    <cellStyle name="Normal 5 2 2 4 7 2 2" xfId="16185" xr:uid="{25A40E5E-7CC7-4BA7-AF2E-F83BB0DBE6DE}"/>
    <cellStyle name="Normal 5 2 2 4 7 3" xfId="11968" xr:uid="{F2CE0037-6F0D-4820-BF59-7B4D75DB329A}"/>
    <cellStyle name="Normal 5 2 2 4 8" xfId="4794" xr:uid="{00000000-0005-0000-0000-00000D180000}"/>
    <cellStyle name="Normal 5 2 2 4 8 2" xfId="14120" xr:uid="{13A4B5FA-8BC6-4E15-8EF7-542C0E86280F}"/>
    <cellStyle name="Normal 5 2 2 4 9" xfId="8856" xr:uid="{8A537EF5-BE1D-4B82-9546-B2DC1F74308F}"/>
    <cellStyle name="Normal 5 2 2 4 9 2" xfId="18180" xr:uid="{870EC0D4-2669-4192-8D2C-45638072E2AC}"/>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D5BE93FD-899B-4729-9314-CCAA85BC3237}"/>
    <cellStyle name="Normal 5 2 2 5 2 2 3" xfId="12463" xr:uid="{6889BEF1-8F2A-489F-9EAC-305651730B46}"/>
    <cellStyle name="Normal 5 2 2 5 2 3" xfId="5209" xr:uid="{00000000-0005-0000-0000-000012180000}"/>
    <cellStyle name="Normal 5 2 2 5 2 3 2" xfId="14535" xr:uid="{6B72D504-EC10-4D4B-A5FE-E9F4A1C0C0EA}"/>
    <cellStyle name="Normal 5 2 2 5 2 4" xfId="9397" xr:uid="{3CB0B9A4-F907-4F52-ACFC-7970F7AF9B13}"/>
    <cellStyle name="Normal 5 2 2 5 2 4 2" xfId="18712" xr:uid="{0EDEC9EE-124B-4D14-9D78-CB66D64C3D4D}"/>
    <cellStyle name="Normal 5 2 2 5 2 5" xfId="10318" xr:uid="{7BE5585A-F6B8-41AC-A23D-23FE507FE603}"/>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42CDFD0D-9F06-4167-8E02-F8A61A361338}"/>
    <cellStyle name="Normal 5 2 2 5 3 2 3" xfId="12876" xr:uid="{18D7EA78-5CCE-449E-802E-1C6535108AD7}"/>
    <cellStyle name="Normal 5 2 2 5 3 3" xfId="5622" xr:uid="{00000000-0005-0000-0000-000016180000}"/>
    <cellStyle name="Normal 5 2 2 5 3 3 2" xfId="14948" xr:uid="{CA0E4909-D883-468B-A72A-D2AB3F990C4B}"/>
    <cellStyle name="Normal 5 2 2 5 3 4" xfId="10731" xr:uid="{A8249913-D2A9-45B1-A626-C22ACC39A87F}"/>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56D3348F-D1D7-4624-A72F-FE1F7A5CD72A}"/>
    <cellStyle name="Normal 5 2 2 5 4 2 3" xfId="13289" xr:uid="{685704E9-49A2-46D5-9753-6E95B38703DD}"/>
    <cellStyle name="Normal 5 2 2 5 4 3" xfId="6035" xr:uid="{00000000-0005-0000-0000-00001A180000}"/>
    <cellStyle name="Normal 5 2 2 5 4 3 2" xfId="15361" xr:uid="{D055364B-A668-4ECB-AE2E-7943C2E0295D}"/>
    <cellStyle name="Normal 5 2 2 5 4 4" xfId="11144" xr:uid="{973F6715-C4CF-46D6-8119-5B39E2C2FBEB}"/>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738F68A7-6225-49C5-A1BE-4BD65E167A12}"/>
    <cellStyle name="Normal 5 2 2 5 5 2 3" xfId="13702" xr:uid="{36187976-BDDE-4AAC-A53B-AC928E56D3A5}"/>
    <cellStyle name="Normal 5 2 2 5 5 3" xfId="6448" xr:uid="{00000000-0005-0000-0000-00001E180000}"/>
    <cellStyle name="Normal 5 2 2 5 5 3 2" xfId="15774" xr:uid="{A78E25E2-C2C8-4D6F-8EF0-EEF613DE5201}"/>
    <cellStyle name="Normal 5 2 2 5 5 4" xfId="11557" xr:uid="{71D50C90-55D1-4C83-81C4-08995A95E610}"/>
    <cellStyle name="Normal 5 2 2 5 6" xfId="2578" xr:uid="{00000000-0005-0000-0000-00001F180000}"/>
    <cellStyle name="Normal 5 2 2 5 6 2" xfId="6861" xr:uid="{00000000-0005-0000-0000-000020180000}"/>
    <cellStyle name="Normal 5 2 2 5 6 2 2" xfId="16187" xr:uid="{5A236C42-FB71-4E2E-91B5-92108C684F88}"/>
    <cellStyle name="Normal 5 2 2 5 6 3" xfId="11970" xr:uid="{C4EA2BCB-4AC8-416F-BF31-8AE58A5D0FF3}"/>
    <cellStyle name="Normal 5 2 2 5 7" xfId="4796" xr:uid="{00000000-0005-0000-0000-000021180000}"/>
    <cellStyle name="Normal 5 2 2 5 7 2" xfId="14122" xr:uid="{49F82DCC-F28F-4BDB-9E78-13DFDA6B763C}"/>
    <cellStyle name="Normal 5 2 2 5 8" xfId="8972" xr:uid="{3CCC8856-6464-4309-A4F9-43F74A48C503}"/>
    <cellStyle name="Normal 5 2 2 5 8 2" xfId="18296" xr:uid="{026441DD-46A4-4B1F-BE2C-FF0849559A0B}"/>
    <cellStyle name="Normal 5 2 2 5 9" xfId="9905" xr:uid="{5F688EEA-C4FB-4159-BFE8-23493613751B}"/>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9C7FEF36-980C-42B8-B0F6-68452A2C7A1A}"/>
    <cellStyle name="Normal 5 2 2 6 2 3" xfId="12448" xr:uid="{E03D5F3C-D1D2-4F70-9885-CFA5ED2C67F4}"/>
    <cellStyle name="Normal 5 2 2 6 3" xfId="5194" xr:uid="{00000000-0005-0000-0000-000025180000}"/>
    <cellStyle name="Normal 5 2 2 6 3 2" xfId="14520" xr:uid="{F8468EA3-A318-4380-A1CB-CEE0273373B2}"/>
    <cellStyle name="Normal 5 2 2 6 4" xfId="9175" xr:uid="{A0BC076A-DB75-4963-A17E-57836FA6391D}"/>
    <cellStyle name="Normal 5 2 2 6 4 2" xfId="18493" xr:uid="{B1007500-CBAE-4778-8A96-C221B729133A}"/>
    <cellStyle name="Normal 5 2 2 6 5" xfId="10303" xr:uid="{80D6C167-D329-40C3-9302-B141DB776BD6}"/>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D9047A51-E34B-4E46-AF64-A234BC162F1F}"/>
    <cellStyle name="Normal 5 2 2 7 2 3" xfId="12861" xr:uid="{D1F82210-B8C7-4974-8CC2-9E4D9A06FEDD}"/>
    <cellStyle name="Normal 5 2 2 7 3" xfId="5607" xr:uid="{00000000-0005-0000-0000-000029180000}"/>
    <cellStyle name="Normal 5 2 2 7 3 2" xfId="14933" xr:uid="{09E2EAEC-3043-4620-8515-D2990F19110D}"/>
    <cellStyle name="Normal 5 2 2 7 4" xfId="10716" xr:uid="{04B5BE1D-0714-44A3-822A-EF5EB4BFDFB5}"/>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CF5FC59A-9A6B-4D07-842C-933EDB67B826}"/>
    <cellStyle name="Normal 5 2 2 8 2 3" xfId="13274" xr:uid="{1E67BC21-ADF0-4862-AB65-89BBB39A0D15}"/>
    <cellStyle name="Normal 5 2 2 8 3" xfId="6020" xr:uid="{00000000-0005-0000-0000-00002D180000}"/>
    <cellStyle name="Normal 5 2 2 8 3 2" xfId="15346" xr:uid="{3C48C18A-D425-433B-A5C9-B463EEC8C00B}"/>
    <cellStyle name="Normal 5 2 2 8 4" xfId="11129" xr:uid="{1EE6C6FA-BD26-409E-97D1-122DC0166185}"/>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68F225A3-741C-437F-8967-7F7D33099FD5}"/>
    <cellStyle name="Normal 5 2 2 9 2 3" xfId="13687" xr:uid="{5BE66B70-CE3A-4E5F-A121-8F0E87BC5E22}"/>
    <cellStyle name="Normal 5 2 2 9 3" xfId="6433" xr:uid="{00000000-0005-0000-0000-000031180000}"/>
    <cellStyle name="Normal 5 2 2 9 3 2" xfId="15759" xr:uid="{B30959D5-BAAC-4FCC-8F62-5F5225086338}"/>
    <cellStyle name="Normal 5 2 2 9 4" xfId="11542" xr:uid="{C15C6D46-5F78-4B5B-953F-0D6DC60F5EC7}"/>
    <cellStyle name="Normal 5 2 3" xfId="424" xr:uid="{00000000-0005-0000-0000-000032180000}"/>
    <cellStyle name="Normal 5 2 3 10" xfId="4797" xr:uid="{00000000-0005-0000-0000-000033180000}"/>
    <cellStyle name="Normal 5 2 3 10 2" xfId="14123" xr:uid="{2515B25A-2374-48AE-9DAC-C408796EBBF5}"/>
    <cellStyle name="Normal 5 2 3 11" xfId="8776" xr:uid="{883173D2-CE3E-48F3-8E13-32EAEF7B08C3}"/>
    <cellStyle name="Normal 5 2 3 11 2" xfId="18100" xr:uid="{171F4411-8245-4694-9F04-EB227BA85C34}"/>
    <cellStyle name="Normal 5 2 3 12" xfId="9906" xr:uid="{8094D70E-3DE4-4738-8EE9-A97807CCA997}"/>
    <cellStyle name="Normal 5 2 3 2" xfId="425" xr:uid="{00000000-0005-0000-0000-000034180000}"/>
    <cellStyle name="Normal 5 2 3 2 10" xfId="8830" xr:uid="{287E15F2-6F23-4B3E-B8AA-9DE92D950FBA}"/>
    <cellStyle name="Normal 5 2 3 2 10 2" xfId="18154" xr:uid="{2C466E2F-E29F-411E-B996-169D2CF999D3}"/>
    <cellStyle name="Normal 5 2 3 2 11" xfId="9907" xr:uid="{28499B61-B12F-4A33-92D4-FC53B56CA62D}"/>
    <cellStyle name="Normal 5 2 3 2 2" xfId="426" xr:uid="{00000000-0005-0000-0000-000035180000}"/>
    <cellStyle name="Normal 5 2 3 2 2 10" xfId="9908" xr:uid="{E5D9C7A5-C23A-4AD7-8FCB-ECA516FDDC9D}"/>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5374700C-A940-4F44-86D8-EAEE630BFB54}"/>
    <cellStyle name="Normal 5 2 3 2 2 2 2 2 3" xfId="12467" xr:uid="{EB1581C4-6F43-403B-8824-4FEC611AE3B6}"/>
    <cellStyle name="Normal 5 2 3 2 2 2 2 3" xfId="5213" xr:uid="{00000000-0005-0000-0000-00003A180000}"/>
    <cellStyle name="Normal 5 2 3 2 2 2 2 3 2" xfId="14539" xr:uid="{1EC7BD0F-0C51-4DB0-BE85-55165C4F5EB5}"/>
    <cellStyle name="Normal 5 2 3 2 2 2 2 4" xfId="9565" xr:uid="{B33C5ECB-02D9-4BAF-B467-F38E8EEB7F6E}"/>
    <cellStyle name="Normal 5 2 3 2 2 2 2 4 2" xfId="18880" xr:uid="{F7DDBA77-9720-431B-82D0-061E1BD095AB}"/>
    <cellStyle name="Normal 5 2 3 2 2 2 2 5" xfId="10322" xr:uid="{31E683A2-8C18-4D67-A7EF-419411A4CD7A}"/>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7542D091-2383-4102-9543-249B3E9FA72A}"/>
    <cellStyle name="Normal 5 2 3 2 2 2 3 2 3" xfId="12880" xr:uid="{0B44C574-4B0B-4F02-82B2-11A845A500C9}"/>
    <cellStyle name="Normal 5 2 3 2 2 2 3 3" xfId="5626" xr:uid="{00000000-0005-0000-0000-00003E180000}"/>
    <cellStyle name="Normal 5 2 3 2 2 2 3 3 2" xfId="14952" xr:uid="{196BC8A0-BD22-4275-89F2-D57B75A7C993}"/>
    <cellStyle name="Normal 5 2 3 2 2 2 3 4" xfId="10735" xr:uid="{78581B6A-47C6-4EAC-9DF8-2B0DBD541CA5}"/>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38EF051A-000A-494A-95BD-B5EBD1336116}"/>
    <cellStyle name="Normal 5 2 3 2 2 2 4 2 3" xfId="13293" xr:uid="{32901371-3D6F-470A-A76C-A89970665757}"/>
    <cellStyle name="Normal 5 2 3 2 2 2 4 3" xfId="6039" xr:uid="{00000000-0005-0000-0000-000042180000}"/>
    <cellStyle name="Normal 5 2 3 2 2 2 4 3 2" xfId="15365" xr:uid="{8FDAAF5C-94D7-46AA-87CE-BB9ECE489E2E}"/>
    <cellStyle name="Normal 5 2 3 2 2 2 4 4" xfId="11148" xr:uid="{7F1266D2-2F69-4ACF-9B95-9462FA66BC41}"/>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B0F3BD11-5E59-4E51-9FE2-7B6C152CFC1E}"/>
    <cellStyle name="Normal 5 2 3 2 2 2 5 2 3" xfId="13706" xr:uid="{5E53B9E4-6B48-4B9A-8C16-346518207B00}"/>
    <cellStyle name="Normal 5 2 3 2 2 2 5 3" xfId="6452" xr:uid="{00000000-0005-0000-0000-000046180000}"/>
    <cellStyle name="Normal 5 2 3 2 2 2 5 3 2" xfId="15778" xr:uid="{E4AF164C-5BEC-42EA-B113-94C0CE99789D}"/>
    <cellStyle name="Normal 5 2 3 2 2 2 5 4" xfId="11561" xr:uid="{8AB85FE4-741E-47CF-B3A0-2307410F65CF}"/>
    <cellStyle name="Normal 5 2 3 2 2 2 6" xfId="2582" xr:uid="{00000000-0005-0000-0000-000047180000}"/>
    <cellStyle name="Normal 5 2 3 2 2 2 6 2" xfId="6865" xr:uid="{00000000-0005-0000-0000-000048180000}"/>
    <cellStyle name="Normal 5 2 3 2 2 2 6 2 2" xfId="16191" xr:uid="{EA8C267C-D008-4074-96A3-9A8F1BD1D562}"/>
    <cellStyle name="Normal 5 2 3 2 2 2 6 3" xfId="11974" xr:uid="{1AC0DBA9-6CCF-44C3-AD94-A1CBB8B02E80}"/>
    <cellStyle name="Normal 5 2 3 2 2 2 7" xfId="4800" xr:uid="{00000000-0005-0000-0000-000049180000}"/>
    <cellStyle name="Normal 5 2 3 2 2 2 7 2" xfId="14126" xr:uid="{8BB63622-2DA3-4746-9011-3193CBED1336}"/>
    <cellStyle name="Normal 5 2 3 2 2 2 8" xfId="9140" xr:uid="{175A16DB-BA54-4083-AB68-1FA46DB27A86}"/>
    <cellStyle name="Normal 5 2 3 2 2 2 8 2" xfId="18464" xr:uid="{E1088F14-5C0E-4C6D-AB2E-0BA523DE3B8E}"/>
    <cellStyle name="Normal 5 2 3 2 2 2 9" xfId="9909" xr:uid="{AA1E7516-6F5E-4274-B4BB-B3D163C8DBDD}"/>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B3B069F6-D75B-4339-9A4F-0AF8B52C78D6}"/>
    <cellStyle name="Normal 5 2 3 2 2 3 2 3" xfId="12466" xr:uid="{D4598F6B-BB44-46D1-AC02-E80373DB2AFF}"/>
    <cellStyle name="Normal 5 2 3 2 2 3 3" xfId="5212" xr:uid="{00000000-0005-0000-0000-00004D180000}"/>
    <cellStyle name="Normal 5 2 3 2 2 3 3 2" xfId="14538" xr:uid="{54BE693C-718A-44B0-AD29-E26B5B4E4F9B}"/>
    <cellStyle name="Normal 5 2 3 2 2 3 4" xfId="9358" xr:uid="{5B196E7D-8DD9-4C59-A83C-7626B0E60040}"/>
    <cellStyle name="Normal 5 2 3 2 2 3 4 2" xfId="18673" xr:uid="{11AEC4F1-DE23-4E35-8A49-9A50545D927F}"/>
    <cellStyle name="Normal 5 2 3 2 2 3 5" xfId="10321" xr:uid="{8F2B5766-1EB9-470F-A39A-ABFEB9A2F2E1}"/>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50EE0E49-D1C7-4DA5-AF47-6D7754432231}"/>
    <cellStyle name="Normal 5 2 3 2 2 4 2 3" xfId="12879" xr:uid="{2D5154BC-0E0E-4492-8778-9CC6C64079CD}"/>
    <cellStyle name="Normal 5 2 3 2 2 4 3" xfId="5625" xr:uid="{00000000-0005-0000-0000-000051180000}"/>
    <cellStyle name="Normal 5 2 3 2 2 4 3 2" xfId="14951" xr:uid="{BBC5E732-80B0-4E87-95A9-3BC9C6FC6182}"/>
    <cellStyle name="Normal 5 2 3 2 2 4 4" xfId="10734" xr:uid="{C41F8568-9417-4C16-9848-F4ABA56E53BB}"/>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461F1433-DDAB-4C98-AF78-2E6027276CA9}"/>
    <cellStyle name="Normal 5 2 3 2 2 5 2 3" xfId="13292" xr:uid="{85D72326-4326-470F-8DAF-DD9AA5F7CB02}"/>
    <cellStyle name="Normal 5 2 3 2 2 5 3" xfId="6038" xr:uid="{00000000-0005-0000-0000-000055180000}"/>
    <cellStyle name="Normal 5 2 3 2 2 5 3 2" xfId="15364" xr:uid="{82D6AB8E-3C03-47E3-A419-2E22B87B77A5}"/>
    <cellStyle name="Normal 5 2 3 2 2 5 4" xfId="11147" xr:uid="{F03DD187-F42B-4901-9EDD-092F2190AE56}"/>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66E6825D-D8CF-4D03-B157-88721ED58174}"/>
    <cellStyle name="Normal 5 2 3 2 2 6 2 3" xfId="13705" xr:uid="{72D3A9F3-791B-4BE2-83F7-75E1ED71D770}"/>
    <cellStyle name="Normal 5 2 3 2 2 6 3" xfId="6451" xr:uid="{00000000-0005-0000-0000-000059180000}"/>
    <cellStyle name="Normal 5 2 3 2 2 6 3 2" xfId="15777" xr:uid="{D400E5D8-B8AA-4D6B-8F98-FA9149EA841B}"/>
    <cellStyle name="Normal 5 2 3 2 2 6 4" xfId="11560" xr:uid="{9D96D504-99D6-4A0F-89B1-8AE0EFC31390}"/>
    <cellStyle name="Normal 5 2 3 2 2 7" xfId="2581" xr:uid="{00000000-0005-0000-0000-00005A180000}"/>
    <cellStyle name="Normal 5 2 3 2 2 7 2" xfId="6864" xr:uid="{00000000-0005-0000-0000-00005B180000}"/>
    <cellStyle name="Normal 5 2 3 2 2 7 2 2" xfId="16190" xr:uid="{EFAE9269-31CD-4C23-AA0D-84765DAE239F}"/>
    <cellStyle name="Normal 5 2 3 2 2 7 3" xfId="11973" xr:uid="{3EB6CE27-FABB-4273-A320-4788F82157B2}"/>
    <cellStyle name="Normal 5 2 3 2 2 8" xfId="4799" xr:uid="{00000000-0005-0000-0000-00005C180000}"/>
    <cellStyle name="Normal 5 2 3 2 2 8 2" xfId="14125" xr:uid="{96800241-0CCE-4713-8122-80CD99D987CE}"/>
    <cellStyle name="Normal 5 2 3 2 2 9" xfId="8933" xr:uid="{2228AC18-CB51-4AF4-A227-403A8409C6C2}"/>
    <cellStyle name="Normal 5 2 3 2 2 9 2" xfId="18257" xr:uid="{08BE7F6B-A796-4FD7-87E6-BD66AA8708D3}"/>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48065B4F-D51A-420E-88D4-5DCFF396D2F8}"/>
    <cellStyle name="Normal 5 2 3 2 3 2 2 3" xfId="12468" xr:uid="{DD46634E-106F-4E26-BBE3-11508E845851}"/>
    <cellStyle name="Normal 5 2 3 2 3 2 3" xfId="5214" xr:uid="{00000000-0005-0000-0000-000061180000}"/>
    <cellStyle name="Normal 5 2 3 2 3 2 3 2" xfId="14540" xr:uid="{DDD50EA4-F80D-433B-BACD-536B2A5FD5B6}"/>
    <cellStyle name="Normal 5 2 3 2 3 2 4" xfId="9462" xr:uid="{B4C14F1A-A88A-428F-A7F8-BAFD7E5CD045}"/>
    <cellStyle name="Normal 5 2 3 2 3 2 4 2" xfId="18777" xr:uid="{E4A9921F-8087-411F-BA86-03979E6C47F2}"/>
    <cellStyle name="Normal 5 2 3 2 3 2 5" xfId="10323" xr:uid="{68EA2B67-A58C-42CD-ADEF-A4FEAAF68E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FDC84F63-B22D-47D2-A5F6-E130049B0852}"/>
    <cellStyle name="Normal 5 2 3 2 3 3 2 3" xfId="12881" xr:uid="{99A54FD7-3334-448D-9013-DC147F53DEC5}"/>
    <cellStyle name="Normal 5 2 3 2 3 3 3" xfId="5627" xr:uid="{00000000-0005-0000-0000-000065180000}"/>
    <cellStyle name="Normal 5 2 3 2 3 3 3 2" xfId="14953" xr:uid="{2339DBAA-4098-41E3-A736-5EF731B164B1}"/>
    <cellStyle name="Normal 5 2 3 2 3 3 4" xfId="10736" xr:uid="{2041FAC0-4989-4AA3-ABFE-A54134679A38}"/>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FB3BFC1D-2902-4475-B9A1-C7B7122442CA}"/>
    <cellStyle name="Normal 5 2 3 2 3 4 2 3" xfId="13294" xr:uid="{9AAF607A-09E0-4626-937E-E84F53FC35D7}"/>
    <cellStyle name="Normal 5 2 3 2 3 4 3" xfId="6040" xr:uid="{00000000-0005-0000-0000-000069180000}"/>
    <cellStyle name="Normal 5 2 3 2 3 4 3 2" xfId="15366" xr:uid="{0AA71336-E761-47EE-9BCE-CCB2876A6EFD}"/>
    <cellStyle name="Normal 5 2 3 2 3 4 4" xfId="11149" xr:uid="{33EDBFA9-9586-4FD9-92E4-F7EE36F2D75B}"/>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A1B11D69-AE93-487B-9600-CA597873DA65}"/>
    <cellStyle name="Normal 5 2 3 2 3 5 2 3" xfId="13707" xr:uid="{5D2D3A47-156C-4F7A-AFE5-3B4684608F3D}"/>
    <cellStyle name="Normal 5 2 3 2 3 5 3" xfId="6453" xr:uid="{00000000-0005-0000-0000-00006D180000}"/>
    <cellStyle name="Normal 5 2 3 2 3 5 3 2" xfId="15779" xr:uid="{21D1EAB3-185E-4E09-AEAF-D4FF5AF433DE}"/>
    <cellStyle name="Normal 5 2 3 2 3 5 4" xfId="11562" xr:uid="{0D90FCC7-2CFC-43D3-B418-A0A79D3A7480}"/>
    <cellStyle name="Normal 5 2 3 2 3 6" xfId="2583" xr:uid="{00000000-0005-0000-0000-00006E180000}"/>
    <cellStyle name="Normal 5 2 3 2 3 6 2" xfId="6866" xr:uid="{00000000-0005-0000-0000-00006F180000}"/>
    <cellStyle name="Normal 5 2 3 2 3 6 2 2" xfId="16192" xr:uid="{47C00D0E-17CC-4D76-A8BE-4173E5F96E13}"/>
    <cellStyle name="Normal 5 2 3 2 3 6 3" xfId="11975" xr:uid="{85E369ED-23B3-4C8C-8DFE-BF443F793D70}"/>
    <cellStyle name="Normal 5 2 3 2 3 7" xfId="4801" xr:uid="{00000000-0005-0000-0000-000070180000}"/>
    <cellStyle name="Normal 5 2 3 2 3 7 2" xfId="14127" xr:uid="{99800542-66C2-489B-837E-B811285471E6}"/>
    <cellStyle name="Normal 5 2 3 2 3 8" xfId="9037" xr:uid="{EED46D7F-EFCD-4AC1-931D-AB06B694E7BE}"/>
    <cellStyle name="Normal 5 2 3 2 3 8 2" xfId="18361" xr:uid="{9D45F709-40DE-4D55-9A31-35EB7459C5CD}"/>
    <cellStyle name="Normal 5 2 3 2 3 9" xfId="9910" xr:uid="{9BEC67F2-3FAB-4BD7-BEF2-1D226FB31096}"/>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B839DFAB-EDF1-4352-8EFC-9F3233D46DAD}"/>
    <cellStyle name="Normal 5 2 3 2 4 2 3" xfId="12465" xr:uid="{1B4CA47A-82CD-4539-8B72-AEBB3F457DCB}"/>
    <cellStyle name="Normal 5 2 3 2 4 3" xfId="5211" xr:uid="{00000000-0005-0000-0000-000074180000}"/>
    <cellStyle name="Normal 5 2 3 2 4 3 2" xfId="14537" xr:uid="{C9C6E5E1-E85C-4301-B41B-AE2DFAB275BF}"/>
    <cellStyle name="Normal 5 2 3 2 4 4" xfId="9255" xr:uid="{C5A161BB-6C4F-4A9D-BBA7-7500B0B26A70}"/>
    <cellStyle name="Normal 5 2 3 2 4 4 2" xfId="18570" xr:uid="{AC6DD6D5-E3CE-477A-A952-10A57E73F8EB}"/>
    <cellStyle name="Normal 5 2 3 2 4 5" xfId="10320" xr:uid="{57120CB5-2C4E-45D6-A4E4-7EDDAB6741CE}"/>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DB61FA57-41BA-4F62-A0CC-391FDAA8865C}"/>
    <cellStyle name="Normal 5 2 3 2 5 2 3" xfId="12878" xr:uid="{35C806E6-F92D-4E0C-AE77-D2D9CBEADC57}"/>
    <cellStyle name="Normal 5 2 3 2 5 3" xfId="5624" xr:uid="{00000000-0005-0000-0000-000078180000}"/>
    <cellStyle name="Normal 5 2 3 2 5 3 2" xfId="14950" xr:uid="{A9307853-9499-42C4-A97C-5D41CEEBA707}"/>
    <cellStyle name="Normal 5 2 3 2 5 4" xfId="10733" xr:uid="{09A103CF-B556-403F-9B80-4AD4E0B8ED52}"/>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7CFAA0F2-3FB0-404F-9C06-0BF02FA2493E}"/>
    <cellStyle name="Normal 5 2 3 2 6 2 3" xfId="13291" xr:uid="{30FC673B-F75C-46D4-B644-38DB141D4C33}"/>
    <cellStyle name="Normal 5 2 3 2 6 3" xfId="6037" xr:uid="{00000000-0005-0000-0000-00007C180000}"/>
    <cellStyle name="Normal 5 2 3 2 6 3 2" xfId="15363" xr:uid="{94C4A19B-6509-4E47-94C8-929A0BC4AB08}"/>
    <cellStyle name="Normal 5 2 3 2 6 4" xfId="11146" xr:uid="{3270E0B0-A0DC-451A-A820-FCBB365A4024}"/>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08F4F054-1A95-4306-B66E-4548D7CD53BE}"/>
    <cellStyle name="Normal 5 2 3 2 7 2 3" xfId="13704" xr:uid="{6147F205-7AB9-4B91-85F7-A6E8006B9E47}"/>
    <cellStyle name="Normal 5 2 3 2 7 3" xfId="6450" xr:uid="{00000000-0005-0000-0000-000080180000}"/>
    <cellStyle name="Normal 5 2 3 2 7 3 2" xfId="15776" xr:uid="{10540201-940C-4EFE-953A-49D54162C15D}"/>
    <cellStyle name="Normal 5 2 3 2 7 4" xfId="11559" xr:uid="{6E0BDCF7-8499-4765-A900-6A45354D7986}"/>
    <cellStyle name="Normal 5 2 3 2 8" xfId="2580" xr:uid="{00000000-0005-0000-0000-000081180000}"/>
    <cellStyle name="Normal 5 2 3 2 8 2" xfId="6863" xr:uid="{00000000-0005-0000-0000-000082180000}"/>
    <cellStyle name="Normal 5 2 3 2 8 2 2" xfId="16189" xr:uid="{CB638732-F039-4C5B-AD1C-A43CDC947448}"/>
    <cellStyle name="Normal 5 2 3 2 8 3" xfId="11972" xr:uid="{21A53C22-D62E-4696-A2D5-7E48F7951992}"/>
    <cellStyle name="Normal 5 2 3 2 9" xfId="4798" xr:uid="{00000000-0005-0000-0000-000083180000}"/>
    <cellStyle name="Normal 5 2 3 2 9 2" xfId="14124" xr:uid="{EFEB67F7-2AD9-40F2-ABDE-504996F066B6}"/>
    <cellStyle name="Normal 5 2 3 3" xfId="429" xr:uid="{00000000-0005-0000-0000-000084180000}"/>
    <cellStyle name="Normal 5 2 3 3 10" xfId="9911" xr:uid="{C89C25A1-5F1C-447B-8960-8FC8DA0E3B05}"/>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826518FA-FCD0-45E9-A4AB-1D024FEB47CC}"/>
    <cellStyle name="Normal 5 2 3 3 2 2 2 3" xfId="12470" xr:uid="{3193A582-7CD1-4B73-8ED1-F7C80788883A}"/>
    <cellStyle name="Normal 5 2 3 3 2 2 3" xfId="5216" xr:uid="{00000000-0005-0000-0000-000089180000}"/>
    <cellStyle name="Normal 5 2 3 3 2 2 3 2" xfId="14542" xr:uid="{F37A4C49-82A9-43A1-A1FD-CFDA8204B6DD}"/>
    <cellStyle name="Normal 5 2 3 3 2 2 4" xfId="9511" xr:uid="{75EF02F8-0397-4B30-A858-343ADCA7C08D}"/>
    <cellStyle name="Normal 5 2 3 3 2 2 4 2" xfId="18826" xr:uid="{35D6D5E4-1A8B-4805-9E03-FA0317B12AF2}"/>
    <cellStyle name="Normal 5 2 3 3 2 2 5" xfId="10325" xr:uid="{10CE7E12-6354-41E7-9D63-83B1D122E1D5}"/>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B1FBC283-B84E-4759-BB80-6E418E36D376}"/>
    <cellStyle name="Normal 5 2 3 3 2 3 2 3" xfId="12883" xr:uid="{218CEC69-4054-4497-82BE-D6B19F8FD292}"/>
    <cellStyle name="Normal 5 2 3 3 2 3 3" xfId="5629" xr:uid="{00000000-0005-0000-0000-00008D180000}"/>
    <cellStyle name="Normal 5 2 3 3 2 3 3 2" xfId="14955" xr:uid="{9577FEF3-DBF3-4BF9-B7E6-EE59C7E85D63}"/>
    <cellStyle name="Normal 5 2 3 3 2 3 4" xfId="10738" xr:uid="{510E2A10-C4F2-4FF5-AA08-8EC7EED6E116}"/>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64C79DC3-C649-4DDA-BC11-CB773DBD98C2}"/>
    <cellStyle name="Normal 5 2 3 3 2 4 2 3" xfId="13296" xr:uid="{CE9A110E-1D0A-4C22-B9C0-0C4083E87F13}"/>
    <cellStyle name="Normal 5 2 3 3 2 4 3" xfId="6042" xr:uid="{00000000-0005-0000-0000-000091180000}"/>
    <cellStyle name="Normal 5 2 3 3 2 4 3 2" xfId="15368" xr:uid="{BAA4C05A-2413-4203-950B-1BDC6327FB57}"/>
    <cellStyle name="Normal 5 2 3 3 2 4 4" xfId="11151" xr:uid="{66017E63-D476-44A5-AD9F-A6F0FA8E0646}"/>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52C6B2EA-A217-4A2C-8515-C8DE66D55EFA}"/>
    <cellStyle name="Normal 5 2 3 3 2 5 2 3" xfId="13709" xr:uid="{094667E6-59BE-4DAC-A8A0-B5CD8FEB406A}"/>
    <cellStyle name="Normal 5 2 3 3 2 5 3" xfId="6455" xr:uid="{00000000-0005-0000-0000-000095180000}"/>
    <cellStyle name="Normal 5 2 3 3 2 5 3 2" xfId="15781" xr:uid="{BB0CC8F6-B894-4703-BAF0-08670B82F753}"/>
    <cellStyle name="Normal 5 2 3 3 2 5 4" xfId="11564" xr:uid="{0D5748EB-CC28-4159-9433-228B0A6A1ADE}"/>
    <cellStyle name="Normal 5 2 3 3 2 6" xfId="2585" xr:uid="{00000000-0005-0000-0000-000096180000}"/>
    <cellStyle name="Normal 5 2 3 3 2 6 2" xfId="6868" xr:uid="{00000000-0005-0000-0000-000097180000}"/>
    <cellStyle name="Normal 5 2 3 3 2 6 2 2" xfId="16194" xr:uid="{3BB469FB-49D0-46B7-8A57-4B051E895A01}"/>
    <cellStyle name="Normal 5 2 3 3 2 6 3" xfId="11977" xr:uid="{0B45BF8E-2204-449D-9A62-97A68F972CAA}"/>
    <cellStyle name="Normal 5 2 3 3 2 7" xfId="4803" xr:uid="{00000000-0005-0000-0000-000098180000}"/>
    <cellStyle name="Normal 5 2 3 3 2 7 2" xfId="14129" xr:uid="{8E089BB2-9D91-4290-ACB4-8CC9EAF07218}"/>
    <cellStyle name="Normal 5 2 3 3 2 8" xfId="9086" xr:uid="{442E5F61-F00C-4774-822F-4985AB3E1CB7}"/>
    <cellStyle name="Normal 5 2 3 3 2 8 2" xfId="18410" xr:uid="{93E8D70E-886C-4C94-91CD-E82AC8CB347D}"/>
    <cellStyle name="Normal 5 2 3 3 2 9" xfId="9912" xr:uid="{06606CDB-0CC2-4D38-A43B-533955906AFD}"/>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410ADAFB-19EE-43DD-8D21-9D359CD6D967}"/>
    <cellStyle name="Normal 5 2 3 3 3 2 3" xfId="12469" xr:uid="{CC831DA6-7BAF-4777-B553-EB50C65EEAC8}"/>
    <cellStyle name="Normal 5 2 3 3 3 3" xfId="5215" xr:uid="{00000000-0005-0000-0000-00009C180000}"/>
    <cellStyle name="Normal 5 2 3 3 3 3 2" xfId="14541" xr:uid="{F47D6E68-A2C4-40D3-95FB-53BE31BBD957}"/>
    <cellStyle name="Normal 5 2 3 3 3 4" xfId="9304" xr:uid="{2C783A77-F32A-4E64-807E-062B95DB0310}"/>
    <cellStyle name="Normal 5 2 3 3 3 4 2" xfId="18619" xr:uid="{41FD5F3E-F852-49BC-AE55-968FEDAAEFB7}"/>
    <cellStyle name="Normal 5 2 3 3 3 5" xfId="10324" xr:uid="{22503F47-19B6-4B83-A8D3-FA68E1C5CAE9}"/>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1580E928-87C0-401A-B02C-97CCC81F149D}"/>
    <cellStyle name="Normal 5 2 3 3 4 2 3" xfId="12882" xr:uid="{EC2C4C15-D6AC-4754-922D-D3734D9FF5A5}"/>
    <cellStyle name="Normal 5 2 3 3 4 3" xfId="5628" xr:uid="{00000000-0005-0000-0000-0000A0180000}"/>
    <cellStyle name="Normal 5 2 3 3 4 3 2" xfId="14954" xr:uid="{C417348D-0B69-49F5-9CA8-DAE235C5F75A}"/>
    <cellStyle name="Normal 5 2 3 3 4 4" xfId="10737" xr:uid="{A3BA4663-2D51-45A7-98F1-DED3B0CEC2D3}"/>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0B483C54-F9CF-4CC6-84E9-66F2D368A9B1}"/>
    <cellStyle name="Normal 5 2 3 3 5 2 3" xfId="13295" xr:uid="{B66D84EA-4129-4C00-BD06-EBDE5D782873}"/>
    <cellStyle name="Normal 5 2 3 3 5 3" xfId="6041" xr:uid="{00000000-0005-0000-0000-0000A4180000}"/>
    <cellStyle name="Normal 5 2 3 3 5 3 2" xfId="15367" xr:uid="{CE647CBD-2234-4AD5-A7C7-687C8EBC2FE8}"/>
    <cellStyle name="Normal 5 2 3 3 5 4" xfId="11150" xr:uid="{218CDEB2-95C0-460E-9EFC-BB3D4D37F5D5}"/>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EA9BACC9-24A9-4A8B-B4D7-D61DDAD924CA}"/>
    <cellStyle name="Normal 5 2 3 3 6 2 3" xfId="13708" xr:uid="{9C704F46-F12B-43B5-B550-269D0E13203E}"/>
    <cellStyle name="Normal 5 2 3 3 6 3" xfId="6454" xr:uid="{00000000-0005-0000-0000-0000A8180000}"/>
    <cellStyle name="Normal 5 2 3 3 6 3 2" xfId="15780" xr:uid="{15F4ED91-FB2D-4E3E-84EE-14751C0EBA57}"/>
    <cellStyle name="Normal 5 2 3 3 6 4" xfId="11563" xr:uid="{EC064992-88C0-45D5-84B0-AC112909112D}"/>
    <cellStyle name="Normal 5 2 3 3 7" xfId="2584" xr:uid="{00000000-0005-0000-0000-0000A9180000}"/>
    <cellStyle name="Normal 5 2 3 3 7 2" xfId="6867" xr:uid="{00000000-0005-0000-0000-0000AA180000}"/>
    <cellStyle name="Normal 5 2 3 3 7 2 2" xfId="16193" xr:uid="{F895A8DA-FE5E-494B-BF06-426B40C2AD6E}"/>
    <cellStyle name="Normal 5 2 3 3 7 3" xfId="11976" xr:uid="{5951299C-99CB-409A-9611-EE59CA247533}"/>
    <cellStyle name="Normal 5 2 3 3 8" xfId="4802" xr:uid="{00000000-0005-0000-0000-0000AB180000}"/>
    <cellStyle name="Normal 5 2 3 3 8 2" xfId="14128" xr:uid="{6793E2B3-992E-4CFB-B4C2-EAC8701BF98C}"/>
    <cellStyle name="Normal 5 2 3 3 9" xfId="8879" xr:uid="{F521005C-E3E0-4B64-9C0A-0C510FB9AAB2}"/>
    <cellStyle name="Normal 5 2 3 3 9 2" xfId="18203" xr:uid="{CE369105-87F2-4A72-A4AF-9B10CCF8F49C}"/>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8B4939E8-1A71-441E-91A6-A124CFB0B86E}"/>
    <cellStyle name="Normal 5 2 3 4 2 2 3" xfId="12471" xr:uid="{47F80931-C026-491D-BA42-170347449EA7}"/>
    <cellStyle name="Normal 5 2 3 4 2 3" xfId="5217" xr:uid="{00000000-0005-0000-0000-0000B0180000}"/>
    <cellStyle name="Normal 5 2 3 4 2 3 2" xfId="14543" xr:uid="{A1979991-4AED-4808-836F-93020777B832}"/>
    <cellStyle name="Normal 5 2 3 4 2 4" xfId="9408" xr:uid="{3B6F9C6F-3D7C-45F8-99FE-451C0F8CED36}"/>
    <cellStyle name="Normal 5 2 3 4 2 4 2" xfId="18723" xr:uid="{3E74720A-0058-43A5-B71C-BDAC706B92B0}"/>
    <cellStyle name="Normal 5 2 3 4 2 5" xfId="10326" xr:uid="{D7070465-E47F-4DFC-B17C-1FABDC592EAD}"/>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DAC5A427-6A88-4FA1-BCCF-5911F8EF6038}"/>
    <cellStyle name="Normal 5 2 3 4 3 2 3" xfId="12884" xr:uid="{97952A08-500C-4B12-9F57-F06F0CF01A82}"/>
    <cellStyle name="Normal 5 2 3 4 3 3" xfId="5630" xr:uid="{00000000-0005-0000-0000-0000B4180000}"/>
    <cellStyle name="Normal 5 2 3 4 3 3 2" xfId="14956" xr:uid="{778FA7C4-B9B6-43D5-88CC-A13C96D86DAE}"/>
    <cellStyle name="Normal 5 2 3 4 3 4" xfId="10739" xr:uid="{17068E85-7098-4180-8956-A26F5DC724E0}"/>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7241363E-4666-4602-9EA3-BBC23713E19D}"/>
    <cellStyle name="Normal 5 2 3 4 4 2 3" xfId="13297" xr:uid="{447BB2B7-9EC1-4958-ADA0-41600DD43304}"/>
    <cellStyle name="Normal 5 2 3 4 4 3" xfId="6043" xr:uid="{00000000-0005-0000-0000-0000B8180000}"/>
    <cellStyle name="Normal 5 2 3 4 4 3 2" xfId="15369" xr:uid="{3A8F2F8B-257C-456F-A2C5-4AEA76FD55AD}"/>
    <cellStyle name="Normal 5 2 3 4 4 4" xfId="11152" xr:uid="{3D423CF3-D1F0-454E-810B-A5757A5E1F50}"/>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A7EFB997-62AA-44EB-AF45-10198458C656}"/>
    <cellStyle name="Normal 5 2 3 4 5 2 3" xfId="13710" xr:uid="{3E93A9C3-9B2E-4150-A882-B4BE40F74B06}"/>
    <cellStyle name="Normal 5 2 3 4 5 3" xfId="6456" xr:uid="{00000000-0005-0000-0000-0000BC180000}"/>
    <cellStyle name="Normal 5 2 3 4 5 3 2" xfId="15782" xr:uid="{0412DB1C-84B7-4E5D-9116-9A47901B41CB}"/>
    <cellStyle name="Normal 5 2 3 4 5 4" xfId="11565" xr:uid="{4764FB79-93AD-445C-8AA4-9A80E5626248}"/>
    <cellStyle name="Normal 5 2 3 4 6" xfId="2586" xr:uid="{00000000-0005-0000-0000-0000BD180000}"/>
    <cellStyle name="Normal 5 2 3 4 6 2" xfId="6869" xr:uid="{00000000-0005-0000-0000-0000BE180000}"/>
    <cellStyle name="Normal 5 2 3 4 6 2 2" xfId="16195" xr:uid="{9F04BD93-0BBC-4BA0-BD78-C163D6304473}"/>
    <cellStyle name="Normal 5 2 3 4 6 3" xfId="11978" xr:uid="{890FF73B-C3B5-4EEE-815F-FD49F7DDDFC8}"/>
    <cellStyle name="Normal 5 2 3 4 7" xfId="4804" xr:uid="{00000000-0005-0000-0000-0000BF180000}"/>
    <cellStyle name="Normal 5 2 3 4 7 2" xfId="14130" xr:uid="{8C4C0761-9236-42BC-A44B-B623360182EA}"/>
    <cellStyle name="Normal 5 2 3 4 8" xfId="8983" xr:uid="{07388FCC-03DE-4CE8-89CB-9C92F8174E24}"/>
    <cellStyle name="Normal 5 2 3 4 8 2" xfId="18307" xr:uid="{58657F86-0587-4CD4-8C74-C8F8B7ECB591}"/>
    <cellStyle name="Normal 5 2 3 4 9" xfId="9913" xr:uid="{E02F88C7-DA81-4DD7-A4ED-CF0445AD9A18}"/>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34C0E559-3D37-42AE-AC4C-B3B1793D902C}"/>
    <cellStyle name="Normal 5 2 3 5 2 3" xfId="12464" xr:uid="{219F7E3B-8D0B-4148-9A5E-C97C63805FA6}"/>
    <cellStyle name="Normal 5 2 3 5 3" xfId="5210" xr:uid="{00000000-0005-0000-0000-0000C3180000}"/>
    <cellStyle name="Normal 5 2 3 5 3 2" xfId="14536" xr:uid="{E601377E-4F89-4A23-8D88-F84E8FD2056E}"/>
    <cellStyle name="Normal 5 2 3 5 4" xfId="9200" xr:uid="{13DE827A-4007-427A-9869-ADBBE6B70993}"/>
    <cellStyle name="Normal 5 2 3 5 4 2" xfId="18516" xr:uid="{F1E879AA-1C4C-4FD0-A6CB-1E2F2AD9F18D}"/>
    <cellStyle name="Normal 5 2 3 5 5" xfId="10319" xr:uid="{F3290531-8C68-47A2-B306-CCBF541CCD11}"/>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D41BDFD6-012F-4B21-B1A9-AE555DDDAE7F}"/>
    <cellStyle name="Normal 5 2 3 6 2 3" xfId="12877" xr:uid="{D98D4A6F-7D86-4A13-AC2C-554C2FBE9EE6}"/>
    <cellStyle name="Normal 5 2 3 6 3" xfId="5623" xr:uid="{00000000-0005-0000-0000-0000C7180000}"/>
    <cellStyle name="Normal 5 2 3 6 3 2" xfId="14949" xr:uid="{A0EC4851-2891-4FBF-B511-A2C0B69DBBB6}"/>
    <cellStyle name="Normal 5 2 3 6 4" xfId="10732" xr:uid="{71BEC2D9-6F3E-4A33-9DC4-1DCF8555B483}"/>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55737CA3-C571-46AF-9525-CD7B706AD2A0}"/>
    <cellStyle name="Normal 5 2 3 7 2 3" xfId="13290" xr:uid="{E4199ABD-8858-49F7-B6F1-21A9C74CA574}"/>
    <cellStyle name="Normal 5 2 3 7 3" xfId="6036" xr:uid="{00000000-0005-0000-0000-0000CB180000}"/>
    <cellStyle name="Normal 5 2 3 7 3 2" xfId="15362" xr:uid="{1AA5E09E-846E-485E-BC19-FFFECAC23A49}"/>
    <cellStyle name="Normal 5 2 3 7 4" xfId="11145" xr:uid="{2C06CF4B-2EF4-463F-B084-8A7CD043AE86}"/>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B636D35A-5823-49D0-97BF-33A6E2B7F062}"/>
    <cellStyle name="Normal 5 2 3 8 2 3" xfId="13703" xr:uid="{41BF6988-4E07-48BA-95AE-94913E47D371}"/>
    <cellStyle name="Normal 5 2 3 8 3" xfId="6449" xr:uid="{00000000-0005-0000-0000-0000CF180000}"/>
    <cellStyle name="Normal 5 2 3 8 3 2" xfId="15775" xr:uid="{DC3DD21F-758B-48CE-B396-B178CE1A3734}"/>
    <cellStyle name="Normal 5 2 3 8 4" xfId="11558" xr:uid="{8CE35961-15B0-413E-9CCC-9FD7C922A092}"/>
    <cellStyle name="Normal 5 2 3 9" xfId="2579" xr:uid="{00000000-0005-0000-0000-0000D0180000}"/>
    <cellStyle name="Normal 5 2 3 9 2" xfId="6862" xr:uid="{00000000-0005-0000-0000-0000D1180000}"/>
    <cellStyle name="Normal 5 2 3 9 2 2" xfId="16188" xr:uid="{D8B129FB-EC42-4F60-96EC-D87CEB3D3666}"/>
    <cellStyle name="Normal 5 2 3 9 3" xfId="11971" xr:uid="{F7D3A493-20C9-4DA6-984E-5C978351CDBA}"/>
    <cellStyle name="Normal 5 2 4" xfId="432" xr:uid="{00000000-0005-0000-0000-0000D2180000}"/>
    <cellStyle name="Normal 5 2 4 10" xfId="8827" xr:uid="{1EC4F605-F0BA-487E-A3C0-2CBAE7C22D8A}"/>
    <cellStyle name="Normal 5 2 4 10 2" xfId="18151" xr:uid="{247F116E-B8D3-4C92-9781-FC6655775850}"/>
    <cellStyle name="Normal 5 2 4 11" xfId="9914" xr:uid="{F6631F46-5747-4533-82EE-08435832CC28}"/>
    <cellStyle name="Normal 5 2 4 2" xfId="433" xr:uid="{00000000-0005-0000-0000-0000D3180000}"/>
    <cellStyle name="Normal 5 2 4 2 10" xfId="9915" xr:uid="{3369CA77-6AC1-46A8-8C2B-39EC0714697D}"/>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4419F308-58A5-4048-8907-350103785775}"/>
    <cellStyle name="Normal 5 2 4 2 2 2 2 3" xfId="12474" xr:uid="{607CC305-2C82-4317-A98F-42DC11CA9C7B}"/>
    <cellStyle name="Normal 5 2 4 2 2 2 3" xfId="5220" xr:uid="{00000000-0005-0000-0000-0000D8180000}"/>
    <cellStyle name="Normal 5 2 4 2 2 2 3 2" xfId="14546" xr:uid="{BF7ECDC2-EAA5-4DA1-AACC-C76F308467B5}"/>
    <cellStyle name="Normal 5 2 4 2 2 2 4" xfId="9562" xr:uid="{5E243FB4-F3B1-4B34-B377-1444454AD19E}"/>
    <cellStyle name="Normal 5 2 4 2 2 2 4 2" xfId="18877" xr:uid="{A5357016-97E6-4932-8C06-9424E5E86796}"/>
    <cellStyle name="Normal 5 2 4 2 2 2 5" xfId="10329" xr:uid="{4C56D823-4576-4968-A99C-82C3DF177829}"/>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7BE3DEEA-12F3-43FF-A2D5-90F74A2FB486}"/>
    <cellStyle name="Normal 5 2 4 2 2 3 2 3" xfId="12887" xr:uid="{EDE9CEFB-82C2-4C1B-94F2-B71E21BCCA12}"/>
    <cellStyle name="Normal 5 2 4 2 2 3 3" xfId="5633" xr:uid="{00000000-0005-0000-0000-0000DC180000}"/>
    <cellStyle name="Normal 5 2 4 2 2 3 3 2" xfId="14959" xr:uid="{F4622A1D-6F19-4E29-88B2-7656A8EB5890}"/>
    <cellStyle name="Normal 5 2 4 2 2 3 4" xfId="10742" xr:uid="{D20D03A1-A40D-4CA2-8762-82B60135B407}"/>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1086B029-2431-4BDD-9E18-4E2CE00BEC7D}"/>
    <cellStyle name="Normal 5 2 4 2 2 4 2 3" xfId="13300" xr:uid="{C31BA49B-5502-4CBC-BF59-5B452175777E}"/>
    <cellStyle name="Normal 5 2 4 2 2 4 3" xfId="6046" xr:uid="{00000000-0005-0000-0000-0000E0180000}"/>
    <cellStyle name="Normal 5 2 4 2 2 4 3 2" xfId="15372" xr:uid="{663A4284-5111-4CB9-B675-815D57EFE7E1}"/>
    <cellStyle name="Normal 5 2 4 2 2 4 4" xfId="11155" xr:uid="{84B20E9B-F574-4F15-AA3A-3C9519148D6A}"/>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2B7A8B16-BE38-43B8-99F9-C1853DE0B873}"/>
    <cellStyle name="Normal 5 2 4 2 2 5 2 3" xfId="13713" xr:uid="{270F56B1-5551-4046-9AEF-5DC47352CA54}"/>
    <cellStyle name="Normal 5 2 4 2 2 5 3" xfId="6459" xr:uid="{00000000-0005-0000-0000-0000E4180000}"/>
    <cellStyle name="Normal 5 2 4 2 2 5 3 2" xfId="15785" xr:uid="{8EB51122-0EC6-4A0D-B86E-0B335D918E59}"/>
    <cellStyle name="Normal 5 2 4 2 2 5 4" xfId="11568" xr:uid="{3F81A906-2E30-429B-9190-1A4AACB9EE47}"/>
    <cellStyle name="Normal 5 2 4 2 2 6" xfId="2589" xr:uid="{00000000-0005-0000-0000-0000E5180000}"/>
    <cellStyle name="Normal 5 2 4 2 2 6 2" xfId="6872" xr:uid="{00000000-0005-0000-0000-0000E6180000}"/>
    <cellStyle name="Normal 5 2 4 2 2 6 2 2" xfId="16198" xr:uid="{D1C80315-7806-4CC7-924A-475784E48D78}"/>
    <cellStyle name="Normal 5 2 4 2 2 6 3" xfId="11981" xr:uid="{63EF5647-CF63-4929-81B8-98082C5BCED9}"/>
    <cellStyle name="Normal 5 2 4 2 2 7" xfId="4807" xr:uid="{00000000-0005-0000-0000-0000E7180000}"/>
    <cellStyle name="Normal 5 2 4 2 2 7 2" xfId="14133" xr:uid="{F0EA2B5D-5C9E-4E2A-AFB7-1802ACC22FBB}"/>
    <cellStyle name="Normal 5 2 4 2 2 8" xfId="9137" xr:uid="{C80E4B27-40CA-4953-ABB8-99E2C575F775}"/>
    <cellStyle name="Normal 5 2 4 2 2 8 2" xfId="18461" xr:uid="{ABF47FB2-BC30-4628-B3C2-AE9276ECFB79}"/>
    <cellStyle name="Normal 5 2 4 2 2 9" xfId="9916" xr:uid="{940F6617-7258-4976-9C3E-EF37B345E23A}"/>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21BDF325-1095-46C1-A8C9-7B8101BA870C}"/>
    <cellStyle name="Normal 5 2 4 2 3 2 3" xfId="12473" xr:uid="{29882DBF-479E-44B9-ACDC-4FAA0F2471EE}"/>
    <cellStyle name="Normal 5 2 4 2 3 3" xfId="5219" xr:uid="{00000000-0005-0000-0000-0000EB180000}"/>
    <cellStyle name="Normal 5 2 4 2 3 3 2" xfId="14545" xr:uid="{6D8A7CF4-DBE7-4AEF-BFCA-E3F9EFE7F28E}"/>
    <cellStyle name="Normal 5 2 4 2 3 4" xfId="9355" xr:uid="{9D38A6AA-2F63-4275-9FB8-F86A15F6A4D3}"/>
    <cellStyle name="Normal 5 2 4 2 3 4 2" xfId="18670" xr:uid="{5E9C315C-15E6-4A0A-9744-CE083885ACF6}"/>
    <cellStyle name="Normal 5 2 4 2 3 5" xfId="10328" xr:uid="{7126C08C-65AE-40D1-8BF5-2873F4D79A0A}"/>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A7D33F6D-FED3-44D2-B5F2-D8B7448F813C}"/>
    <cellStyle name="Normal 5 2 4 2 4 2 3" xfId="12886" xr:uid="{06B69FCF-AC83-4BF0-9941-40A7D531F77E}"/>
    <cellStyle name="Normal 5 2 4 2 4 3" xfId="5632" xr:uid="{00000000-0005-0000-0000-0000EF180000}"/>
    <cellStyle name="Normal 5 2 4 2 4 3 2" xfId="14958" xr:uid="{6A14AE63-2DDB-42AE-8EA2-14978806C952}"/>
    <cellStyle name="Normal 5 2 4 2 4 4" xfId="10741" xr:uid="{CE989E99-0643-4FE8-B2E7-DC950BFF1777}"/>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6F4B1348-A1F4-4884-A42F-BD2E0D6BC9A2}"/>
    <cellStyle name="Normal 5 2 4 2 5 2 3" xfId="13299" xr:uid="{BB5B83E6-6A2D-4FBD-B2C2-3059E10D61DB}"/>
    <cellStyle name="Normal 5 2 4 2 5 3" xfId="6045" xr:uid="{00000000-0005-0000-0000-0000F3180000}"/>
    <cellStyle name="Normal 5 2 4 2 5 3 2" xfId="15371" xr:uid="{B63276BA-D18F-4A67-A69E-C6D691C184D4}"/>
    <cellStyle name="Normal 5 2 4 2 5 4" xfId="11154" xr:uid="{EBBEA7E8-7CEC-4B9F-8CD0-C90B4518D84E}"/>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F544FD56-4E7F-4BEF-9D61-A0D6BE0589B8}"/>
    <cellStyle name="Normal 5 2 4 2 6 2 3" xfId="13712" xr:uid="{4D5BB137-12B2-47E4-8C82-F6088A1F44A1}"/>
    <cellStyle name="Normal 5 2 4 2 6 3" xfId="6458" xr:uid="{00000000-0005-0000-0000-0000F7180000}"/>
    <cellStyle name="Normal 5 2 4 2 6 3 2" xfId="15784" xr:uid="{62E84393-07A5-41B2-9774-23B268A6CDD7}"/>
    <cellStyle name="Normal 5 2 4 2 6 4" xfId="11567" xr:uid="{81E706DF-816C-4B4C-97E8-3C9508AFD048}"/>
    <cellStyle name="Normal 5 2 4 2 7" xfId="2588" xr:uid="{00000000-0005-0000-0000-0000F8180000}"/>
    <cellStyle name="Normal 5 2 4 2 7 2" xfId="6871" xr:uid="{00000000-0005-0000-0000-0000F9180000}"/>
    <cellStyle name="Normal 5 2 4 2 7 2 2" xfId="16197" xr:uid="{DA881FCF-255E-452A-BA4E-A4C096E25FA8}"/>
    <cellStyle name="Normal 5 2 4 2 7 3" xfId="11980" xr:uid="{0334C780-D802-49CA-8C6B-47160DFEF76C}"/>
    <cellStyle name="Normal 5 2 4 2 8" xfId="4806" xr:uid="{00000000-0005-0000-0000-0000FA180000}"/>
    <cellStyle name="Normal 5 2 4 2 8 2" xfId="14132" xr:uid="{F0247AB5-F02F-4A80-985A-D6225607186A}"/>
    <cellStyle name="Normal 5 2 4 2 9" xfId="8930" xr:uid="{66B84ABA-CAF3-4BBE-9026-E7A47CB6006F}"/>
    <cellStyle name="Normal 5 2 4 2 9 2" xfId="18254" xr:uid="{A430A7CB-61E7-4AA0-A5B0-4140E3946F2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EBDB3955-860A-49CE-9E91-A79359E4DB41}"/>
    <cellStyle name="Normal 5 2 4 3 2 2 3" xfId="12475" xr:uid="{12919CF3-0CF1-479B-BDBB-C11D29F436BC}"/>
    <cellStyle name="Normal 5 2 4 3 2 3" xfId="5221" xr:uid="{00000000-0005-0000-0000-0000FF180000}"/>
    <cellStyle name="Normal 5 2 4 3 2 3 2" xfId="14547" xr:uid="{789C38E5-1FA7-478B-9976-CC2CB05321EE}"/>
    <cellStyle name="Normal 5 2 4 3 2 4" xfId="9459" xr:uid="{ED2A936E-5624-4B26-A175-3FCE68E1BF5A}"/>
    <cellStyle name="Normal 5 2 4 3 2 4 2" xfId="18774" xr:uid="{73CDC6F4-8B57-4ECD-9E43-6F7A649D58A2}"/>
    <cellStyle name="Normal 5 2 4 3 2 5" xfId="10330" xr:uid="{2F0EFF42-A96D-4026-9DAB-FC942DE35BC8}"/>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77CD9B66-41EB-40E2-9D42-31E532AEC409}"/>
    <cellStyle name="Normal 5 2 4 3 3 2 3" xfId="12888" xr:uid="{5DE6A720-ED70-4894-91BA-BBBDE65F02EA}"/>
    <cellStyle name="Normal 5 2 4 3 3 3" xfId="5634" xr:uid="{00000000-0005-0000-0000-000003190000}"/>
    <cellStyle name="Normal 5 2 4 3 3 3 2" xfId="14960" xr:uid="{2163A47F-5ED3-4241-999B-39EDE8F16C5E}"/>
    <cellStyle name="Normal 5 2 4 3 3 4" xfId="10743" xr:uid="{F534420E-C76A-4E3B-B70B-11C71ABB80D9}"/>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56D7A7A8-AE41-410D-81C1-3B4738B277A7}"/>
    <cellStyle name="Normal 5 2 4 3 4 2 3" xfId="13301" xr:uid="{12F5978E-AFCE-4501-9687-8517C37276A0}"/>
    <cellStyle name="Normal 5 2 4 3 4 3" xfId="6047" xr:uid="{00000000-0005-0000-0000-000007190000}"/>
    <cellStyle name="Normal 5 2 4 3 4 3 2" xfId="15373" xr:uid="{7C21022E-AB9B-4C28-95A6-C240ADDDAF14}"/>
    <cellStyle name="Normal 5 2 4 3 4 4" xfId="11156" xr:uid="{F717901A-261F-4DE2-835C-D09241E9360F}"/>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A0F57C97-0933-48F3-9D57-9BA9CF1668A5}"/>
    <cellStyle name="Normal 5 2 4 3 5 2 3" xfId="13714" xr:uid="{29309497-8C01-4ADE-A58F-EC7CFCD8C989}"/>
    <cellStyle name="Normal 5 2 4 3 5 3" xfId="6460" xr:uid="{00000000-0005-0000-0000-00000B190000}"/>
    <cellStyle name="Normal 5 2 4 3 5 3 2" xfId="15786" xr:uid="{287FF6EC-9237-4339-A2CF-9E496A5F2FFD}"/>
    <cellStyle name="Normal 5 2 4 3 5 4" xfId="11569" xr:uid="{228FF653-639D-4F8F-BDDC-B8847141F756}"/>
    <cellStyle name="Normal 5 2 4 3 6" xfId="2590" xr:uid="{00000000-0005-0000-0000-00000C190000}"/>
    <cellStyle name="Normal 5 2 4 3 6 2" xfId="6873" xr:uid="{00000000-0005-0000-0000-00000D190000}"/>
    <cellStyle name="Normal 5 2 4 3 6 2 2" xfId="16199" xr:uid="{15C479C1-94C2-428A-BC5E-7C0302931A59}"/>
    <cellStyle name="Normal 5 2 4 3 6 3" xfId="11982" xr:uid="{7D57269B-2F44-4F75-A495-020031D303D8}"/>
    <cellStyle name="Normal 5 2 4 3 7" xfId="4808" xr:uid="{00000000-0005-0000-0000-00000E190000}"/>
    <cellStyle name="Normal 5 2 4 3 7 2" xfId="14134" xr:uid="{9D77FA11-68C9-4039-B2F4-56ABD4715509}"/>
    <cellStyle name="Normal 5 2 4 3 8" xfId="9034" xr:uid="{82D3DE5B-E868-4CF9-BA07-6E197DA4FAA5}"/>
    <cellStyle name="Normal 5 2 4 3 8 2" xfId="18358" xr:uid="{D311B25E-C1A8-4BAE-90C8-84604D293C9C}"/>
    <cellStyle name="Normal 5 2 4 3 9" xfId="9917" xr:uid="{425900FB-09BD-495A-8A04-D1DE85F2440E}"/>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7B498D80-6763-4C35-B1B2-AFA975714981}"/>
    <cellStyle name="Normal 5 2 4 4 2 3" xfId="12472" xr:uid="{49887D27-9FFD-4E94-A9BD-84ECFF5A869C}"/>
    <cellStyle name="Normal 5 2 4 4 3" xfId="5218" xr:uid="{00000000-0005-0000-0000-000012190000}"/>
    <cellStyle name="Normal 5 2 4 4 3 2" xfId="14544" xr:uid="{BE9ABD1D-FDC2-419B-88AF-2DBD2F5DB547}"/>
    <cellStyle name="Normal 5 2 4 4 4" xfId="9252" xr:uid="{1D1A8EC4-7286-46A1-B40C-E987F273E760}"/>
    <cellStyle name="Normal 5 2 4 4 4 2" xfId="18567" xr:uid="{EA51747C-6750-4059-8879-6CC245773588}"/>
    <cellStyle name="Normal 5 2 4 4 5" xfId="10327" xr:uid="{5112FE2A-EEEB-4F91-A974-1FBB0B99F24F}"/>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144F2CB6-85B9-4DAD-82C2-BC2370F79242}"/>
    <cellStyle name="Normal 5 2 4 5 2 3" xfId="12885" xr:uid="{8B32FE92-2B46-4069-BEFB-197C00700A86}"/>
    <cellStyle name="Normal 5 2 4 5 3" xfId="5631" xr:uid="{00000000-0005-0000-0000-000016190000}"/>
    <cellStyle name="Normal 5 2 4 5 3 2" xfId="14957" xr:uid="{1CF43059-B9FC-4215-A862-2E4C93E67C5C}"/>
    <cellStyle name="Normal 5 2 4 5 4" xfId="10740" xr:uid="{F2BAB8A5-8C1B-464A-8613-9B36FDEE9AF0}"/>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D0E05455-A3CD-4B95-8CC2-B155BA7439B0}"/>
    <cellStyle name="Normal 5 2 4 6 2 3" xfId="13298" xr:uid="{3E3B9829-91B6-4718-A50C-8EB9B71949ED}"/>
    <cellStyle name="Normal 5 2 4 6 3" xfId="6044" xr:uid="{00000000-0005-0000-0000-00001A190000}"/>
    <cellStyle name="Normal 5 2 4 6 3 2" xfId="15370" xr:uid="{4B7CA875-0D4D-4718-831B-322B1B3E9B00}"/>
    <cellStyle name="Normal 5 2 4 6 4" xfId="11153" xr:uid="{68D018AA-8E9C-488C-AB1F-D3293182D747}"/>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6BC1BD1B-0E55-44B9-BA28-A90CDC8F5AEE}"/>
    <cellStyle name="Normal 5 2 4 7 2 3" xfId="13711" xr:uid="{726E115D-FB08-4804-9F1B-CDCA09FA2BB8}"/>
    <cellStyle name="Normal 5 2 4 7 3" xfId="6457" xr:uid="{00000000-0005-0000-0000-00001E190000}"/>
    <cellStyle name="Normal 5 2 4 7 3 2" xfId="15783" xr:uid="{8DB0C19E-EEC5-4B27-93F0-713CD97B54B5}"/>
    <cellStyle name="Normal 5 2 4 7 4" xfId="11566" xr:uid="{E82F677B-CC41-415F-9AED-A30EC5E80CA5}"/>
    <cellStyle name="Normal 5 2 4 8" xfId="2587" xr:uid="{00000000-0005-0000-0000-00001F190000}"/>
    <cellStyle name="Normal 5 2 4 8 2" xfId="6870" xr:uid="{00000000-0005-0000-0000-000020190000}"/>
    <cellStyle name="Normal 5 2 4 8 2 2" xfId="16196" xr:uid="{60807EF9-79A3-4405-9DF0-73F19DEC29C3}"/>
    <cellStyle name="Normal 5 2 4 8 3" xfId="11979" xr:uid="{85487ABF-1638-47B1-96A0-353E322349D0}"/>
    <cellStyle name="Normal 5 2 4 9" xfId="4805" xr:uid="{00000000-0005-0000-0000-000021190000}"/>
    <cellStyle name="Normal 5 2 4 9 2" xfId="14131" xr:uid="{8BC8DFEC-446D-451F-9C2D-B6482F1D8E0E}"/>
    <cellStyle name="Normal 5 2 5" xfId="436" xr:uid="{00000000-0005-0000-0000-000022190000}"/>
    <cellStyle name="Normal 5 2 5 10" xfId="9918" xr:uid="{8B699719-987A-41F6-ABFB-B6D8C8E8A4C2}"/>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E9925A89-5EA5-43F1-B5F1-A2EDE1F082AA}"/>
    <cellStyle name="Normal 5 2 5 2 2 2 3" xfId="12477" xr:uid="{E74D9A6A-29EF-4FB5-A2B8-DCC0B10869F5}"/>
    <cellStyle name="Normal 5 2 5 2 2 3" xfId="5223" xr:uid="{00000000-0005-0000-0000-000027190000}"/>
    <cellStyle name="Normal 5 2 5 2 2 3 2" xfId="14549" xr:uid="{30CE24E3-2DC2-4184-8E78-9DA447A12590}"/>
    <cellStyle name="Normal 5 2 5 2 2 4" xfId="9479" xr:uid="{0DDFFFD4-5D62-4038-B6D4-9E9BD7CBA380}"/>
    <cellStyle name="Normal 5 2 5 2 2 4 2" xfId="18794" xr:uid="{A4A701D3-1128-4C64-8219-C98764DD2349}"/>
    <cellStyle name="Normal 5 2 5 2 2 5" xfId="10332" xr:uid="{8F1D7E08-7F9C-4EEC-BB6E-51F8A6E72DD7}"/>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D96E64E4-1ECE-49D1-A656-021FF47D4396}"/>
    <cellStyle name="Normal 5 2 5 2 3 2 3" xfId="12890" xr:uid="{CD76A621-7677-4CF8-8426-9C7F223E3335}"/>
    <cellStyle name="Normal 5 2 5 2 3 3" xfId="5636" xr:uid="{00000000-0005-0000-0000-00002B190000}"/>
    <cellStyle name="Normal 5 2 5 2 3 3 2" xfId="14962" xr:uid="{015BB8EC-DA57-43E9-87C4-333A91CE7C07}"/>
    <cellStyle name="Normal 5 2 5 2 3 4" xfId="10745" xr:uid="{A0AFE6A3-3AA1-40D3-B150-087177ADD55B}"/>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399F72E0-626D-428B-9F18-92A5FA652EAD}"/>
    <cellStyle name="Normal 5 2 5 2 4 2 3" xfId="13303" xr:uid="{B30D70D6-1864-42C0-90E4-BAB2A854966E}"/>
    <cellStyle name="Normal 5 2 5 2 4 3" xfId="6049" xr:uid="{00000000-0005-0000-0000-00002F190000}"/>
    <cellStyle name="Normal 5 2 5 2 4 3 2" xfId="15375" xr:uid="{80E95131-100F-485D-A181-BBAA54CD285E}"/>
    <cellStyle name="Normal 5 2 5 2 4 4" xfId="11158" xr:uid="{03629E4F-C970-40AD-A9D9-071DC7D3F6E2}"/>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142DD534-2CF0-4F5D-8BF4-C739317D1A6D}"/>
    <cellStyle name="Normal 5 2 5 2 5 2 3" xfId="13716" xr:uid="{3E573221-075A-4DC2-AFB3-37AE6943387F}"/>
    <cellStyle name="Normal 5 2 5 2 5 3" xfId="6462" xr:uid="{00000000-0005-0000-0000-000033190000}"/>
    <cellStyle name="Normal 5 2 5 2 5 3 2" xfId="15788" xr:uid="{EF8B3DD3-C1FF-4E2A-9DAA-78D8A1EB6B95}"/>
    <cellStyle name="Normal 5 2 5 2 5 4" xfId="11571" xr:uid="{D9D92930-A995-45E7-8C15-FC4CA4CB1F61}"/>
    <cellStyle name="Normal 5 2 5 2 6" xfId="2592" xr:uid="{00000000-0005-0000-0000-000034190000}"/>
    <cellStyle name="Normal 5 2 5 2 6 2" xfId="6875" xr:uid="{00000000-0005-0000-0000-000035190000}"/>
    <cellStyle name="Normal 5 2 5 2 6 2 2" xfId="16201" xr:uid="{F8E922D7-E065-4696-8DCC-98A7A5ACB277}"/>
    <cellStyle name="Normal 5 2 5 2 6 3" xfId="11984" xr:uid="{95947E93-F116-4530-A996-37E21A67C1EF}"/>
    <cellStyle name="Normal 5 2 5 2 7" xfId="4810" xr:uid="{00000000-0005-0000-0000-000036190000}"/>
    <cellStyle name="Normal 5 2 5 2 7 2" xfId="14136" xr:uid="{114A79CB-0F48-40B5-B905-DC7A1955EB9A}"/>
    <cellStyle name="Normal 5 2 5 2 8" xfId="9054" xr:uid="{844F6476-DDB9-4C38-A2B2-83AB0DCF1773}"/>
    <cellStyle name="Normal 5 2 5 2 8 2" xfId="18378" xr:uid="{647871C5-275A-4361-9BA9-E10D352C4B8F}"/>
    <cellStyle name="Normal 5 2 5 2 9" xfId="9919" xr:uid="{5D3F3269-A283-45D3-9563-B322895BA72F}"/>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047D2761-E61A-45A0-B1F7-FCAE36CB44B3}"/>
    <cellStyle name="Normal 5 2 5 3 2 3" xfId="12476" xr:uid="{2D3393D2-94D2-4B25-B579-FAD82FA873F6}"/>
    <cellStyle name="Normal 5 2 5 3 3" xfId="5222" xr:uid="{00000000-0005-0000-0000-00003A190000}"/>
    <cellStyle name="Normal 5 2 5 3 3 2" xfId="14548" xr:uid="{483131A5-2CBB-43F9-8EB6-F754346DD587}"/>
    <cellStyle name="Normal 5 2 5 3 4" xfId="9272" xr:uid="{8865498C-CC61-4C5F-A1F4-57A1D301E1CE}"/>
    <cellStyle name="Normal 5 2 5 3 4 2" xfId="18587" xr:uid="{275272CB-B016-49C4-A5B0-9C3DFB273DFA}"/>
    <cellStyle name="Normal 5 2 5 3 5" xfId="10331" xr:uid="{A6C2F063-732B-4D1A-BC41-C89ABF80A482}"/>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95AF6656-8EB6-4BF5-8290-D539F672B0F3}"/>
    <cellStyle name="Normal 5 2 5 4 2 3" xfId="12889" xr:uid="{EF99BE2A-E684-4A21-9631-A0C1D01CD97D}"/>
    <cellStyle name="Normal 5 2 5 4 3" xfId="5635" xr:uid="{00000000-0005-0000-0000-00003E190000}"/>
    <cellStyle name="Normal 5 2 5 4 3 2" xfId="14961" xr:uid="{4FCB0F45-D34C-4D49-893D-61C3F858CC37}"/>
    <cellStyle name="Normal 5 2 5 4 4" xfId="10744" xr:uid="{E4875F27-2C6E-4467-A300-38CE489C72BA}"/>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B92B345E-E599-4E52-B56E-2E1D51D1F1DB}"/>
    <cellStyle name="Normal 5 2 5 5 2 3" xfId="13302" xr:uid="{33B16751-4254-404E-955E-BD68C06BD660}"/>
    <cellStyle name="Normal 5 2 5 5 3" xfId="6048" xr:uid="{00000000-0005-0000-0000-000042190000}"/>
    <cellStyle name="Normal 5 2 5 5 3 2" xfId="15374" xr:uid="{0C4FFEF2-F6BD-4DCD-90B4-975CF2838DB0}"/>
    <cellStyle name="Normal 5 2 5 5 4" xfId="11157" xr:uid="{E0F3868F-797A-4465-A36E-A3D29F364C70}"/>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E4B90E33-0F02-44DC-A97E-4350E70DE738}"/>
    <cellStyle name="Normal 5 2 5 6 2 3" xfId="13715" xr:uid="{3767BAB9-0C39-4926-A537-F07F01A4D339}"/>
    <cellStyle name="Normal 5 2 5 6 3" xfId="6461" xr:uid="{00000000-0005-0000-0000-000046190000}"/>
    <cellStyle name="Normal 5 2 5 6 3 2" xfId="15787" xr:uid="{4760C228-9D6B-447B-9409-BDB10E0DDA12}"/>
    <cellStyle name="Normal 5 2 5 6 4" xfId="11570" xr:uid="{32507448-1D22-4219-8537-2C9B0104865C}"/>
    <cellStyle name="Normal 5 2 5 7" xfId="2591" xr:uid="{00000000-0005-0000-0000-000047190000}"/>
    <cellStyle name="Normal 5 2 5 7 2" xfId="6874" xr:uid="{00000000-0005-0000-0000-000048190000}"/>
    <cellStyle name="Normal 5 2 5 7 2 2" xfId="16200" xr:uid="{90E47E08-EB1C-426C-AA4A-83DA80F266C0}"/>
    <cellStyle name="Normal 5 2 5 7 3" xfId="11983" xr:uid="{A9B8C291-23F3-42CB-8D26-7A1024F78CBD}"/>
    <cellStyle name="Normal 5 2 5 8" xfId="4809" xr:uid="{00000000-0005-0000-0000-000049190000}"/>
    <cellStyle name="Normal 5 2 5 8 2" xfId="14135" xr:uid="{66FCFDD0-D95B-4009-B68F-322D39CED12C}"/>
    <cellStyle name="Normal 5 2 5 9" xfId="8847" xr:uid="{504334B5-BB84-4906-81A5-68746D711AC3}"/>
    <cellStyle name="Normal 5 2 5 9 2" xfId="18171" xr:uid="{037B9EF4-32A9-4A79-9D03-3B2FBBD30AB5}"/>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E0CBBA58-79DA-41DE-B8D9-9DBDBD347FE6}"/>
    <cellStyle name="Normal 5 2 6 2 2 3" xfId="12478" xr:uid="{0C375594-B202-4932-A686-53CA570D2D86}"/>
    <cellStyle name="Normal 5 2 6 2 3" xfId="5224" xr:uid="{00000000-0005-0000-0000-00004E190000}"/>
    <cellStyle name="Normal 5 2 6 2 3 2" xfId="14550" xr:uid="{F545F346-28A4-4BF6-9D58-14F97C89459C}"/>
    <cellStyle name="Normal 5 2 6 2 4" xfId="9388" xr:uid="{38BE55A5-085B-499D-8766-DF826B77D03C}"/>
    <cellStyle name="Normal 5 2 6 2 4 2" xfId="18703" xr:uid="{82B288DB-F58C-4902-9DA1-41CBBAC526AA}"/>
    <cellStyle name="Normal 5 2 6 2 5" xfId="10333" xr:uid="{86209C30-38A1-47CB-8D02-E73D4B451393}"/>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2FC6CB38-5839-4F8F-8377-F45102996386}"/>
    <cellStyle name="Normal 5 2 6 3 2 3" xfId="12891" xr:uid="{4E73222E-BF64-4936-8CBE-AECE315CB02D}"/>
    <cellStyle name="Normal 5 2 6 3 3" xfId="5637" xr:uid="{00000000-0005-0000-0000-000052190000}"/>
    <cellStyle name="Normal 5 2 6 3 3 2" xfId="14963" xr:uid="{52551B30-6890-4E47-8255-5FC134D87079}"/>
    <cellStyle name="Normal 5 2 6 3 4" xfId="10746" xr:uid="{8337F06A-7A9E-4D4D-8AE8-5F0F5E546E29}"/>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B2D3E888-5A3B-4209-AB30-C1C1BE43D9DE}"/>
    <cellStyle name="Normal 5 2 6 4 2 3" xfId="13304" xr:uid="{5B0A48C3-F749-419E-A718-697BD5699140}"/>
    <cellStyle name="Normal 5 2 6 4 3" xfId="6050" xr:uid="{00000000-0005-0000-0000-000056190000}"/>
    <cellStyle name="Normal 5 2 6 4 3 2" xfId="15376" xr:uid="{E8EC5E61-0D0E-4C8B-9708-654044D07C0D}"/>
    <cellStyle name="Normal 5 2 6 4 4" xfId="11159" xr:uid="{70DE803D-75CB-4645-9A8E-F482BCB4345E}"/>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D7C3D2E5-DBF9-4750-9095-C21EE7C0CCAE}"/>
    <cellStyle name="Normal 5 2 6 5 2 3" xfId="13717" xr:uid="{CF192294-D8FD-4C0E-A608-F80BBB4E6E77}"/>
    <cellStyle name="Normal 5 2 6 5 3" xfId="6463" xr:uid="{00000000-0005-0000-0000-00005A190000}"/>
    <cellStyle name="Normal 5 2 6 5 3 2" xfId="15789" xr:uid="{EDDA1F3E-47FA-4DE8-87EF-EAF2CFE4D7F2}"/>
    <cellStyle name="Normal 5 2 6 5 4" xfId="11572" xr:uid="{75C6AABC-B2FE-457F-B259-A44D53CD6DE4}"/>
    <cellStyle name="Normal 5 2 6 6" xfId="2593" xr:uid="{00000000-0005-0000-0000-00005B190000}"/>
    <cellStyle name="Normal 5 2 6 6 2" xfId="6876" xr:uid="{00000000-0005-0000-0000-00005C190000}"/>
    <cellStyle name="Normal 5 2 6 6 2 2" xfId="16202" xr:uid="{39C0EFCF-112F-4688-948D-9DA7A7C346C1}"/>
    <cellStyle name="Normal 5 2 6 6 3" xfId="11985" xr:uid="{CDAB92CF-4C51-4076-B021-3F40E4FB316E}"/>
    <cellStyle name="Normal 5 2 6 7" xfId="4811" xr:uid="{00000000-0005-0000-0000-00005D190000}"/>
    <cellStyle name="Normal 5 2 6 7 2" xfId="14137" xr:uid="{913725B0-1902-412A-9D5B-E8CC77CC8985}"/>
    <cellStyle name="Normal 5 2 6 8" xfId="8963" xr:uid="{01BDB756-0B70-4C0D-AC32-9959EE0C8F11}"/>
    <cellStyle name="Normal 5 2 6 8 2" xfId="18287" xr:uid="{24266D7C-5204-495D-96CD-BC1E42E1ECAC}"/>
    <cellStyle name="Normal 5 2 6 9" xfId="9920" xr:uid="{7DC61875-BC72-4A0E-A614-0431EDAE25E0}"/>
    <cellStyle name="Normal 5 2 7" xfId="881" xr:uid="{00000000-0005-0000-0000-00005E190000}"/>
    <cellStyle name="Normal 5 2 7 2" xfId="3116" xr:uid="{00000000-0005-0000-0000-00005F190000}"/>
    <cellStyle name="Normal 5 2 7 2 2" xfId="7338" xr:uid="{00000000-0005-0000-0000-000060190000}"/>
    <cellStyle name="Normal 5 2 7 2 2 2" xfId="16664" xr:uid="{8D658A05-E4F3-4116-9947-2BAF6D0F8AA7}"/>
    <cellStyle name="Normal 5 2 7 2 3" xfId="12447" xr:uid="{8F615D02-3FA6-403B-A826-D6B71428A484}"/>
    <cellStyle name="Normal 5 2 7 3" xfId="5193" xr:uid="{00000000-0005-0000-0000-000061190000}"/>
    <cellStyle name="Normal 5 2 7 3 2" xfId="14519" xr:uid="{36C2207F-71DE-48A7-BAD1-73CF5762A434}"/>
    <cellStyle name="Normal 5 2 7 4" xfId="9166" xr:uid="{903BB692-5043-4803-B109-F7C532EB2A09}"/>
    <cellStyle name="Normal 5 2 7 4 2" xfId="18484" xr:uid="{B6CDE534-42E7-4401-BB88-67EBD41C3D1D}"/>
    <cellStyle name="Normal 5 2 7 5" xfId="10302" xr:uid="{43EEF6CA-3054-4E33-A84F-1F13FB9C125E}"/>
    <cellStyle name="Normal 5 2 8" xfId="1299" xr:uid="{00000000-0005-0000-0000-000062190000}"/>
    <cellStyle name="Normal 5 2 8 2" xfId="3529" xr:uid="{00000000-0005-0000-0000-000063190000}"/>
    <cellStyle name="Normal 5 2 8 2 2" xfId="7751" xr:uid="{00000000-0005-0000-0000-000064190000}"/>
    <cellStyle name="Normal 5 2 8 2 2 2" xfId="17077" xr:uid="{E7E51B8C-6E50-42C8-ABFA-94851CE4132D}"/>
    <cellStyle name="Normal 5 2 8 2 3" xfId="12860" xr:uid="{D8AD6E3D-CF05-459C-A988-C600CBDFF4BD}"/>
    <cellStyle name="Normal 5 2 8 3" xfId="5606" xr:uid="{00000000-0005-0000-0000-000065190000}"/>
    <cellStyle name="Normal 5 2 8 3 2" xfId="14932" xr:uid="{0AED01A2-6C9B-441C-9955-D0D5871A7613}"/>
    <cellStyle name="Normal 5 2 8 4" xfId="10715" xr:uid="{2BC2DE27-21D1-4AB3-8B25-6AC5BA7CB872}"/>
    <cellStyle name="Normal 5 2 9" xfId="1712" xr:uid="{00000000-0005-0000-0000-000066190000}"/>
    <cellStyle name="Normal 5 2 9 2" xfId="3942" xr:uid="{00000000-0005-0000-0000-000067190000}"/>
    <cellStyle name="Normal 5 2 9 2 2" xfId="8164" xr:uid="{00000000-0005-0000-0000-000068190000}"/>
    <cellStyle name="Normal 5 2 9 2 2 2" xfId="17490" xr:uid="{299415BE-943D-4AB9-A141-BF5666D527B5}"/>
    <cellStyle name="Normal 5 2 9 2 3" xfId="13273" xr:uid="{ED349C82-6E4F-42B8-ACC4-51DD05C80FC0}"/>
    <cellStyle name="Normal 5 2 9 3" xfId="6019" xr:uid="{00000000-0005-0000-0000-000069190000}"/>
    <cellStyle name="Normal 5 2 9 3 2" xfId="15345" xr:uid="{5C1CBF12-1322-47B6-83E8-E918545F7531}"/>
    <cellStyle name="Normal 5 2 9 4" xfId="11128" xr:uid="{1149B577-CC18-4AC3-96C9-73C64917B372}"/>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BAC71720-DC78-4561-BC79-FA9752230E6D}"/>
    <cellStyle name="Normal 5 3 10 2 3" xfId="13718" xr:uid="{A005B0BB-7208-49EF-9AEF-B89F523B4636}"/>
    <cellStyle name="Normal 5 3 10 3" xfId="6464" xr:uid="{00000000-0005-0000-0000-00006E190000}"/>
    <cellStyle name="Normal 5 3 10 3 2" xfId="15790" xr:uid="{6429F194-B110-409C-AA8C-65AC2445AFF1}"/>
    <cellStyle name="Normal 5 3 10 4" xfId="11573" xr:uid="{2ED7C8C0-6A40-4A58-ACFA-B7D30D4668CA}"/>
    <cellStyle name="Normal 5 3 11" xfId="2594" xr:uid="{00000000-0005-0000-0000-00006F190000}"/>
    <cellStyle name="Normal 5 3 11 2" xfId="6877" xr:uid="{00000000-0005-0000-0000-000070190000}"/>
    <cellStyle name="Normal 5 3 11 2 2" xfId="16203" xr:uid="{84BB4923-A82C-425B-AA08-A838594A22BD}"/>
    <cellStyle name="Normal 5 3 11 3" xfId="11986" xr:uid="{6F6D23DC-4F13-4AAA-8737-F82E3EEDDF71}"/>
    <cellStyle name="Normal 5 3 12" xfId="4812" xr:uid="{00000000-0005-0000-0000-000071190000}"/>
    <cellStyle name="Normal 5 3 12 2" xfId="14138" xr:uid="{D167DD98-8567-4735-979F-ED719D6CCBB4}"/>
    <cellStyle name="Normal 5 3 13" xfId="8750" xr:uid="{36957AEF-D081-4A23-AEE3-073A5901863C}"/>
    <cellStyle name="Normal 5 3 13 2" xfId="18074" xr:uid="{7479EF83-52D8-47A1-AF4A-0B7A54DC3FD4}"/>
    <cellStyle name="Normal 5 3 14" xfId="9921" xr:uid="{28EB0020-B5D0-49BF-85A0-0FC695E24831}"/>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39BB1F6E-A641-4151-9640-7ABC9E6413B0}"/>
    <cellStyle name="Normal 5 3 3 11" xfId="8782" xr:uid="{4219AD28-469A-4693-BD0B-B0536AC433E5}"/>
    <cellStyle name="Normal 5 3 3 11 2" xfId="18106" xr:uid="{A0BAE97C-7C66-41FC-B698-AB7CF1F70AEC}"/>
    <cellStyle name="Normal 5 3 3 12" xfId="9922" xr:uid="{BC6E8095-CB43-47D9-9577-EC63938864F7}"/>
    <cellStyle name="Normal 5 3 3 2" xfId="442" xr:uid="{00000000-0005-0000-0000-000076190000}"/>
    <cellStyle name="Normal 5 3 3 2 10" xfId="8832" xr:uid="{03323DDB-E4E1-4078-8BBE-EA3DD4471E1B}"/>
    <cellStyle name="Normal 5 3 3 2 10 2" xfId="18156" xr:uid="{608B3A49-570B-4DB6-815E-E4BC0F7DBF46}"/>
    <cellStyle name="Normal 5 3 3 2 11" xfId="9923" xr:uid="{D10E869E-2CC1-4B7F-83BB-0E3401D40657}"/>
    <cellStyle name="Normal 5 3 3 2 2" xfId="443" xr:uid="{00000000-0005-0000-0000-000077190000}"/>
    <cellStyle name="Normal 5 3 3 2 2 10" xfId="9924" xr:uid="{833C5A97-F644-40EA-B9F7-86715A9A9927}"/>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2C12E20E-B94F-4B68-8711-AFD0642D27CB}"/>
    <cellStyle name="Normal 5 3 3 2 2 2 2 2 3" xfId="12483" xr:uid="{9D574FDB-949F-4185-9B56-B8D2ECBEB886}"/>
    <cellStyle name="Normal 5 3 3 2 2 2 2 3" xfId="5229" xr:uid="{00000000-0005-0000-0000-00007C190000}"/>
    <cellStyle name="Normal 5 3 3 2 2 2 2 3 2" xfId="14555" xr:uid="{C2161EE7-D93C-4081-BBF2-E868F1866A83}"/>
    <cellStyle name="Normal 5 3 3 2 2 2 2 4" xfId="9567" xr:uid="{C2519486-6BC5-47D1-879F-EC6040BC9E9D}"/>
    <cellStyle name="Normal 5 3 3 2 2 2 2 4 2" xfId="18882" xr:uid="{6C85C1FD-AD31-4410-9282-BCAC8DFA9491}"/>
    <cellStyle name="Normal 5 3 3 2 2 2 2 5" xfId="10338" xr:uid="{E265F315-6D15-4264-8C74-502D15FA5998}"/>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EE6066EA-907D-47ED-926E-DC300E21F11E}"/>
    <cellStyle name="Normal 5 3 3 2 2 2 3 2 3" xfId="12896" xr:uid="{C02DBE74-44DE-4DA6-8F74-C2A7B53BC377}"/>
    <cellStyle name="Normal 5 3 3 2 2 2 3 3" xfId="5642" xr:uid="{00000000-0005-0000-0000-000080190000}"/>
    <cellStyle name="Normal 5 3 3 2 2 2 3 3 2" xfId="14968" xr:uid="{6EF16690-CE17-4F51-9B20-7354FB9059AC}"/>
    <cellStyle name="Normal 5 3 3 2 2 2 3 4" xfId="10751" xr:uid="{5185DC6E-0493-4445-B32C-F5BE384F5A82}"/>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48C8B4A5-BC83-4886-A625-C805D6ADC03A}"/>
    <cellStyle name="Normal 5 3 3 2 2 2 4 2 3" xfId="13309" xr:uid="{5D4F21CF-D820-4437-B28F-EC447F8954F9}"/>
    <cellStyle name="Normal 5 3 3 2 2 2 4 3" xfId="6055" xr:uid="{00000000-0005-0000-0000-000084190000}"/>
    <cellStyle name="Normal 5 3 3 2 2 2 4 3 2" xfId="15381" xr:uid="{8615F1F3-A451-49B2-9ED0-133C83C3002F}"/>
    <cellStyle name="Normal 5 3 3 2 2 2 4 4" xfId="11164" xr:uid="{06B0489E-A291-4D9D-85ED-79CD10BFAA41}"/>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57BF7CCA-833A-4E48-A8A5-29C6B453B2D1}"/>
    <cellStyle name="Normal 5 3 3 2 2 2 5 2 3" xfId="13722" xr:uid="{C4312A6D-F387-4350-BEEF-F94518FDBF74}"/>
    <cellStyle name="Normal 5 3 3 2 2 2 5 3" xfId="6468" xr:uid="{00000000-0005-0000-0000-000088190000}"/>
    <cellStyle name="Normal 5 3 3 2 2 2 5 3 2" xfId="15794" xr:uid="{8C351983-F93F-431F-98F8-B5D5333CAE20}"/>
    <cellStyle name="Normal 5 3 3 2 2 2 5 4" xfId="11577" xr:uid="{AB06CADD-33F0-4BC3-9A21-B2F84631291C}"/>
    <cellStyle name="Normal 5 3 3 2 2 2 6" xfId="2598" xr:uid="{00000000-0005-0000-0000-000089190000}"/>
    <cellStyle name="Normal 5 3 3 2 2 2 6 2" xfId="6881" xr:uid="{00000000-0005-0000-0000-00008A190000}"/>
    <cellStyle name="Normal 5 3 3 2 2 2 6 2 2" xfId="16207" xr:uid="{1C8E0FE1-5AE8-4935-B73F-0D304C076A20}"/>
    <cellStyle name="Normal 5 3 3 2 2 2 6 3" xfId="11990" xr:uid="{6182B367-4B97-4FC7-B26B-57202C0E8D19}"/>
    <cellStyle name="Normal 5 3 3 2 2 2 7" xfId="4816" xr:uid="{00000000-0005-0000-0000-00008B190000}"/>
    <cellStyle name="Normal 5 3 3 2 2 2 7 2" xfId="14142" xr:uid="{47FFFC4E-2CCC-41FC-89FA-007ECDE77781}"/>
    <cellStyle name="Normal 5 3 3 2 2 2 8" xfId="9142" xr:uid="{81CF9711-3A0B-4712-8E8F-033C974AA9E3}"/>
    <cellStyle name="Normal 5 3 3 2 2 2 8 2" xfId="18466" xr:uid="{4751058E-638C-46AC-8096-1F5870A80743}"/>
    <cellStyle name="Normal 5 3 3 2 2 2 9" xfId="9925" xr:uid="{5C353BA6-0F38-479D-8F56-737A847FD588}"/>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8B2E8C52-1E1B-4EBE-B4F8-B18B68722A6D}"/>
    <cellStyle name="Normal 5 3 3 2 2 3 2 3" xfId="12482" xr:uid="{C1E3C11E-BDF4-4DE9-B155-341393AEE9B3}"/>
    <cellStyle name="Normal 5 3 3 2 2 3 3" xfId="5228" xr:uid="{00000000-0005-0000-0000-00008F190000}"/>
    <cellStyle name="Normal 5 3 3 2 2 3 3 2" xfId="14554" xr:uid="{5BD41BA5-0A34-4BE1-AF1F-E8FDE54F5890}"/>
    <cellStyle name="Normal 5 3 3 2 2 3 4" xfId="9360" xr:uid="{07447062-3C9B-4A41-BE9D-50DE495FF588}"/>
    <cellStyle name="Normal 5 3 3 2 2 3 4 2" xfId="18675" xr:uid="{D061CBAE-BB98-40F4-9DA3-56A76CBC40B6}"/>
    <cellStyle name="Normal 5 3 3 2 2 3 5" xfId="10337" xr:uid="{DE286BBB-A912-4D54-9EC8-7EC88439F0B9}"/>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3C347188-5C3B-430B-81C4-5513B1ADFDD7}"/>
    <cellStyle name="Normal 5 3 3 2 2 4 2 3" xfId="12895" xr:uid="{F9341AE4-5D11-4CDB-80DD-75C3665CE3D2}"/>
    <cellStyle name="Normal 5 3 3 2 2 4 3" xfId="5641" xr:uid="{00000000-0005-0000-0000-000093190000}"/>
    <cellStyle name="Normal 5 3 3 2 2 4 3 2" xfId="14967" xr:uid="{16EFEB6E-BEC2-4B2B-BAD2-F83E3ECA4741}"/>
    <cellStyle name="Normal 5 3 3 2 2 4 4" xfId="10750" xr:uid="{744B357F-9552-474D-9A7D-CED99BE21DD1}"/>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1DB68ACC-BCFD-423F-BAEE-7D69C0368CBA}"/>
    <cellStyle name="Normal 5 3 3 2 2 5 2 3" xfId="13308" xr:uid="{3A47432A-D2CD-4801-AB82-3D366443DEBE}"/>
    <cellStyle name="Normal 5 3 3 2 2 5 3" xfId="6054" xr:uid="{00000000-0005-0000-0000-000097190000}"/>
    <cellStyle name="Normal 5 3 3 2 2 5 3 2" xfId="15380" xr:uid="{7157997A-584C-4AA8-AC50-3D6B2F8D0BA9}"/>
    <cellStyle name="Normal 5 3 3 2 2 5 4" xfId="11163" xr:uid="{C3BB0B6F-02FD-4A9D-BD21-DF69CB7BFE93}"/>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89D0AC7C-A405-4A73-9A27-D0CFFEFD805F}"/>
    <cellStyle name="Normal 5 3 3 2 2 6 2 3" xfId="13721" xr:uid="{D496294B-20D6-425B-9CC2-25B4C1E635F0}"/>
    <cellStyle name="Normal 5 3 3 2 2 6 3" xfId="6467" xr:uid="{00000000-0005-0000-0000-00009B190000}"/>
    <cellStyle name="Normal 5 3 3 2 2 6 3 2" xfId="15793" xr:uid="{5E435D18-4827-426E-8414-C43A8A2E2E3A}"/>
    <cellStyle name="Normal 5 3 3 2 2 6 4" xfId="11576" xr:uid="{9086914C-545C-4435-BBE3-4C568FBB676F}"/>
    <cellStyle name="Normal 5 3 3 2 2 7" xfId="2597" xr:uid="{00000000-0005-0000-0000-00009C190000}"/>
    <cellStyle name="Normal 5 3 3 2 2 7 2" xfId="6880" xr:uid="{00000000-0005-0000-0000-00009D190000}"/>
    <cellStyle name="Normal 5 3 3 2 2 7 2 2" xfId="16206" xr:uid="{2AEF1331-08F5-438F-B8A5-6B7BE2CDF0C8}"/>
    <cellStyle name="Normal 5 3 3 2 2 7 3" xfId="11989" xr:uid="{50F3CA7D-E68A-4158-B87E-E5A9259A5B2B}"/>
    <cellStyle name="Normal 5 3 3 2 2 8" xfId="4815" xr:uid="{00000000-0005-0000-0000-00009E190000}"/>
    <cellStyle name="Normal 5 3 3 2 2 8 2" xfId="14141" xr:uid="{2C38462F-E400-4E42-8715-32DD8811CDA6}"/>
    <cellStyle name="Normal 5 3 3 2 2 9" xfId="8935" xr:uid="{94B8766B-0DD5-4CC7-9403-D37FC711344B}"/>
    <cellStyle name="Normal 5 3 3 2 2 9 2" xfId="18259" xr:uid="{6EB5A2D4-C0F0-4194-8F37-85D3C5BEE985}"/>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89B0B75D-1D52-46FD-A717-DBF82AFB8564}"/>
    <cellStyle name="Normal 5 3 3 2 3 2 2 3" xfId="12484" xr:uid="{89FCE678-34B0-4165-B0DA-F065E8548BE5}"/>
    <cellStyle name="Normal 5 3 3 2 3 2 3" xfId="5230" xr:uid="{00000000-0005-0000-0000-0000A3190000}"/>
    <cellStyle name="Normal 5 3 3 2 3 2 3 2" xfId="14556" xr:uid="{B67EE127-F7C9-4EFA-9DBA-6E9837BDC428}"/>
    <cellStyle name="Normal 5 3 3 2 3 2 4" xfId="9464" xr:uid="{6A182EEF-0879-47AD-839A-17D560B4AF3D}"/>
    <cellStyle name="Normal 5 3 3 2 3 2 4 2" xfId="18779" xr:uid="{D097E5C5-2A3D-408F-804E-1E98919EF882}"/>
    <cellStyle name="Normal 5 3 3 2 3 2 5" xfId="10339" xr:uid="{743C6A88-8C48-460B-86D8-D6645A5CC082}"/>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FD56606B-53CD-428C-A961-650129DBBC2B}"/>
    <cellStyle name="Normal 5 3 3 2 3 3 2 3" xfId="12897" xr:uid="{7ACEDD4A-1616-4061-9920-62756EE48345}"/>
    <cellStyle name="Normal 5 3 3 2 3 3 3" xfId="5643" xr:uid="{00000000-0005-0000-0000-0000A7190000}"/>
    <cellStyle name="Normal 5 3 3 2 3 3 3 2" xfId="14969" xr:uid="{33F8E89C-7E08-4B76-B0ED-743137F9D4E1}"/>
    <cellStyle name="Normal 5 3 3 2 3 3 4" xfId="10752" xr:uid="{793055AD-DA3C-4532-BF88-09162447A484}"/>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031C02D2-A4B8-41D5-A90A-732DAEDF2315}"/>
    <cellStyle name="Normal 5 3 3 2 3 4 2 3" xfId="13310" xr:uid="{32E4C79A-31C8-4708-BCDE-C4B6A78EA238}"/>
    <cellStyle name="Normal 5 3 3 2 3 4 3" xfId="6056" xr:uid="{00000000-0005-0000-0000-0000AB190000}"/>
    <cellStyle name="Normal 5 3 3 2 3 4 3 2" xfId="15382" xr:uid="{96EECC90-A14A-4CFC-9203-E3443F182CE8}"/>
    <cellStyle name="Normal 5 3 3 2 3 4 4" xfId="11165" xr:uid="{69E1BDD8-FA35-46CD-AE4F-535789992F6F}"/>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3F2F028C-8B88-4580-B089-327FDC3B9777}"/>
    <cellStyle name="Normal 5 3 3 2 3 5 2 3" xfId="13723" xr:uid="{AFFA232A-021A-4C14-8BE5-2CF8AA69C471}"/>
    <cellStyle name="Normal 5 3 3 2 3 5 3" xfId="6469" xr:uid="{00000000-0005-0000-0000-0000AF190000}"/>
    <cellStyle name="Normal 5 3 3 2 3 5 3 2" xfId="15795" xr:uid="{55BE231C-BA45-491F-B16D-AE26BC07200C}"/>
    <cellStyle name="Normal 5 3 3 2 3 5 4" xfId="11578" xr:uid="{AC449449-52C0-4E23-9D3E-5733C79B89A9}"/>
    <cellStyle name="Normal 5 3 3 2 3 6" xfId="2599" xr:uid="{00000000-0005-0000-0000-0000B0190000}"/>
    <cellStyle name="Normal 5 3 3 2 3 6 2" xfId="6882" xr:uid="{00000000-0005-0000-0000-0000B1190000}"/>
    <cellStyle name="Normal 5 3 3 2 3 6 2 2" xfId="16208" xr:uid="{F76D6CD0-17C9-4282-AD0D-DCB92AC352D5}"/>
    <cellStyle name="Normal 5 3 3 2 3 6 3" xfId="11991" xr:uid="{722CF95B-E690-4A92-BD3B-637C82986D40}"/>
    <cellStyle name="Normal 5 3 3 2 3 7" xfId="4817" xr:uid="{00000000-0005-0000-0000-0000B2190000}"/>
    <cellStyle name="Normal 5 3 3 2 3 7 2" xfId="14143" xr:uid="{6DC05BBB-C64F-4541-BE8A-3C22B6C591A4}"/>
    <cellStyle name="Normal 5 3 3 2 3 8" xfId="9039" xr:uid="{84D80CE6-A0CA-4841-8673-26EA7EC6806D}"/>
    <cellStyle name="Normal 5 3 3 2 3 8 2" xfId="18363" xr:uid="{9E7A2030-51FD-4DEA-A8D8-42542B1F4A9E}"/>
    <cellStyle name="Normal 5 3 3 2 3 9" xfId="9926" xr:uid="{40BAE803-F814-4AE7-85A9-B038BFD171B0}"/>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83CB4735-1321-4EEE-8525-2CF57A9F27BC}"/>
    <cellStyle name="Normal 5 3 3 2 4 2 3" xfId="12481" xr:uid="{0762BCCE-7E89-4314-9FF2-E7AAD7A5A365}"/>
    <cellStyle name="Normal 5 3 3 2 4 3" xfId="5227" xr:uid="{00000000-0005-0000-0000-0000B6190000}"/>
    <cellStyle name="Normal 5 3 3 2 4 3 2" xfId="14553" xr:uid="{9A8AC485-A670-4208-9F1D-B1FF7810F67A}"/>
    <cellStyle name="Normal 5 3 3 2 4 4" xfId="9257" xr:uid="{E6656214-6E5B-491F-B1E3-227CB6568726}"/>
    <cellStyle name="Normal 5 3 3 2 4 4 2" xfId="18572" xr:uid="{DBBE1303-46F7-475F-94D1-BF9A674B48AA}"/>
    <cellStyle name="Normal 5 3 3 2 4 5" xfId="10336" xr:uid="{5147CE28-8ADC-41AC-8A3B-7484959493AF}"/>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82EEDC58-070E-4B18-8169-AEA596D353E4}"/>
    <cellStyle name="Normal 5 3 3 2 5 2 3" xfId="12894" xr:uid="{368C12AC-80C4-47AB-9E55-3535447E3067}"/>
    <cellStyle name="Normal 5 3 3 2 5 3" xfId="5640" xr:uid="{00000000-0005-0000-0000-0000BA190000}"/>
    <cellStyle name="Normal 5 3 3 2 5 3 2" xfId="14966" xr:uid="{30A24FB3-F3D4-40F4-BE8C-31C82095EB15}"/>
    <cellStyle name="Normal 5 3 3 2 5 4" xfId="10749" xr:uid="{71981A35-2ABF-4CED-A06B-BE7AB72A9B07}"/>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EEA91607-2A69-44C2-9C5C-D880ABB5D587}"/>
    <cellStyle name="Normal 5 3 3 2 6 2 3" xfId="13307" xr:uid="{293F42E2-2680-413A-8457-6B1C55BF1D55}"/>
    <cellStyle name="Normal 5 3 3 2 6 3" xfId="6053" xr:uid="{00000000-0005-0000-0000-0000BE190000}"/>
    <cellStyle name="Normal 5 3 3 2 6 3 2" xfId="15379" xr:uid="{A24E5DA4-45F0-48EB-8301-FBFCEF3A93C0}"/>
    <cellStyle name="Normal 5 3 3 2 6 4" xfId="11162" xr:uid="{F1F57D11-8753-4364-963A-F7CE412D3D38}"/>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BAD7BB4C-9C4E-4812-81A1-7FBEF61FB575}"/>
    <cellStyle name="Normal 5 3 3 2 7 2 3" xfId="13720" xr:uid="{5FC15D12-DE62-4C1F-AFA8-7F3C0E73EC5F}"/>
    <cellStyle name="Normal 5 3 3 2 7 3" xfId="6466" xr:uid="{00000000-0005-0000-0000-0000C2190000}"/>
    <cellStyle name="Normal 5 3 3 2 7 3 2" xfId="15792" xr:uid="{95691A27-2943-4E4B-ACA4-08672AF8AC31}"/>
    <cellStyle name="Normal 5 3 3 2 7 4" xfId="11575" xr:uid="{04C0F9C1-FCCF-4079-9D23-A44C2E9EF367}"/>
    <cellStyle name="Normal 5 3 3 2 8" xfId="2596" xr:uid="{00000000-0005-0000-0000-0000C3190000}"/>
    <cellStyle name="Normal 5 3 3 2 8 2" xfId="6879" xr:uid="{00000000-0005-0000-0000-0000C4190000}"/>
    <cellStyle name="Normal 5 3 3 2 8 2 2" xfId="16205" xr:uid="{7E389A43-1639-4DF5-A960-BA4F4313A629}"/>
    <cellStyle name="Normal 5 3 3 2 8 3" xfId="11988" xr:uid="{EED9F57A-FAFA-470F-83AB-892CE7AFE3CA}"/>
    <cellStyle name="Normal 5 3 3 2 9" xfId="4814" xr:uid="{00000000-0005-0000-0000-0000C5190000}"/>
    <cellStyle name="Normal 5 3 3 2 9 2" xfId="14140" xr:uid="{B254175E-B0B1-4273-B239-B45CA6DE7620}"/>
    <cellStyle name="Normal 5 3 3 3" xfId="446" xr:uid="{00000000-0005-0000-0000-0000C6190000}"/>
    <cellStyle name="Normal 5 3 3 3 10" xfId="9927" xr:uid="{42EA1D87-722B-4B53-9230-EA58C0A9AB8E}"/>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303FD78C-E0CD-4E6B-ACCF-B243B4B8FB60}"/>
    <cellStyle name="Normal 5 3 3 3 2 2 2 3" xfId="12486" xr:uid="{A44C8B7A-F540-4369-963A-188F6F476F72}"/>
    <cellStyle name="Normal 5 3 3 3 2 2 3" xfId="5232" xr:uid="{00000000-0005-0000-0000-0000CB190000}"/>
    <cellStyle name="Normal 5 3 3 3 2 2 3 2" xfId="14558" xr:uid="{11B1CF21-91E3-4F3F-B61D-F2D85A99DD58}"/>
    <cellStyle name="Normal 5 3 3 3 2 2 4" xfId="9517" xr:uid="{EA62A3B1-8ED5-4A6F-ACE0-B924BC16AA9E}"/>
    <cellStyle name="Normal 5 3 3 3 2 2 4 2" xfId="18832" xr:uid="{9D7B6579-D42F-4F69-B4E3-0CF4A5B4337D}"/>
    <cellStyle name="Normal 5 3 3 3 2 2 5" xfId="10341" xr:uid="{44CF82E4-F9F1-4E26-B551-838DDA9B5E97}"/>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2D54115A-0292-4A40-BE35-FC5640A921FF}"/>
    <cellStyle name="Normal 5 3 3 3 2 3 2 3" xfId="12899" xr:uid="{E2DD1CCF-A7B4-471A-8D83-0830A5A6E669}"/>
    <cellStyle name="Normal 5 3 3 3 2 3 3" xfId="5645" xr:uid="{00000000-0005-0000-0000-0000CF190000}"/>
    <cellStyle name="Normal 5 3 3 3 2 3 3 2" xfId="14971" xr:uid="{6A96A48F-1B4A-42DF-85D1-B04BC912BA64}"/>
    <cellStyle name="Normal 5 3 3 3 2 3 4" xfId="10754" xr:uid="{8503C6D8-566E-425C-9C33-F0954644DDB3}"/>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C408313E-A684-4A88-A88C-CAB2CCD1D2E3}"/>
    <cellStyle name="Normal 5 3 3 3 2 4 2 3" xfId="13312" xr:uid="{2B75CB3C-C572-4010-A50C-5EE23871F17C}"/>
    <cellStyle name="Normal 5 3 3 3 2 4 3" xfId="6058" xr:uid="{00000000-0005-0000-0000-0000D3190000}"/>
    <cellStyle name="Normal 5 3 3 3 2 4 3 2" xfId="15384" xr:uid="{9E6B71DA-3FFF-47FA-84CA-A0AAF69209EC}"/>
    <cellStyle name="Normal 5 3 3 3 2 4 4" xfId="11167" xr:uid="{21B3E246-BD15-44EE-A5B0-8CABB35FED45}"/>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58C3C11E-A806-4B6B-B4E2-02594280FBE8}"/>
    <cellStyle name="Normal 5 3 3 3 2 5 2 3" xfId="13725" xr:uid="{96A35CED-89DD-4356-855F-41A907126B53}"/>
    <cellStyle name="Normal 5 3 3 3 2 5 3" xfId="6471" xr:uid="{00000000-0005-0000-0000-0000D7190000}"/>
    <cellStyle name="Normal 5 3 3 3 2 5 3 2" xfId="15797" xr:uid="{283C75CC-75F2-4B55-8A19-1AAF19C16819}"/>
    <cellStyle name="Normal 5 3 3 3 2 5 4" xfId="11580" xr:uid="{AD977FBB-1DBD-4F91-B4C8-F083923D2C10}"/>
    <cellStyle name="Normal 5 3 3 3 2 6" xfId="2601" xr:uid="{00000000-0005-0000-0000-0000D8190000}"/>
    <cellStyle name="Normal 5 3 3 3 2 6 2" xfId="6884" xr:uid="{00000000-0005-0000-0000-0000D9190000}"/>
    <cellStyle name="Normal 5 3 3 3 2 6 2 2" xfId="16210" xr:uid="{9D8C4BA1-0419-4916-BD13-B52D71F0BBEA}"/>
    <cellStyle name="Normal 5 3 3 3 2 6 3" xfId="11993" xr:uid="{E47C55BD-6A3A-420F-AF4E-F13EA2D4F9EC}"/>
    <cellStyle name="Normal 5 3 3 3 2 7" xfId="4819" xr:uid="{00000000-0005-0000-0000-0000DA190000}"/>
    <cellStyle name="Normal 5 3 3 3 2 7 2" xfId="14145" xr:uid="{E5D35D4B-97CB-4163-9BC8-10A7835AC32B}"/>
    <cellStyle name="Normal 5 3 3 3 2 8" xfId="9092" xr:uid="{A018BC5E-3880-4BA4-8CFB-322C89A13B5F}"/>
    <cellStyle name="Normal 5 3 3 3 2 8 2" xfId="18416" xr:uid="{D37F56A8-E41C-431C-847F-62C6E5D5B0C2}"/>
    <cellStyle name="Normal 5 3 3 3 2 9" xfId="9928" xr:uid="{4F767D19-3CB8-4972-B3A6-3EF73D94D73A}"/>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EF94398C-F7BB-441F-9DD5-B4EA15501972}"/>
    <cellStyle name="Normal 5 3 3 3 3 2 3" xfId="12485" xr:uid="{F612CCDA-1861-43DB-A6BB-E18902AA6144}"/>
    <cellStyle name="Normal 5 3 3 3 3 3" xfId="5231" xr:uid="{00000000-0005-0000-0000-0000DE190000}"/>
    <cellStyle name="Normal 5 3 3 3 3 3 2" xfId="14557" xr:uid="{841955E1-49AF-429D-81BB-0C8E4EF8CEB8}"/>
    <cellStyle name="Normal 5 3 3 3 3 4" xfId="9310" xr:uid="{D169C31A-17C5-4934-97DF-D90479FD2654}"/>
    <cellStyle name="Normal 5 3 3 3 3 4 2" xfId="18625" xr:uid="{80EFB4EB-971E-4982-920C-12D2E0262331}"/>
    <cellStyle name="Normal 5 3 3 3 3 5" xfId="10340" xr:uid="{AAB5D22A-B227-47C8-9895-D502645AAC61}"/>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75CA0AE8-E506-48C2-BD62-7A6A63BFAF4E}"/>
    <cellStyle name="Normal 5 3 3 3 4 2 3" xfId="12898" xr:uid="{53D7835F-5C5F-43CB-A51A-FD7487033AE2}"/>
    <cellStyle name="Normal 5 3 3 3 4 3" xfId="5644" xr:uid="{00000000-0005-0000-0000-0000E2190000}"/>
    <cellStyle name="Normal 5 3 3 3 4 3 2" xfId="14970" xr:uid="{FF527AD2-FD56-421D-8F28-3CFCDE8E6005}"/>
    <cellStyle name="Normal 5 3 3 3 4 4" xfId="10753" xr:uid="{13822CFE-1D28-4337-BEE6-FB79A102289B}"/>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562242F8-5A8D-4C28-8C56-E8CF59931F63}"/>
    <cellStyle name="Normal 5 3 3 3 5 2 3" xfId="13311" xr:uid="{4DB3F496-AFE5-422B-B94F-5C44E717AEBF}"/>
    <cellStyle name="Normal 5 3 3 3 5 3" xfId="6057" xr:uid="{00000000-0005-0000-0000-0000E6190000}"/>
    <cellStyle name="Normal 5 3 3 3 5 3 2" xfId="15383" xr:uid="{9D7FEBC2-8434-4C03-B96D-10770B19BFBD}"/>
    <cellStyle name="Normal 5 3 3 3 5 4" xfId="11166" xr:uid="{CB42B6ED-5857-4615-AFF4-F40957DD6B23}"/>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ED3D6E8C-8643-4962-BB73-DD0E7CB8DB99}"/>
    <cellStyle name="Normal 5 3 3 3 6 2 3" xfId="13724" xr:uid="{18E35D5C-57C9-49CE-BB13-EFC2FDC582BE}"/>
    <cellStyle name="Normal 5 3 3 3 6 3" xfId="6470" xr:uid="{00000000-0005-0000-0000-0000EA190000}"/>
    <cellStyle name="Normal 5 3 3 3 6 3 2" xfId="15796" xr:uid="{96CFC78A-111C-485E-9759-837D4DF53BE8}"/>
    <cellStyle name="Normal 5 3 3 3 6 4" xfId="11579" xr:uid="{90CF7E19-BD47-4004-A4A6-ECBAC6EE10D3}"/>
    <cellStyle name="Normal 5 3 3 3 7" xfId="2600" xr:uid="{00000000-0005-0000-0000-0000EB190000}"/>
    <cellStyle name="Normal 5 3 3 3 7 2" xfId="6883" xr:uid="{00000000-0005-0000-0000-0000EC190000}"/>
    <cellStyle name="Normal 5 3 3 3 7 2 2" xfId="16209" xr:uid="{0CB84789-8B5C-497E-BC03-4E7642B42FFF}"/>
    <cellStyle name="Normal 5 3 3 3 7 3" xfId="11992" xr:uid="{7779ABDD-579C-4964-ACC5-B2EB6FF83086}"/>
    <cellStyle name="Normal 5 3 3 3 8" xfId="4818" xr:uid="{00000000-0005-0000-0000-0000ED190000}"/>
    <cellStyle name="Normal 5 3 3 3 8 2" xfId="14144" xr:uid="{E657B956-E2E5-4192-B5FD-5C19C38FA37A}"/>
    <cellStyle name="Normal 5 3 3 3 9" xfId="8885" xr:uid="{BFA59703-C126-4DE9-A819-9190501D5C5B}"/>
    <cellStyle name="Normal 5 3 3 3 9 2" xfId="18209" xr:uid="{5959E641-CD6E-4706-971E-DCA349FA7FA8}"/>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D6E1270E-D7F2-4B95-AAE7-395847D714A0}"/>
    <cellStyle name="Normal 5 3 3 4 2 2 3" xfId="12487" xr:uid="{ADA3E8D9-422E-41E7-9279-D7CF5C36D2AB}"/>
    <cellStyle name="Normal 5 3 3 4 2 3" xfId="5233" xr:uid="{00000000-0005-0000-0000-0000F2190000}"/>
    <cellStyle name="Normal 5 3 3 4 2 3 2" xfId="14559" xr:uid="{8964B619-9746-4628-98AD-979C6F878876}"/>
    <cellStyle name="Normal 5 3 3 4 2 4" xfId="9414" xr:uid="{BD781A4C-FDA7-4D11-87F3-3D38EC19B37A}"/>
    <cellStyle name="Normal 5 3 3 4 2 4 2" xfId="18729" xr:uid="{1802689F-D060-4509-9BC3-6C37D1AFA4CF}"/>
    <cellStyle name="Normal 5 3 3 4 2 5" xfId="10342" xr:uid="{CD12AD52-4743-47F6-B9E8-81C2474DA47F}"/>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0F142A6D-FF68-4E83-8D7A-54287781B6C3}"/>
    <cellStyle name="Normal 5 3 3 4 3 2 3" xfId="12900" xr:uid="{743A52B9-B7DB-45C4-877D-29B854A70A2A}"/>
    <cellStyle name="Normal 5 3 3 4 3 3" xfId="5646" xr:uid="{00000000-0005-0000-0000-0000F6190000}"/>
    <cellStyle name="Normal 5 3 3 4 3 3 2" xfId="14972" xr:uid="{46A4CC64-434C-4908-B422-375D242689A4}"/>
    <cellStyle name="Normal 5 3 3 4 3 4" xfId="10755" xr:uid="{A0324E74-3052-40B2-B2F3-B8C159114E6D}"/>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97D15CFE-E023-4CEA-A021-C542047CE7AD}"/>
    <cellStyle name="Normal 5 3 3 4 4 2 3" xfId="13313" xr:uid="{ABD46042-5E82-4755-AECC-FA840E7B33BC}"/>
    <cellStyle name="Normal 5 3 3 4 4 3" xfId="6059" xr:uid="{00000000-0005-0000-0000-0000FA190000}"/>
    <cellStyle name="Normal 5 3 3 4 4 3 2" xfId="15385" xr:uid="{919B2688-ABDC-49EF-B89A-C7882B0749D7}"/>
    <cellStyle name="Normal 5 3 3 4 4 4" xfId="11168" xr:uid="{F46AF973-A7B6-4395-97E0-97F72B434F59}"/>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33C60CE4-6A93-454B-8750-0AA330693F36}"/>
    <cellStyle name="Normal 5 3 3 4 5 2 3" xfId="13726" xr:uid="{247950D8-D0CE-4E17-B870-92042A7F9E9A}"/>
    <cellStyle name="Normal 5 3 3 4 5 3" xfId="6472" xr:uid="{00000000-0005-0000-0000-0000FE190000}"/>
    <cellStyle name="Normal 5 3 3 4 5 3 2" xfId="15798" xr:uid="{39964CC2-F954-41FF-86CD-8B0B1B30D00B}"/>
    <cellStyle name="Normal 5 3 3 4 5 4" xfId="11581" xr:uid="{4F879788-BA9F-4EC7-AF28-A7939EC036B5}"/>
    <cellStyle name="Normal 5 3 3 4 6" xfId="2602" xr:uid="{00000000-0005-0000-0000-0000FF190000}"/>
    <cellStyle name="Normal 5 3 3 4 6 2" xfId="6885" xr:uid="{00000000-0005-0000-0000-0000001A0000}"/>
    <cellStyle name="Normal 5 3 3 4 6 2 2" xfId="16211" xr:uid="{2C57C47E-24A2-4F99-A7D9-6AE48D07A90C}"/>
    <cellStyle name="Normal 5 3 3 4 6 3" xfId="11994" xr:uid="{39460E37-8FD9-4A10-8A38-6DAA2D7A4CE7}"/>
    <cellStyle name="Normal 5 3 3 4 7" xfId="4820" xr:uid="{00000000-0005-0000-0000-0000011A0000}"/>
    <cellStyle name="Normal 5 3 3 4 7 2" xfId="14146" xr:uid="{38814C9E-7A18-4399-B1F4-27BB4101EF23}"/>
    <cellStyle name="Normal 5 3 3 4 8" xfId="8989" xr:uid="{20FA1483-98E6-46C4-B00B-4EAF7957981D}"/>
    <cellStyle name="Normal 5 3 3 4 8 2" xfId="18313" xr:uid="{CF4F5145-2E36-4D1D-A3B0-46F676DC8162}"/>
    <cellStyle name="Normal 5 3 3 4 9" xfId="9929" xr:uid="{21EDEC0E-9F16-4E88-9331-266B5DA8C90E}"/>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B9F65AC7-0918-4CA5-8A24-46117E15706B}"/>
    <cellStyle name="Normal 5 3 3 5 2 3" xfId="12480" xr:uid="{0CBCADC1-E5D3-4CCA-965B-81132E88D5E6}"/>
    <cellStyle name="Normal 5 3 3 5 3" xfId="5226" xr:uid="{00000000-0005-0000-0000-0000051A0000}"/>
    <cellStyle name="Normal 5 3 3 5 3 2" xfId="14552" xr:uid="{2F3FBB85-E5C1-479C-A2F3-F944C39E104F}"/>
    <cellStyle name="Normal 5 3 3 5 4" xfId="9206" xr:uid="{CA749CBB-EAB5-483B-862D-D7B95A23D45C}"/>
    <cellStyle name="Normal 5 3 3 5 4 2" xfId="18522" xr:uid="{A654FAFC-6470-4027-AB5F-E0357BE7CE2F}"/>
    <cellStyle name="Normal 5 3 3 5 5" xfId="10335" xr:uid="{280018F1-943C-409F-AE17-A267F55F1BC4}"/>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37BDDF99-032A-4846-B21C-CE7E65B7D3A9}"/>
    <cellStyle name="Normal 5 3 3 6 2 3" xfId="12893" xr:uid="{BB9707B7-820C-422E-87A6-FA27AEEB0C57}"/>
    <cellStyle name="Normal 5 3 3 6 3" xfId="5639" xr:uid="{00000000-0005-0000-0000-0000091A0000}"/>
    <cellStyle name="Normal 5 3 3 6 3 2" xfId="14965" xr:uid="{D4D65FB7-2F21-4D8D-8F21-E559C57F8222}"/>
    <cellStyle name="Normal 5 3 3 6 4" xfId="10748" xr:uid="{84AAA011-C4D3-498B-A67C-E36C3379D96B}"/>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7CAF20CD-FD4A-4520-89E3-787AE33B006D}"/>
    <cellStyle name="Normal 5 3 3 7 2 3" xfId="13306" xr:uid="{A3402E71-D4F4-45E9-B939-A3DBDF20EF4D}"/>
    <cellStyle name="Normal 5 3 3 7 3" xfId="6052" xr:uid="{00000000-0005-0000-0000-00000D1A0000}"/>
    <cellStyle name="Normal 5 3 3 7 3 2" xfId="15378" xr:uid="{6213E6A5-198C-4720-AEA2-DACAB5085A4A}"/>
    <cellStyle name="Normal 5 3 3 7 4" xfId="11161" xr:uid="{9841A501-5E16-4868-AF69-444113293006}"/>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09EF63DF-4E23-4DFF-9A1E-1E3A291A3FC8}"/>
    <cellStyle name="Normal 5 3 3 8 2 3" xfId="13719" xr:uid="{D4D340F9-F75B-40F9-AC1D-5F6096CBE2A5}"/>
    <cellStyle name="Normal 5 3 3 8 3" xfId="6465" xr:uid="{00000000-0005-0000-0000-0000111A0000}"/>
    <cellStyle name="Normal 5 3 3 8 3 2" xfId="15791" xr:uid="{0BD8F16A-86BE-4FCD-95CD-797B9AECCA52}"/>
    <cellStyle name="Normal 5 3 3 8 4" xfId="11574" xr:uid="{BEBBEBF2-5CF7-40D5-9670-F2049517726F}"/>
    <cellStyle name="Normal 5 3 3 9" xfId="2595" xr:uid="{00000000-0005-0000-0000-0000121A0000}"/>
    <cellStyle name="Normal 5 3 3 9 2" xfId="6878" xr:uid="{00000000-0005-0000-0000-0000131A0000}"/>
    <cellStyle name="Normal 5 3 3 9 2 2" xfId="16204" xr:uid="{ADA0A9BC-CDF8-4E3B-888C-1336AA3B95BE}"/>
    <cellStyle name="Normal 5 3 3 9 3" xfId="11987" xr:uid="{9765A03E-C450-43BE-A678-88A03249D384}"/>
    <cellStyle name="Normal 5 3 4" xfId="449" xr:uid="{00000000-0005-0000-0000-0000141A0000}"/>
    <cellStyle name="Normal 5 3 4 10" xfId="8831" xr:uid="{39AD872D-FBC2-4C4A-B537-79F8014E4247}"/>
    <cellStyle name="Normal 5 3 4 10 2" xfId="18155" xr:uid="{89D91334-E33E-4873-88E2-39AA23EC304C}"/>
    <cellStyle name="Normal 5 3 4 11" xfId="9930" xr:uid="{AAE90628-EB27-4F1E-BE48-B5756894D8D8}"/>
    <cellStyle name="Normal 5 3 4 2" xfId="450" xr:uid="{00000000-0005-0000-0000-0000151A0000}"/>
    <cellStyle name="Normal 5 3 4 2 10" xfId="9931" xr:uid="{974580D4-8A5F-4899-AB42-B020511729FF}"/>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BBD70D54-2ABB-4495-BB48-18B1345C1029}"/>
    <cellStyle name="Normal 5 3 4 2 2 2 2 3" xfId="12490" xr:uid="{2945066F-3EF9-491A-AEE6-2F026FA09F3C}"/>
    <cellStyle name="Normal 5 3 4 2 2 2 3" xfId="5236" xr:uid="{00000000-0005-0000-0000-00001A1A0000}"/>
    <cellStyle name="Normal 5 3 4 2 2 2 3 2" xfId="14562" xr:uid="{F91DCEF9-E4BB-4E0D-AD36-A0E5D89B2AF0}"/>
    <cellStyle name="Normal 5 3 4 2 2 2 4" xfId="9566" xr:uid="{D483C248-9680-462F-989C-42C712CD6EB7}"/>
    <cellStyle name="Normal 5 3 4 2 2 2 4 2" xfId="18881" xr:uid="{F27CA2E9-99C7-499F-B89C-A759052F4A06}"/>
    <cellStyle name="Normal 5 3 4 2 2 2 5" xfId="10345" xr:uid="{29A2B654-C309-4D5B-91E5-B51CF9A4534C}"/>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28A93C50-D8C9-4886-BC5A-D5E28F46FC8E}"/>
    <cellStyle name="Normal 5 3 4 2 2 3 2 3" xfId="12903" xr:uid="{0930851C-EB88-4461-B631-FCCE37A57C4B}"/>
    <cellStyle name="Normal 5 3 4 2 2 3 3" xfId="5649" xr:uid="{00000000-0005-0000-0000-00001E1A0000}"/>
    <cellStyle name="Normal 5 3 4 2 2 3 3 2" xfId="14975" xr:uid="{912DADD7-1BB4-4767-8230-D2282B5A8B37}"/>
    <cellStyle name="Normal 5 3 4 2 2 3 4" xfId="10758" xr:uid="{417C0569-5E70-4D90-83A2-C172261DD4D5}"/>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B7FBCF5D-9939-447E-8F49-877545D54A0F}"/>
    <cellStyle name="Normal 5 3 4 2 2 4 2 3" xfId="13316" xr:uid="{676A71E5-61B9-40E8-94C2-C5CAD0499934}"/>
    <cellStyle name="Normal 5 3 4 2 2 4 3" xfId="6062" xr:uid="{00000000-0005-0000-0000-0000221A0000}"/>
    <cellStyle name="Normal 5 3 4 2 2 4 3 2" xfId="15388" xr:uid="{B885623F-26A3-4D3C-BC67-21D8CD13A5B9}"/>
    <cellStyle name="Normal 5 3 4 2 2 4 4" xfId="11171" xr:uid="{D41A3525-5E35-4DBB-B1FF-FFEB1953729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4755017E-6DB2-4D20-AE61-22E5D8634033}"/>
    <cellStyle name="Normal 5 3 4 2 2 5 2 3" xfId="13729" xr:uid="{35DB848C-8B92-4616-B0C1-0EBAB47B0A16}"/>
    <cellStyle name="Normal 5 3 4 2 2 5 3" xfId="6475" xr:uid="{00000000-0005-0000-0000-0000261A0000}"/>
    <cellStyle name="Normal 5 3 4 2 2 5 3 2" xfId="15801" xr:uid="{BE8979B9-86B1-43E4-9DB0-4F2CC808B37A}"/>
    <cellStyle name="Normal 5 3 4 2 2 5 4" xfId="11584" xr:uid="{9871D5A8-11C6-48B8-83D2-33A80F090CF4}"/>
    <cellStyle name="Normal 5 3 4 2 2 6" xfId="2605" xr:uid="{00000000-0005-0000-0000-0000271A0000}"/>
    <cellStyle name="Normal 5 3 4 2 2 6 2" xfId="6888" xr:uid="{00000000-0005-0000-0000-0000281A0000}"/>
    <cellStyle name="Normal 5 3 4 2 2 6 2 2" xfId="16214" xr:uid="{940B2D0D-8471-471E-AFC1-2441A2049619}"/>
    <cellStyle name="Normal 5 3 4 2 2 6 3" xfId="11997" xr:uid="{9F1BC6E0-88C0-4D40-9FA0-B1E17C0D7080}"/>
    <cellStyle name="Normal 5 3 4 2 2 7" xfId="4823" xr:uid="{00000000-0005-0000-0000-0000291A0000}"/>
    <cellStyle name="Normal 5 3 4 2 2 7 2" xfId="14149" xr:uid="{81767971-7F65-42A9-BC03-34597A15BFBE}"/>
    <cellStyle name="Normal 5 3 4 2 2 8" xfId="9141" xr:uid="{6B63A6D0-0E60-498B-8E53-451D5144533A}"/>
    <cellStyle name="Normal 5 3 4 2 2 8 2" xfId="18465" xr:uid="{AAB0CFAD-102E-40F0-BCD0-51C4F240516C}"/>
    <cellStyle name="Normal 5 3 4 2 2 9" xfId="9932" xr:uid="{A6A06C51-5A59-4D9F-9994-6C4E41945EFC}"/>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76FB0349-2EF8-4272-974C-1742A6D151DD}"/>
    <cellStyle name="Normal 5 3 4 2 3 2 3" xfId="12489" xr:uid="{2EAE7D0A-090F-4C44-B0E9-C8AF70E0A0E6}"/>
    <cellStyle name="Normal 5 3 4 2 3 3" xfId="5235" xr:uid="{00000000-0005-0000-0000-00002D1A0000}"/>
    <cellStyle name="Normal 5 3 4 2 3 3 2" xfId="14561" xr:uid="{B8CAF9E7-6F47-4C15-9AEE-3EAFB633FEC5}"/>
    <cellStyle name="Normal 5 3 4 2 3 4" xfId="9359" xr:uid="{FAC41203-2BC4-411F-9296-10781BA4F1AB}"/>
    <cellStyle name="Normal 5 3 4 2 3 4 2" xfId="18674" xr:uid="{3116EB2E-EBAB-436E-8F83-804125D7FA71}"/>
    <cellStyle name="Normal 5 3 4 2 3 5" xfId="10344" xr:uid="{0520F8B7-14CA-4717-9D94-BA453EB6ECB9}"/>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13E814C8-0DBD-4AD6-B349-B740A0597405}"/>
    <cellStyle name="Normal 5 3 4 2 4 2 3" xfId="12902" xr:uid="{7922CE5E-E37A-4185-BA80-E0414DFB3A8B}"/>
    <cellStyle name="Normal 5 3 4 2 4 3" xfId="5648" xr:uid="{00000000-0005-0000-0000-0000311A0000}"/>
    <cellStyle name="Normal 5 3 4 2 4 3 2" xfId="14974" xr:uid="{64CC18C4-2480-4D8C-A027-04A65B7B174F}"/>
    <cellStyle name="Normal 5 3 4 2 4 4" xfId="10757" xr:uid="{B99174B4-FC5A-4CC9-ADDF-028FA770D78F}"/>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D3820380-1B79-4826-9EE7-EBAE323BCBD4}"/>
    <cellStyle name="Normal 5 3 4 2 5 2 3" xfId="13315" xr:uid="{E0FB69D5-E2F0-4248-B688-1FE6A4B4EB72}"/>
    <cellStyle name="Normal 5 3 4 2 5 3" xfId="6061" xr:uid="{00000000-0005-0000-0000-0000351A0000}"/>
    <cellStyle name="Normal 5 3 4 2 5 3 2" xfId="15387" xr:uid="{C6D5387B-351B-474F-AC55-1D6DB9E6464B}"/>
    <cellStyle name="Normal 5 3 4 2 5 4" xfId="11170" xr:uid="{817DE890-5612-4276-8CD8-0FCA79D359BF}"/>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49E43A16-2307-465C-B1D8-AAEDFBFE145C}"/>
    <cellStyle name="Normal 5 3 4 2 6 2 3" xfId="13728" xr:uid="{345B71A6-808B-4594-B0E4-DFF4326004CF}"/>
    <cellStyle name="Normal 5 3 4 2 6 3" xfId="6474" xr:uid="{00000000-0005-0000-0000-0000391A0000}"/>
    <cellStyle name="Normal 5 3 4 2 6 3 2" xfId="15800" xr:uid="{33649494-97A4-407B-BC25-15CA0F9F0B6E}"/>
    <cellStyle name="Normal 5 3 4 2 6 4" xfId="11583" xr:uid="{E9F0BB3C-E76E-4613-94F5-E2BAA883F424}"/>
    <cellStyle name="Normal 5 3 4 2 7" xfId="2604" xr:uid="{00000000-0005-0000-0000-00003A1A0000}"/>
    <cellStyle name="Normal 5 3 4 2 7 2" xfId="6887" xr:uid="{00000000-0005-0000-0000-00003B1A0000}"/>
    <cellStyle name="Normal 5 3 4 2 7 2 2" xfId="16213" xr:uid="{EE9FA201-3CEE-438E-859C-F6B4F1A05E6C}"/>
    <cellStyle name="Normal 5 3 4 2 7 3" xfId="11996" xr:uid="{F47F511F-9E85-4E99-A07D-24007507674B}"/>
    <cellStyle name="Normal 5 3 4 2 8" xfId="4822" xr:uid="{00000000-0005-0000-0000-00003C1A0000}"/>
    <cellStyle name="Normal 5 3 4 2 8 2" xfId="14148" xr:uid="{8FB73E69-BFE5-4ED2-8B6C-940FE0FB25A1}"/>
    <cellStyle name="Normal 5 3 4 2 9" xfId="8934" xr:uid="{D16D0DF9-4576-4200-8972-8AAD50545E0D}"/>
    <cellStyle name="Normal 5 3 4 2 9 2" xfId="18258" xr:uid="{A4F11DFB-E225-4CF2-81FB-B2F940BDD19E}"/>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EE0C5A13-677E-436F-BC0C-65596904D0BA}"/>
    <cellStyle name="Normal 5 3 4 3 2 2 3" xfId="12491" xr:uid="{9A783269-07FB-4621-9C60-2D40DC1DD399}"/>
    <cellStyle name="Normal 5 3 4 3 2 3" xfId="5237" xr:uid="{00000000-0005-0000-0000-0000411A0000}"/>
    <cellStyle name="Normal 5 3 4 3 2 3 2" xfId="14563" xr:uid="{B5BC55FC-9132-4E3B-AD1C-F85F120FBE2A}"/>
    <cellStyle name="Normal 5 3 4 3 2 4" xfId="9463" xr:uid="{1CC38E89-013B-404F-9F3E-11BABC37F656}"/>
    <cellStyle name="Normal 5 3 4 3 2 4 2" xfId="18778" xr:uid="{A2BD404E-86B8-474C-A763-6BEDBCC51CAC}"/>
    <cellStyle name="Normal 5 3 4 3 2 5" xfId="10346" xr:uid="{AF077309-209B-4333-A34B-8C0DDBF77FC3}"/>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BD341BEA-3C53-4B27-82E0-BEC4DA6DD60F}"/>
    <cellStyle name="Normal 5 3 4 3 3 2 3" xfId="12904" xr:uid="{8C26C185-6424-4B71-BD80-ACF198205EEC}"/>
    <cellStyle name="Normal 5 3 4 3 3 3" xfId="5650" xr:uid="{00000000-0005-0000-0000-0000451A0000}"/>
    <cellStyle name="Normal 5 3 4 3 3 3 2" xfId="14976" xr:uid="{E39E141E-6C55-457B-B8F5-9D6C78F2D048}"/>
    <cellStyle name="Normal 5 3 4 3 3 4" xfId="10759" xr:uid="{C67F36E7-C3EA-4581-B496-225E00F34506}"/>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4173BECF-4EF1-45EB-A05A-D7409DA0ACA9}"/>
    <cellStyle name="Normal 5 3 4 3 4 2 3" xfId="13317" xr:uid="{1D0F2A97-FC33-48EE-9FBB-6EA572BBC841}"/>
    <cellStyle name="Normal 5 3 4 3 4 3" xfId="6063" xr:uid="{00000000-0005-0000-0000-0000491A0000}"/>
    <cellStyle name="Normal 5 3 4 3 4 3 2" xfId="15389" xr:uid="{CE975B40-5EA9-4498-8BA5-9834B190CFC2}"/>
    <cellStyle name="Normal 5 3 4 3 4 4" xfId="11172" xr:uid="{6334D529-ED89-4886-8683-4749FB983C04}"/>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6ACFD91B-946B-4438-B497-1387FC59DDA4}"/>
    <cellStyle name="Normal 5 3 4 3 5 2 3" xfId="13730" xr:uid="{FFE5945D-9E6E-445C-AAA3-CDECFEEBC6FB}"/>
    <cellStyle name="Normal 5 3 4 3 5 3" xfId="6476" xr:uid="{00000000-0005-0000-0000-00004D1A0000}"/>
    <cellStyle name="Normal 5 3 4 3 5 3 2" xfId="15802" xr:uid="{20B98AD7-F740-494D-9985-7AF71C01B727}"/>
    <cellStyle name="Normal 5 3 4 3 5 4" xfId="11585" xr:uid="{0EC0A836-3830-4365-A1B6-14BC04B6571E}"/>
    <cellStyle name="Normal 5 3 4 3 6" xfId="2606" xr:uid="{00000000-0005-0000-0000-00004E1A0000}"/>
    <cellStyle name="Normal 5 3 4 3 6 2" xfId="6889" xr:uid="{00000000-0005-0000-0000-00004F1A0000}"/>
    <cellStyle name="Normal 5 3 4 3 6 2 2" xfId="16215" xr:uid="{F4A6844B-7969-441A-BB22-ECB3BA090C4D}"/>
    <cellStyle name="Normal 5 3 4 3 6 3" xfId="11998" xr:uid="{3F79EC58-308C-4F3B-B2A9-F4641F08D1E4}"/>
    <cellStyle name="Normal 5 3 4 3 7" xfId="4824" xr:uid="{00000000-0005-0000-0000-0000501A0000}"/>
    <cellStyle name="Normal 5 3 4 3 7 2" xfId="14150" xr:uid="{39110641-8037-428F-A4F7-396254DD19F9}"/>
    <cellStyle name="Normal 5 3 4 3 8" xfId="9038" xr:uid="{15024032-E3C2-4FDD-B674-481D39A836C5}"/>
    <cellStyle name="Normal 5 3 4 3 8 2" xfId="18362" xr:uid="{F1B8C248-6452-4FA5-90A7-CF9AD30B8CF1}"/>
    <cellStyle name="Normal 5 3 4 3 9" xfId="9933" xr:uid="{2FCAD051-12DD-4833-9B7E-5C355EF257F1}"/>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DAFD9913-4BEA-48F0-96AA-EEA96CD96D9B}"/>
    <cellStyle name="Normal 5 3 4 4 2 3" xfId="12488" xr:uid="{4DB24BE4-7296-4875-B81C-3195275B4D1E}"/>
    <cellStyle name="Normal 5 3 4 4 3" xfId="5234" xr:uid="{00000000-0005-0000-0000-0000541A0000}"/>
    <cellStyle name="Normal 5 3 4 4 3 2" xfId="14560" xr:uid="{C0E6505D-41F1-4502-8C08-77291B52A78C}"/>
    <cellStyle name="Normal 5 3 4 4 4" xfId="9256" xr:uid="{69A14F57-2B46-4294-8CA5-E21858516C25}"/>
    <cellStyle name="Normal 5 3 4 4 4 2" xfId="18571" xr:uid="{63708CD0-4D0C-49D3-82CB-7088194CA0A3}"/>
    <cellStyle name="Normal 5 3 4 4 5" xfId="10343" xr:uid="{11D5FB47-5568-4C43-B6CB-FE17DF337591}"/>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DF2887C1-DFB4-41A1-B0F4-C364E4B77C1C}"/>
    <cellStyle name="Normal 5 3 4 5 2 3" xfId="12901" xr:uid="{FE2100B6-DB00-40CB-AA63-E3BF2548B610}"/>
    <cellStyle name="Normal 5 3 4 5 3" xfId="5647" xr:uid="{00000000-0005-0000-0000-0000581A0000}"/>
    <cellStyle name="Normal 5 3 4 5 3 2" xfId="14973" xr:uid="{C6DB7D4B-9CA9-45E0-9D89-9A35CCF44137}"/>
    <cellStyle name="Normal 5 3 4 5 4" xfId="10756" xr:uid="{82C62E44-2FCF-4FBF-814C-7895611816D5}"/>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86D4B754-10BE-4386-BD34-BCE0B7436F83}"/>
    <cellStyle name="Normal 5 3 4 6 2 3" xfId="13314" xr:uid="{A34B8935-872C-4224-83CF-FDF0FDA638F4}"/>
    <cellStyle name="Normal 5 3 4 6 3" xfId="6060" xr:uid="{00000000-0005-0000-0000-00005C1A0000}"/>
    <cellStyle name="Normal 5 3 4 6 3 2" xfId="15386" xr:uid="{DCBEB3EE-6F22-4E43-9C6B-2D7D19B518A9}"/>
    <cellStyle name="Normal 5 3 4 6 4" xfId="11169" xr:uid="{C920EF71-9411-4CCD-9983-A9C5A53F41A8}"/>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ADAF8286-B248-421A-8EF3-7D4C3F818CD9}"/>
    <cellStyle name="Normal 5 3 4 7 2 3" xfId="13727" xr:uid="{1DD27743-E663-45E9-A59D-DBA14A8D3640}"/>
    <cellStyle name="Normal 5 3 4 7 3" xfId="6473" xr:uid="{00000000-0005-0000-0000-0000601A0000}"/>
    <cellStyle name="Normal 5 3 4 7 3 2" xfId="15799" xr:uid="{E28093D2-70E2-4AE5-9B12-009590C20A71}"/>
    <cellStyle name="Normal 5 3 4 7 4" xfId="11582" xr:uid="{9F868B00-6CDF-4AD2-AA19-43E4F4B15F7B}"/>
    <cellStyle name="Normal 5 3 4 8" xfId="2603" xr:uid="{00000000-0005-0000-0000-0000611A0000}"/>
    <cellStyle name="Normal 5 3 4 8 2" xfId="6886" xr:uid="{00000000-0005-0000-0000-0000621A0000}"/>
    <cellStyle name="Normal 5 3 4 8 2 2" xfId="16212" xr:uid="{8E7E85E0-C561-4472-BDAC-F46EF777E464}"/>
    <cellStyle name="Normal 5 3 4 8 3" xfId="11995" xr:uid="{40027871-F727-43F4-96EB-1529C1EC388B}"/>
    <cellStyle name="Normal 5 3 4 9" xfId="4821" xr:uid="{00000000-0005-0000-0000-0000631A0000}"/>
    <cellStyle name="Normal 5 3 4 9 2" xfId="14147" xr:uid="{3ED7D360-ED82-4CF6-B1FC-C0C3A30D041B}"/>
    <cellStyle name="Normal 5 3 5" xfId="453" xr:uid="{00000000-0005-0000-0000-0000641A0000}"/>
    <cellStyle name="Normal 5 3 5 10" xfId="9934" xr:uid="{805F6FCF-AC44-4CB2-9747-AAA04BD87B28}"/>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748410AC-127B-4CE8-8196-EC4A9FD60B1E}"/>
    <cellStyle name="Normal 5 3 5 2 2 2 3" xfId="12493" xr:uid="{49C67C6B-19DE-46EC-8743-696660860796}"/>
    <cellStyle name="Normal 5 3 5 2 2 3" xfId="5239" xr:uid="{00000000-0005-0000-0000-0000691A0000}"/>
    <cellStyle name="Normal 5 3 5 2 2 3 2" xfId="14565" xr:uid="{E4553003-F565-4212-B956-19697C41686C}"/>
    <cellStyle name="Normal 5 3 5 2 2 4" xfId="9485" xr:uid="{E88A0512-4544-44F7-B02F-696DEB177F8E}"/>
    <cellStyle name="Normal 5 3 5 2 2 4 2" xfId="18800" xr:uid="{62021288-E147-4298-B29D-FBCE993A8044}"/>
    <cellStyle name="Normal 5 3 5 2 2 5" xfId="10348" xr:uid="{475762BB-9C97-483C-AEE1-244D6DA495A2}"/>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CA261B5F-2386-492E-8468-82E9DCC28F64}"/>
    <cellStyle name="Normal 5 3 5 2 3 2 3" xfId="12906" xr:uid="{0390142F-31C2-4C80-BE9C-6828A3085F24}"/>
    <cellStyle name="Normal 5 3 5 2 3 3" xfId="5652" xr:uid="{00000000-0005-0000-0000-00006D1A0000}"/>
    <cellStyle name="Normal 5 3 5 2 3 3 2" xfId="14978" xr:uid="{520B87FD-7C45-4AEA-998E-CEF6539F2BB6}"/>
    <cellStyle name="Normal 5 3 5 2 3 4" xfId="10761" xr:uid="{16782DE7-1FF6-4011-A05F-625324A77AD4}"/>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DA44AE73-0BD6-463B-8C7A-C791F4308661}"/>
    <cellStyle name="Normal 5 3 5 2 4 2 3" xfId="13319" xr:uid="{92F5FDF2-3AC4-409E-8879-0D4BB7E81E4E}"/>
    <cellStyle name="Normal 5 3 5 2 4 3" xfId="6065" xr:uid="{00000000-0005-0000-0000-0000711A0000}"/>
    <cellStyle name="Normal 5 3 5 2 4 3 2" xfId="15391" xr:uid="{7309E970-512E-4C8C-9CF0-6A1A89CFF209}"/>
    <cellStyle name="Normal 5 3 5 2 4 4" xfId="11174" xr:uid="{D4F83D7E-F382-4171-8020-1AC1920130DD}"/>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BC520130-5138-48F4-8E69-4013C2E2A41C}"/>
    <cellStyle name="Normal 5 3 5 2 5 2 3" xfId="13732" xr:uid="{BF54176D-328D-4D25-B6AE-1DC295A6A0E6}"/>
    <cellStyle name="Normal 5 3 5 2 5 3" xfId="6478" xr:uid="{00000000-0005-0000-0000-0000751A0000}"/>
    <cellStyle name="Normal 5 3 5 2 5 3 2" xfId="15804" xr:uid="{3A632CC6-FD23-4848-81BF-4E11BCE327DA}"/>
    <cellStyle name="Normal 5 3 5 2 5 4" xfId="11587" xr:uid="{868D6716-1551-4EBB-AC04-D28B5A04E3B9}"/>
    <cellStyle name="Normal 5 3 5 2 6" xfId="2608" xr:uid="{00000000-0005-0000-0000-0000761A0000}"/>
    <cellStyle name="Normal 5 3 5 2 6 2" xfId="6891" xr:uid="{00000000-0005-0000-0000-0000771A0000}"/>
    <cellStyle name="Normal 5 3 5 2 6 2 2" xfId="16217" xr:uid="{41962563-A8DF-4B36-9A9B-0598804C00A2}"/>
    <cellStyle name="Normal 5 3 5 2 6 3" xfId="12000" xr:uid="{7047073B-9BD4-4D0A-8E36-396B91CEE36E}"/>
    <cellStyle name="Normal 5 3 5 2 7" xfId="4826" xr:uid="{00000000-0005-0000-0000-0000781A0000}"/>
    <cellStyle name="Normal 5 3 5 2 7 2" xfId="14152" xr:uid="{2E1D1376-76D8-4111-84DE-6B550853AFE5}"/>
    <cellStyle name="Normal 5 3 5 2 8" xfId="9060" xr:uid="{D76124DC-5753-46E4-97E7-1D76E6E20EEE}"/>
    <cellStyle name="Normal 5 3 5 2 8 2" xfId="18384" xr:uid="{5106C6AD-8093-4ED0-A074-6B9D5C5551B3}"/>
    <cellStyle name="Normal 5 3 5 2 9" xfId="9935" xr:uid="{D89831D6-5ECE-4306-9B8A-816CDD006328}"/>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9A67ECE1-F1A0-4372-8A7B-3459BA985E7E}"/>
    <cellStyle name="Normal 5 3 5 3 2 3" xfId="12492" xr:uid="{6BC8F0DB-BBB3-43D1-80A5-7AB2277B69AD}"/>
    <cellStyle name="Normal 5 3 5 3 3" xfId="5238" xr:uid="{00000000-0005-0000-0000-00007C1A0000}"/>
    <cellStyle name="Normal 5 3 5 3 3 2" xfId="14564" xr:uid="{BEBCDBEF-CA90-4CE0-B7D8-64B93557D1B9}"/>
    <cellStyle name="Normal 5 3 5 3 4" xfId="9278" xr:uid="{6197750A-97CA-41EF-A67C-63E25EE58E9E}"/>
    <cellStyle name="Normal 5 3 5 3 4 2" xfId="18593" xr:uid="{542F2B33-2EE2-4C37-AE3C-844461957864}"/>
    <cellStyle name="Normal 5 3 5 3 5" xfId="10347" xr:uid="{8FAB10F1-21D7-47C1-A794-28D0A289DEDE}"/>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499AD0DA-C956-4DFA-BBD1-D674FA275D7D}"/>
    <cellStyle name="Normal 5 3 5 4 2 3" xfId="12905" xr:uid="{9C655A00-89BC-4F4A-AFFC-965B10B43607}"/>
    <cellStyle name="Normal 5 3 5 4 3" xfId="5651" xr:uid="{00000000-0005-0000-0000-0000801A0000}"/>
    <cellStyle name="Normal 5 3 5 4 3 2" xfId="14977" xr:uid="{D85EEC77-4986-41C7-804D-E2B08C68AC2C}"/>
    <cellStyle name="Normal 5 3 5 4 4" xfId="10760" xr:uid="{7FA56228-FA46-44F0-8D4E-3AB09C0EE3D7}"/>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58933FAD-61CE-4835-AD47-DC6459A66A78}"/>
    <cellStyle name="Normal 5 3 5 5 2 3" xfId="13318" xr:uid="{866CD752-66F4-49C1-A168-9BCE2057BFF7}"/>
    <cellStyle name="Normal 5 3 5 5 3" xfId="6064" xr:uid="{00000000-0005-0000-0000-0000841A0000}"/>
    <cellStyle name="Normal 5 3 5 5 3 2" xfId="15390" xr:uid="{F2C5CEB1-9872-4A1C-902A-8FC3DEDAE867}"/>
    <cellStyle name="Normal 5 3 5 5 4" xfId="11173" xr:uid="{81EF4A66-39C1-4636-8F17-BBA755B3EBEF}"/>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5F608C2C-48EB-4EC4-BD40-B23C4FF08EAB}"/>
    <cellStyle name="Normal 5 3 5 6 2 3" xfId="13731" xr:uid="{B4CBC6B4-DEF7-4937-8E19-13AEC876E807}"/>
    <cellStyle name="Normal 5 3 5 6 3" xfId="6477" xr:uid="{00000000-0005-0000-0000-0000881A0000}"/>
    <cellStyle name="Normal 5 3 5 6 3 2" xfId="15803" xr:uid="{8AC1FD57-AA31-4986-B6A4-DE9E2C1647B0}"/>
    <cellStyle name="Normal 5 3 5 6 4" xfId="11586" xr:uid="{B3119582-9127-4565-97C4-52BB48E81EE7}"/>
    <cellStyle name="Normal 5 3 5 7" xfId="2607" xr:uid="{00000000-0005-0000-0000-0000891A0000}"/>
    <cellStyle name="Normal 5 3 5 7 2" xfId="6890" xr:uid="{00000000-0005-0000-0000-00008A1A0000}"/>
    <cellStyle name="Normal 5 3 5 7 2 2" xfId="16216" xr:uid="{97B2AC83-D0B6-4E73-9A83-E290BE798EF9}"/>
    <cellStyle name="Normal 5 3 5 7 3" xfId="11999" xr:uid="{DB53E991-C2A3-43FB-A6D2-D4F864B44CFD}"/>
    <cellStyle name="Normal 5 3 5 8" xfId="4825" xr:uid="{00000000-0005-0000-0000-00008B1A0000}"/>
    <cellStyle name="Normal 5 3 5 8 2" xfId="14151" xr:uid="{22C2B6E9-18E3-4D94-9683-941511376993}"/>
    <cellStyle name="Normal 5 3 5 9" xfId="8853" xr:uid="{049FA2CE-003F-47C1-A264-645323886F35}"/>
    <cellStyle name="Normal 5 3 5 9 2" xfId="18177" xr:uid="{B9024057-B322-42C6-B3DB-0087DA986652}"/>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259BD8C2-A591-4D61-BAA9-4C528F1D76DD}"/>
    <cellStyle name="Normal 5 3 6 2 2 3" xfId="12494" xr:uid="{3C673B1D-1A24-4626-AD48-D7005A544DD0}"/>
    <cellStyle name="Normal 5 3 6 2 3" xfId="5240" xr:uid="{00000000-0005-0000-0000-0000901A0000}"/>
    <cellStyle name="Normal 5 3 6 2 3 2" xfId="14566" xr:uid="{31644539-7C35-4F73-BD72-DD2166CF5EEA}"/>
    <cellStyle name="Normal 5 3 6 2 4" xfId="9394" xr:uid="{040FDD8C-10C9-4583-9A6E-8F76047ECA0C}"/>
    <cellStyle name="Normal 5 3 6 2 4 2" xfId="18709" xr:uid="{6C518BCB-4E69-4D15-BC0E-FC2EEDA7F0B8}"/>
    <cellStyle name="Normal 5 3 6 2 5" xfId="10349" xr:uid="{0DB54866-4F34-4928-ACA8-F159CB2660B0}"/>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998E3108-77CF-4984-856C-AE5DC6BFB597}"/>
    <cellStyle name="Normal 5 3 6 3 2 3" xfId="12907" xr:uid="{BC75F969-53D6-4277-BAEF-4310CC473F98}"/>
    <cellStyle name="Normal 5 3 6 3 3" xfId="5653" xr:uid="{00000000-0005-0000-0000-0000941A0000}"/>
    <cellStyle name="Normal 5 3 6 3 3 2" xfId="14979" xr:uid="{7706C24D-78D0-4C93-9BE7-BEF891B21FC8}"/>
    <cellStyle name="Normal 5 3 6 3 4" xfId="10762" xr:uid="{1CCC255A-8A63-4136-A190-C522C62A98C4}"/>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5E3A26D8-34A5-4BBD-99C4-E2333106ED9D}"/>
    <cellStyle name="Normal 5 3 6 4 2 3" xfId="13320" xr:uid="{AF8867D2-3109-4D85-8400-29448F4232A3}"/>
    <cellStyle name="Normal 5 3 6 4 3" xfId="6066" xr:uid="{00000000-0005-0000-0000-0000981A0000}"/>
    <cellStyle name="Normal 5 3 6 4 3 2" xfId="15392" xr:uid="{3CA25FBF-02A6-480E-82E3-7B5A4AC2C117}"/>
    <cellStyle name="Normal 5 3 6 4 4" xfId="11175" xr:uid="{49F72BD8-7B09-4202-9E5D-B0A2F897E212}"/>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C6402652-3380-479C-93E9-882F86C6908E}"/>
    <cellStyle name="Normal 5 3 6 5 2 3" xfId="13733" xr:uid="{0F962453-9CC9-4BE9-A798-8D9B5C7733AC}"/>
    <cellStyle name="Normal 5 3 6 5 3" xfId="6479" xr:uid="{00000000-0005-0000-0000-00009C1A0000}"/>
    <cellStyle name="Normal 5 3 6 5 3 2" xfId="15805" xr:uid="{1D90DBBA-664B-4127-AEF5-345BBE7AABFF}"/>
    <cellStyle name="Normal 5 3 6 5 4" xfId="11588" xr:uid="{8FDC404A-3D13-4907-8B53-721CE6769C1F}"/>
    <cellStyle name="Normal 5 3 6 6" xfId="2609" xr:uid="{00000000-0005-0000-0000-00009D1A0000}"/>
    <cellStyle name="Normal 5 3 6 6 2" xfId="6892" xr:uid="{00000000-0005-0000-0000-00009E1A0000}"/>
    <cellStyle name="Normal 5 3 6 6 2 2" xfId="16218" xr:uid="{994F396E-7ACB-43A7-BB90-B29B55CDBB27}"/>
    <cellStyle name="Normal 5 3 6 6 3" xfId="12001" xr:uid="{AD3A783E-44F6-4826-A06E-9F6BA70292CF}"/>
    <cellStyle name="Normal 5 3 6 7" xfId="4827" xr:uid="{00000000-0005-0000-0000-00009F1A0000}"/>
    <cellStyle name="Normal 5 3 6 7 2" xfId="14153" xr:uid="{388DAA5E-D5D0-426A-BFEE-9A7005F391B4}"/>
    <cellStyle name="Normal 5 3 6 8" xfId="8969" xr:uid="{FA7ABEAF-BFEA-4D3E-A53B-E23F3117BFD8}"/>
    <cellStyle name="Normal 5 3 6 8 2" xfId="18293" xr:uid="{E11541B6-B784-40E8-9C54-91FC27884148}"/>
    <cellStyle name="Normal 5 3 6 9" xfId="9936" xr:uid="{5758A164-4673-4578-AD40-8D2AEE0A903F}"/>
    <cellStyle name="Normal 5 3 7" xfId="913" xr:uid="{00000000-0005-0000-0000-0000A01A0000}"/>
    <cellStyle name="Normal 5 3 7 2" xfId="3148" xr:uid="{00000000-0005-0000-0000-0000A11A0000}"/>
    <cellStyle name="Normal 5 3 7 2 2" xfId="7370" xr:uid="{00000000-0005-0000-0000-0000A21A0000}"/>
    <cellStyle name="Normal 5 3 7 2 2 2" xfId="16696" xr:uid="{0892BE01-9C98-49E3-80CC-2671EE2309EA}"/>
    <cellStyle name="Normal 5 3 7 2 3" xfId="12479" xr:uid="{0C6E08EE-5031-4567-8AD8-D818E4A9E4E2}"/>
    <cellStyle name="Normal 5 3 7 3" xfId="5225" xr:uid="{00000000-0005-0000-0000-0000A31A0000}"/>
    <cellStyle name="Normal 5 3 7 3 2" xfId="14551" xr:uid="{28671624-90AD-40F1-BC96-ABD974C60D97}"/>
    <cellStyle name="Normal 5 3 7 4" xfId="9172" xr:uid="{5609ABAF-B913-41DD-9CCE-B28C6A880815}"/>
    <cellStyle name="Normal 5 3 7 4 2" xfId="18490" xr:uid="{8562D79C-9A93-4CB4-A420-8E96CD8EF627}"/>
    <cellStyle name="Normal 5 3 7 5" xfId="10334" xr:uid="{7EFC69D1-DD13-466F-AE2C-EA090F428566}"/>
    <cellStyle name="Normal 5 3 8" xfId="1331" xr:uid="{00000000-0005-0000-0000-0000A41A0000}"/>
    <cellStyle name="Normal 5 3 8 2" xfId="3561" xr:uid="{00000000-0005-0000-0000-0000A51A0000}"/>
    <cellStyle name="Normal 5 3 8 2 2" xfId="7783" xr:uid="{00000000-0005-0000-0000-0000A61A0000}"/>
    <cellStyle name="Normal 5 3 8 2 2 2" xfId="17109" xr:uid="{A066993F-4F86-4401-9F31-AAB515766D53}"/>
    <cellStyle name="Normal 5 3 8 2 3" xfId="12892" xr:uid="{B8E453EE-FD8E-48D8-A6E9-4A35D11B6F54}"/>
    <cellStyle name="Normal 5 3 8 3" xfId="5638" xr:uid="{00000000-0005-0000-0000-0000A71A0000}"/>
    <cellStyle name="Normal 5 3 8 3 2" xfId="14964" xr:uid="{381752EE-23EF-4ADC-9372-6861C5132314}"/>
    <cellStyle name="Normal 5 3 8 4" xfId="10747" xr:uid="{D0C21323-E6BD-4E4F-8568-AD9BE9E345DB}"/>
    <cellStyle name="Normal 5 3 9" xfId="1744" xr:uid="{00000000-0005-0000-0000-0000A81A0000}"/>
    <cellStyle name="Normal 5 3 9 2" xfId="3974" xr:uid="{00000000-0005-0000-0000-0000A91A0000}"/>
    <cellStyle name="Normal 5 3 9 2 2" xfId="8196" xr:uid="{00000000-0005-0000-0000-0000AA1A0000}"/>
    <cellStyle name="Normal 5 3 9 2 2 2" xfId="17522" xr:uid="{E95528B5-3519-4467-A930-06C80253C8B8}"/>
    <cellStyle name="Normal 5 3 9 2 3" xfId="13305" xr:uid="{E1F56E1D-5C9D-43C2-9BF1-24943E95F38F}"/>
    <cellStyle name="Normal 5 3 9 3" xfId="6051" xr:uid="{00000000-0005-0000-0000-0000AB1A0000}"/>
    <cellStyle name="Normal 5 3 9 3 2" xfId="15377" xr:uid="{1C6C1E83-9252-4928-BFF7-39A3C8392D0D}"/>
    <cellStyle name="Normal 5 3 9 4" xfId="11160" xr:uid="{1722B046-B35D-42C3-97FE-8F5942CBDF0B}"/>
    <cellStyle name="Normal 5 4" xfId="456" xr:uid="{00000000-0005-0000-0000-0000AC1A0000}"/>
    <cellStyle name="Normal 5 4 10" xfId="4828" xr:uid="{00000000-0005-0000-0000-0000AD1A0000}"/>
    <cellStyle name="Normal 5 4 10 2" xfId="14154" xr:uid="{CCD31455-4245-4AC6-8F28-84899470710E}"/>
    <cellStyle name="Normal 5 4 11" xfId="8773" xr:uid="{50472F80-32FD-428C-B078-8DE338D6CA16}"/>
    <cellStyle name="Normal 5 4 11 2" xfId="18097" xr:uid="{92ED1881-2AD5-414D-BD13-F1375AAC6F59}"/>
    <cellStyle name="Normal 5 4 12" xfId="9937" xr:uid="{B72D5B13-6C9F-439D-9957-EB7A77B38B7E}"/>
    <cellStyle name="Normal 5 4 2" xfId="457" xr:uid="{00000000-0005-0000-0000-0000AE1A0000}"/>
    <cellStyle name="Normal 5 4 2 10" xfId="8833" xr:uid="{6EA55230-8E5B-4EF6-B83C-8DF4202F8C31}"/>
    <cellStyle name="Normal 5 4 2 10 2" xfId="18157" xr:uid="{12F29F58-042F-43A7-A593-3AD139447976}"/>
    <cellStyle name="Normal 5 4 2 11" xfId="9938" xr:uid="{9C0A51EA-EB83-465E-999D-4F1DC4BD4DCC}"/>
    <cellStyle name="Normal 5 4 2 2" xfId="458" xr:uid="{00000000-0005-0000-0000-0000AF1A0000}"/>
    <cellStyle name="Normal 5 4 2 2 10" xfId="9939" xr:uid="{E8424671-C6CC-4A50-89F5-88D4A178042A}"/>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2DF59155-4609-4D2D-87C4-CED06547CCF3}"/>
    <cellStyle name="Normal 5 4 2 2 2 2 2 3" xfId="12498" xr:uid="{43A4A7B2-822C-411D-A0B3-1B8CD6D3A8DD}"/>
    <cellStyle name="Normal 5 4 2 2 2 2 3" xfId="5244" xr:uid="{00000000-0005-0000-0000-0000B41A0000}"/>
    <cellStyle name="Normal 5 4 2 2 2 2 3 2" xfId="14570" xr:uid="{01F1756C-75B3-4A1F-8A61-DE220F6ACBDE}"/>
    <cellStyle name="Normal 5 4 2 2 2 2 4" xfId="9568" xr:uid="{C9922021-D284-4633-BD4E-F2DB1197482A}"/>
    <cellStyle name="Normal 5 4 2 2 2 2 4 2" xfId="18883" xr:uid="{07657BBD-3301-4524-BF5C-3179BD198D82}"/>
    <cellStyle name="Normal 5 4 2 2 2 2 5" xfId="10353" xr:uid="{1FEDBAA5-3709-44A3-9A16-A36B11B5F63E}"/>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2A94B0EC-E238-499D-A278-D619F2EE03E4}"/>
    <cellStyle name="Normal 5 4 2 2 2 3 2 3" xfId="12911" xr:uid="{76C673D6-61CE-4C08-9F39-1E25DC784628}"/>
    <cellStyle name="Normal 5 4 2 2 2 3 3" xfId="5657" xr:uid="{00000000-0005-0000-0000-0000B81A0000}"/>
    <cellStyle name="Normal 5 4 2 2 2 3 3 2" xfId="14983" xr:uid="{EC4A6074-48F3-454E-9A9D-4BE5B807939A}"/>
    <cellStyle name="Normal 5 4 2 2 2 3 4" xfId="10766" xr:uid="{9DA972A3-6927-438B-89F9-7B67A2169D55}"/>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9494967C-93E7-4188-A6C6-A834A13AE267}"/>
    <cellStyle name="Normal 5 4 2 2 2 4 2 3" xfId="13324" xr:uid="{88798C49-9DF9-495F-8B9D-086BE00F1AEB}"/>
    <cellStyle name="Normal 5 4 2 2 2 4 3" xfId="6070" xr:uid="{00000000-0005-0000-0000-0000BC1A0000}"/>
    <cellStyle name="Normal 5 4 2 2 2 4 3 2" xfId="15396" xr:uid="{EB357E92-28DF-4188-959B-1A6F58EAB3EC}"/>
    <cellStyle name="Normal 5 4 2 2 2 4 4" xfId="11179" xr:uid="{EC5A5AE7-DEF7-4270-AED2-2B83D7192F6B}"/>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EB408142-A148-4EFA-9AFD-48674C3C3470}"/>
    <cellStyle name="Normal 5 4 2 2 2 5 2 3" xfId="13737" xr:uid="{5015E369-CE5B-4FFC-B06D-FC7E3F041F24}"/>
    <cellStyle name="Normal 5 4 2 2 2 5 3" xfId="6483" xr:uid="{00000000-0005-0000-0000-0000C01A0000}"/>
    <cellStyle name="Normal 5 4 2 2 2 5 3 2" xfId="15809" xr:uid="{21416EBA-3627-49CA-9218-332114696E4C}"/>
    <cellStyle name="Normal 5 4 2 2 2 5 4" xfId="11592" xr:uid="{DD7F72EE-E772-4887-A052-3CFC70984F78}"/>
    <cellStyle name="Normal 5 4 2 2 2 6" xfId="2613" xr:uid="{00000000-0005-0000-0000-0000C11A0000}"/>
    <cellStyle name="Normal 5 4 2 2 2 6 2" xfId="6896" xr:uid="{00000000-0005-0000-0000-0000C21A0000}"/>
    <cellStyle name="Normal 5 4 2 2 2 6 2 2" xfId="16222" xr:uid="{E1686D7A-A8BF-4950-8CBE-3E62BA8358A4}"/>
    <cellStyle name="Normal 5 4 2 2 2 6 3" xfId="12005" xr:uid="{E85CFDD7-A04F-4C0A-A404-660A2BCFC140}"/>
    <cellStyle name="Normal 5 4 2 2 2 7" xfId="4831" xr:uid="{00000000-0005-0000-0000-0000C31A0000}"/>
    <cellStyle name="Normal 5 4 2 2 2 7 2" xfId="14157" xr:uid="{10DF8B56-330E-4CF3-A823-80EABE61E373}"/>
    <cellStyle name="Normal 5 4 2 2 2 8" xfId="9143" xr:uid="{C8F15FA9-FDFE-4358-95A8-17B14299B14C}"/>
    <cellStyle name="Normal 5 4 2 2 2 8 2" xfId="18467" xr:uid="{9767837F-C3B3-4813-AB25-1E2D49F5DB3B}"/>
    <cellStyle name="Normal 5 4 2 2 2 9" xfId="9940" xr:uid="{1C9D87C3-3099-4D06-A72E-E63418D1A3BE}"/>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EF7A6A09-1196-486F-A578-E90ADFA057B6}"/>
    <cellStyle name="Normal 5 4 2 2 3 2 3" xfId="12497" xr:uid="{6DA01110-18EB-4A91-A795-4E716810FB31}"/>
    <cellStyle name="Normal 5 4 2 2 3 3" xfId="5243" xr:uid="{00000000-0005-0000-0000-0000C71A0000}"/>
    <cellStyle name="Normal 5 4 2 2 3 3 2" xfId="14569" xr:uid="{46E739D8-4A47-4C10-962A-52D4D53C7538}"/>
    <cellStyle name="Normal 5 4 2 2 3 4" xfId="9361" xr:uid="{421F0FC8-8E8F-498F-BD31-B00CB58D5B43}"/>
    <cellStyle name="Normal 5 4 2 2 3 4 2" xfId="18676" xr:uid="{F4C7A7E5-B73B-4032-9A79-0EB1D43A7A88}"/>
    <cellStyle name="Normal 5 4 2 2 3 5" xfId="10352" xr:uid="{4B511BB3-268F-4828-9B3C-3D1853536629}"/>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5C10B1C2-8F44-4E7C-9109-767494FA3D9B}"/>
    <cellStyle name="Normal 5 4 2 2 4 2 3" xfId="12910" xr:uid="{D63CD089-0F52-48F3-AEDA-6EFD68B6EA8C}"/>
    <cellStyle name="Normal 5 4 2 2 4 3" xfId="5656" xr:uid="{00000000-0005-0000-0000-0000CB1A0000}"/>
    <cellStyle name="Normal 5 4 2 2 4 3 2" xfId="14982" xr:uid="{BEBCC5E1-A3C1-443E-A892-5D7299B25989}"/>
    <cellStyle name="Normal 5 4 2 2 4 4" xfId="10765" xr:uid="{C9084FE2-0489-4DEE-86DA-84F9305A4444}"/>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1342E178-4C49-4B87-B8FC-50243B8D2A1B}"/>
    <cellStyle name="Normal 5 4 2 2 5 2 3" xfId="13323" xr:uid="{57656D20-4ABC-4124-BA6D-F1E3812B42C7}"/>
    <cellStyle name="Normal 5 4 2 2 5 3" xfId="6069" xr:uid="{00000000-0005-0000-0000-0000CF1A0000}"/>
    <cellStyle name="Normal 5 4 2 2 5 3 2" xfId="15395" xr:uid="{FADE6312-21A9-435D-868E-2591A8FB766E}"/>
    <cellStyle name="Normal 5 4 2 2 5 4" xfId="11178" xr:uid="{EFFEEDA5-6698-48D7-917C-B4BFF833FEDD}"/>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07142293-EC4F-43A3-A160-70492275900D}"/>
    <cellStyle name="Normal 5 4 2 2 6 2 3" xfId="13736" xr:uid="{F12A97D3-D293-431A-BD3B-7F20D8EB761C}"/>
    <cellStyle name="Normal 5 4 2 2 6 3" xfId="6482" xr:uid="{00000000-0005-0000-0000-0000D31A0000}"/>
    <cellStyle name="Normal 5 4 2 2 6 3 2" xfId="15808" xr:uid="{9EA2CEA7-3AB8-4A5F-9018-6E265359E3D3}"/>
    <cellStyle name="Normal 5 4 2 2 6 4" xfId="11591" xr:uid="{748DE25B-3CD3-4943-AC2F-6F9223519907}"/>
    <cellStyle name="Normal 5 4 2 2 7" xfId="2612" xr:uid="{00000000-0005-0000-0000-0000D41A0000}"/>
    <cellStyle name="Normal 5 4 2 2 7 2" xfId="6895" xr:uid="{00000000-0005-0000-0000-0000D51A0000}"/>
    <cellStyle name="Normal 5 4 2 2 7 2 2" xfId="16221" xr:uid="{16E0E2AE-0F30-4B8F-AE98-FEA1ED38FB99}"/>
    <cellStyle name="Normal 5 4 2 2 7 3" xfId="12004" xr:uid="{4DF7AEF6-5B1A-41D0-B8F2-F701BAAE7274}"/>
    <cellStyle name="Normal 5 4 2 2 8" xfId="4830" xr:uid="{00000000-0005-0000-0000-0000D61A0000}"/>
    <cellStyle name="Normal 5 4 2 2 8 2" xfId="14156" xr:uid="{0B16EF0E-7DEE-4751-9653-B14229A1278A}"/>
    <cellStyle name="Normal 5 4 2 2 9" xfId="8936" xr:uid="{31CF7A09-919D-40D2-B5FD-098CEA44D314}"/>
    <cellStyle name="Normal 5 4 2 2 9 2" xfId="18260" xr:uid="{F8FA2E9D-322E-490F-9EF1-1C3F706635EB}"/>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49CE1B3B-5E1B-48A7-ACEF-5714FD830E42}"/>
    <cellStyle name="Normal 5 4 2 3 2 2 3" xfId="12499" xr:uid="{CAC96E24-709C-409A-8AEE-369A441B0F35}"/>
    <cellStyle name="Normal 5 4 2 3 2 3" xfId="5245" xr:uid="{00000000-0005-0000-0000-0000DB1A0000}"/>
    <cellStyle name="Normal 5 4 2 3 2 3 2" xfId="14571" xr:uid="{947EE721-56A1-4BA3-AB7A-C6D3D30EBE49}"/>
    <cellStyle name="Normal 5 4 2 3 2 4" xfId="9465" xr:uid="{B8459C73-266B-467B-A163-FFDFF015A460}"/>
    <cellStyle name="Normal 5 4 2 3 2 4 2" xfId="18780" xr:uid="{E02711B6-0156-4ADA-A644-3A3E181CC625}"/>
    <cellStyle name="Normal 5 4 2 3 2 5" xfId="10354" xr:uid="{24AA7A7C-4FBA-4A94-99F3-41899075D074}"/>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4BAE9C34-55F6-4E39-B48C-2872FD84CA0F}"/>
    <cellStyle name="Normal 5 4 2 3 3 2 3" xfId="12912" xr:uid="{6F6EF2EA-5356-4B8B-AED4-815EB740B821}"/>
    <cellStyle name="Normal 5 4 2 3 3 3" xfId="5658" xr:uid="{00000000-0005-0000-0000-0000DF1A0000}"/>
    <cellStyle name="Normal 5 4 2 3 3 3 2" xfId="14984" xr:uid="{3653B97E-125F-4BE4-B761-BCC580C7DC03}"/>
    <cellStyle name="Normal 5 4 2 3 3 4" xfId="10767" xr:uid="{FF5E7505-34F4-444C-BA93-848518035D98}"/>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D3D88966-B19E-499E-80F6-1E3113E6C988}"/>
    <cellStyle name="Normal 5 4 2 3 4 2 3" xfId="13325" xr:uid="{333A23C4-EF87-4C97-8357-24BD07CAE78B}"/>
    <cellStyle name="Normal 5 4 2 3 4 3" xfId="6071" xr:uid="{00000000-0005-0000-0000-0000E31A0000}"/>
    <cellStyle name="Normal 5 4 2 3 4 3 2" xfId="15397" xr:uid="{A4FD24E6-D372-49E6-BF11-EBDD4AF02888}"/>
    <cellStyle name="Normal 5 4 2 3 4 4" xfId="11180" xr:uid="{F8BD8637-9555-430D-9E4F-932B78661E6C}"/>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0AC71AFA-F5E6-4D78-8CAA-044ED5D3A21C}"/>
    <cellStyle name="Normal 5 4 2 3 5 2 3" xfId="13738" xr:uid="{17B73DC3-FCE4-48A1-AC95-532951B3B02E}"/>
    <cellStyle name="Normal 5 4 2 3 5 3" xfId="6484" xr:uid="{00000000-0005-0000-0000-0000E71A0000}"/>
    <cellStyle name="Normal 5 4 2 3 5 3 2" xfId="15810" xr:uid="{63C5C8EE-7B49-4931-8BAC-9A86BE945329}"/>
    <cellStyle name="Normal 5 4 2 3 5 4" xfId="11593" xr:uid="{990001C6-C334-4963-BDE0-21B70045F69F}"/>
    <cellStyle name="Normal 5 4 2 3 6" xfId="2614" xr:uid="{00000000-0005-0000-0000-0000E81A0000}"/>
    <cellStyle name="Normal 5 4 2 3 6 2" xfId="6897" xr:uid="{00000000-0005-0000-0000-0000E91A0000}"/>
    <cellStyle name="Normal 5 4 2 3 6 2 2" xfId="16223" xr:uid="{5C2F9D7A-141C-47F3-9A3A-94952CED7C8E}"/>
    <cellStyle name="Normal 5 4 2 3 6 3" xfId="12006" xr:uid="{210372A3-A911-407E-8913-865A7ED319D6}"/>
    <cellStyle name="Normal 5 4 2 3 7" xfId="4832" xr:uid="{00000000-0005-0000-0000-0000EA1A0000}"/>
    <cellStyle name="Normal 5 4 2 3 7 2" xfId="14158" xr:uid="{CBA52A8E-8452-463C-B599-02AF390F26A1}"/>
    <cellStyle name="Normal 5 4 2 3 8" xfId="9040" xr:uid="{D68CAB17-BB41-4D9B-AA76-76FE511392DC}"/>
    <cellStyle name="Normal 5 4 2 3 8 2" xfId="18364" xr:uid="{F45FFB46-F408-4742-A5CF-19EB116A5031}"/>
    <cellStyle name="Normal 5 4 2 3 9" xfId="9941" xr:uid="{ED674176-DE97-45EF-8884-C365E154D123}"/>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EDF83AC3-D3CB-4F06-92C5-D4F31AAD742F}"/>
    <cellStyle name="Normal 5 4 2 4 2 3" xfId="12496" xr:uid="{4B76E3E1-9540-44AE-A2C3-167AA06C17F4}"/>
    <cellStyle name="Normal 5 4 2 4 3" xfId="5242" xr:uid="{00000000-0005-0000-0000-0000EE1A0000}"/>
    <cellStyle name="Normal 5 4 2 4 3 2" xfId="14568" xr:uid="{4B0E989B-5AC5-4A29-8820-43B657CA5E75}"/>
    <cellStyle name="Normal 5 4 2 4 4" xfId="9258" xr:uid="{971C48A9-8200-405B-A9BE-B3AFD2CDDA76}"/>
    <cellStyle name="Normal 5 4 2 4 4 2" xfId="18573" xr:uid="{04A42020-EA08-4719-AD8F-504091C50F0C}"/>
    <cellStyle name="Normal 5 4 2 4 5" xfId="10351" xr:uid="{3F230BBF-3D6D-4882-AC81-E4F9431FC673}"/>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7D75A262-8E9C-459C-A312-2DD1ADE8D008}"/>
    <cellStyle name="Normal 5 4 2 5 2 3" xfId="12909" xr:uid="{DC928FA5-0922-46AE-8C1D-B7551DDC9D46}"/>
    <cellStyle name="Normal 5 4 2 5 3" xfId="5655" xr:uid="{00000000-0005-0000-0000-0000F21A0000}"/>
    <cellStyle name="Normal 5 4 2 5 3 2" xfId="14981" xr:uid="{4EF6B8CF-CE66-4C30-B8EE-284A559B3249}"/>
    <cellStyle name="Normal 5 4 2 5 4" xfId="10764" xr:uid="{651BE36E-55B7-4B14-8210-F3948644E503}"/>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F522CDCF-4542-4CAB-9490-7DE7AFC33943}"/>
    <cellStyle name="Normal 5 4 2 6 2 3" xfId="13322" xr:uid="{8E5C99BA-C5F8-40C2-8D8C-611474861559}"/>
    <cellStyle name="Normal 5 4 2 6 3" xfId="6068" xr:uid="{00000000-0005-0000-0000-0000F61A0000}"/>
    <cellStyle name="Normal 5 4 2 6 3 2" xfId="15394" xr:uid="{2B6224B9-8806-497D-91FF-13F7A36FCFCC}"/>
    <cellStyle name="Normal 5 4 2 6 4" xfId="11177" xr:uid="{8385ACF5-9CC7-4401-AAE4-6B2C57E44E28}"/>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250D6802-316E-4F23-872F-D219F0C44BC1}"/>
    <cellStyle name="Normal 5 4 2 7 2 3" xfId="13735" xr:uid="{DBC1BF9E-EDA2-42CC-8B3F-F45923D161D9}"/>
    <cellStyle name="Normal 5 4 2 7 3" xfId="6481" xr:uid="{00000000-0005-0000-0000-0000FA1A0000}"/>
    <cellStyle name="Normal 5 4 2 7 3 2" xfId="15807" xr:uid="{08578D80-E4FE-44C9-B6A1-61DCACF4783A}"/>
    <cellStyle name="Normal 5 4 2 7 4" xfId="11590" xr:uid="{F6F5D962-F34E-4949-85DE-2C971E6E6F8A}"/>
    <cellStyle name="Normal 5 4 2 8" xfId="2611" xr:uid="{00000000-0005-0000-0000-0000FB1A0000}"/>
    <cellStyle name="Normal 5 4 2 8 2" xfId="6894" xr:uid="{00000000-0005-0000-0000-0000FC1A0000}"/>
    <cellStyle name="Normal 5 4 2 8 2 2" xfId="16220" xr:uid="{687C0C4A-AC32-480F-B675-5839A3DA2B3C}"/>
    <cellStyle name="Normal 5 4 2 8 3" xfId="12003" xr:uid="{3176C2D1-3425-419E-9122-3B2B8D1B87CC}"/>
    <cellStyle name="Normal 5 4 2 9" xfId="4829" xr:uid="{00000000-0005-0000-0000-0000FD1A0000}"/>
    <cellStyle name="Normal 5 4 2 9 2" xfId="14155" xr:uid="{DB4F9F6C-0165-422B-AD9A-27B49899390A}"/>
    <cellStyle name="Normal 5 4 3" xfId="461" xr:uid="{00000000-0005-0000-0000-0000FE1A0000}"/>
    <cellStyle name="Normal 5 4 3 10" xfId="9942" xr:uid="{3177CB3D-A692-4476-9773-9C965EB47C49}"/>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EC07E2C3-18FD-47E0-A69D-BB6E27610774}"/>
    <cellStyle name="Normal 5 4 3 2 2 2 3" xfId="12501" xr:uid="{0260A6EA-5470-443F-906F-A80E1A496DD3}"/>
    <cellStyle name="Normal 5 4 3 2 2 3" xfId="5247" xr:uid="{00000000-0005-0000-0000-0000031B0000}"/>
    <cellStyle name="Normal 5 4 3 2 2 3 2" xfId="14573" xr:uid="{936DFFB2-DC83-486F-80C1-6143E0D13920}"/>
    <cellStyle name="Normal 5 4 3 2 2 4" xfId="9508" xr:uid="{1F9B5A8F-2A45-43C5-9422-E8BC84424A55}"/>
    <cellStyle name="Normal 5 4 3 2 2 4 2" xfId="18823" xr:uid="{E0D2E812-8093-45DE-BEF4-037C0AF1424E}"/>
    <cellStyle name="Normal 5 4 3 2 2 5" xfId="10356" xr:uid="{08D955C4-8BF5-4E93-BD55-2F5299D2219D}"/>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7E7E9633-1DF9-4A1C-AADF-A0C219432091}"/>
    <cellStyle name="Normal 5 4 3 2 3 2 3" xfId="12914" xr:uid="{8D783784-F4D9-4A64-B37D-EB7A2CADAC27}"/>
    <cellStyle name="Normal 5 4 3 2 3 3" xfId="5660" xr:uid="{00000000-0005-0000-0000-0000071B0000}"/>
    <cellStyle name="Normal 5 4 3 2 3 3 2" xfId="14986" xr:uid="{F486C8D6-FBA5-4BA8-A50F-88C1641A5282}"/>
    <cellStyle name="Normal 5 4 3 2 3 4" xfId="10769" xr:uid="{8FAC241E-1690-44AE-A3F0-1E822A80D52B}"/>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0832C65C-C0F1-4050-9C22-FDFD4C6E2A50}"/>
    <cellStyle name="Normal 5 4 3 2 4 2 3" xfId="13327" xr:uid="{3BA7B5F5-CA26-44BD-B5A5-B69DF4F960E6}"/>
    <cellStyle name="Normal 5 4 3 2 4 3" xfId="6073" xr:uid="{00000000-0005-0000-0000-00000B1B0000}"/>
    <cellStyle name="Normal 5 4 3 2 4 3 2" xfId="15399" xr:uid="{7EA7CA94-8E92-4680-BD39-684016CE6C3B}"/>
    <cellStyle name="Normal 5 4 3 2 4 4" xfId="11182" xr:uid="{278005DC-DFA5-4A09-A879-0976D492EAA6}"/>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955FCF6B-4248-4021-8C90-75313C566FF9}"/>
    <cellStyle name="Normal 5 4 3 2 5 2 3" xfId="13740" xr:uid="{210F13E5-FDF6-4486-A7E2-A57BD8B93422}"/>
    <cellStyle name="Normal 5 4 3 2 5 3" xfId="6486" xr:uid="{00000000-0005-0000-0000-00000F1B0000}"/>
    <cellStyle name="Normal 5 4 3 2 5 3 2" xfId="15812" xr:uid="{F6A4E424-3391-400E-8270-DCB3A5058E07}"/>
    <cellStyle name="Normal 5 4 3 2 5 4" xfId="11595" xr:uid="{10D9597F-B46F-4DC0-8614-F4EEF70CF02C}"/>
    <cellStyle name="Normal 5 4 3 2 6" xfId="2616" xr:uid="{00000000-0005-0000-0000-0000101B0000}"/>
    <cellStyle name="Normal 5 4 3 2 6 2" xfId="6899" xr:uid="{00000000-0005-0000-0000-0000111B0000}"/>
    <cellStyle name="Normal 5 4 3 2 6 2 2" xfId="16225" xr:uid="{FD0D80A5-2F7C-422F-91DF-F8A8289ABE2E}"/>
    <cellStyle name="Normal 5 4 3 2 6 3" xfId="12008" xr:uid="{09B8995B-F0AA-4CE1-8D0D-96043BF751B3}"/>
    <cellStyle name="Normal 5 4 3 2 7" xfId="4834" xr:uid="{00000000-0005-0000-0000-0000121B0000}"/>
    <cellStyle name="Normal 5 4 3 2 7 2" xfId="14160" xr:uid="{54363D62-9E89-4473-A775-DFC75812925F}"/>
    <cellStyle name="Normal 5 4 3 2 8" xfId="9083" xr:uid="{206384C8-6AD8-4D28-8F99-3033A80D68FC}"/>
    <cellStyle name="Normal 5 4 3 2 8 2" xfId="18407" xr:uid="{5C55E7E9-F135-4714-AA3D-6BAE4E70B75F}"/>
    <cellStyle name="Normal 5 4 3 2 9" xfId="9943" xr:uid="{B8029DAA-B712-4B78-B47A-FF5CD5500095}"/>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BD5CD49D-FE9C-41A7-80B1-4C05DC53CCD0}"/>
    <cellStyle name="Normal 5 4 3 3 2 3" xfId="12500" xr:uid="{3AF805E8-FC47-4655-879A-1FA40AB4B0CC}"/>
    <cellStyle name="Normal 5 4 3 3 3" xfId="5246" xr:uid="{00000000-0005-0000-0000-0000161B0000}"/>
    <cellStyle name="Normal 5 4 3 3 3 2" xfId="14572" xr:uid="{98A5CD5C-BBC5-49AC-A558-6C51519626EB}"/>
    <cellStyle name="Normal 5 4 3 3 4" xfId="9301" xr:uid="{CB02BBE7-2E3D-4C67-A62E-BA84DE882039}"/>
    <cellStyle name="Normal 5 4 3 3 4 2" xfId="18616" xr:uid="{7849B57D-D801-4A46-A6C3-A7C952EF4602}"/>
    <cellStyle name="Normal 5 4 3 3 5" xfId="10355" xr:uid="{12BE9C92-13DE-4184-9029-73DAC96D1F01}"/>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23E4C99D-9D20-407F-9954-1C05237DFCC5}"/>
    <cellStyle name="Normal 5 4 3 4 2 3" xfId="12913" xr:uid="{DAC9E2B1-DDAD-433B-AB07-D6FED78AA2EA}"/>
    <cellStyle name="Normal 5 4 3 4 3" xfId="5659" xr:uid="{00000000-0005-0000-0000-00001A1B0000}"/>
    <cellStyle name="Normal 5 4 3 4 3 2" xfId="14985" xr:uid="{65D4FAD6-A4F8-4F93-ACBB-9FBC106BB79A}"/>
    <cellStyle name="Normal 5 4 3 4 4" xfId="10768" xr:uid="{26C7D901-5843-4CA2-A367-3885C41CF825}"/>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E70EFFAD-6304-4FA7-8503-2324630968DC}"/>
    <cellStyle name="Normal 5 4 3 5 2 3" xfId="13326" xr:uid="{C9A7D580-4324-47B3-82BB-C7852ED12B20}"/>
    <cellStyle name="Normal 5 4 3 5 3" xfId="6072" xr:uid="{00000000-0005-0000-0000-00001E1B0000}"/>
    <cellStyle name="Normal 5 4 3 5 3 2" xfId="15398" xr:uid="{776A7732-9BA0-428A-A507-E39880A8A6C6}"/>
    <cellStyle name="Normal 5 4 3 5 4" xfId="11181" xr:uid="{7DA91BDC-0BE4-48B6-AA66-132281223BDA}"/>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3563A30A-59D4-4118-AB89-8DFEC501B9B1}"/>
    <cellStyle name="Normal 5 4 3 6 2 3" xfId="13739" xr:uid="{9ADC7D4C-1479-4A3B-A414-A092100E723E}"/>
    <cellStyle name="Normal 5 4 3 6 3" xfId="6485" xr:uid="{00000000-0005-0000-0000-0000221B0000}"/>
    <cellStyle name="Normal 5 4 3 6 3 2" xfId="15811" xr:uid="{4DFBB7C7-76AC-42F5-B5EA-2EE8339B34FD}"/>
    <cellStyle name="Normal 5 4 3 6 4" xfId="11594" xr:uid="{D39F8C53-318C-4138-8CCE-96C8CEA65E4C}"/>
    <cellStyle name="Normal 5 4 3 7" xfId="2615" xr:uid="{00000000-0005-0000-0000-0000231B0000}"/>
    <cellStyle name="Normal 5 4 3 7 2" xfId="6898" xr:uid="{00000000-0005-0000-0000-0000241B0000}"/>
    <cellStyle name="Normal 5 4 3 7 2 2" xfId="16224" xr:uid="{157546E3-E7DE-471C-832C-8749A6844F20}"/>
    <cellStyle name="Normal 5 4 3 7 3" xfId="12007" xr:uid="{004293A6-53B6-4961-B187-F561B2BCF042}"/>
    <cellStyle name="Normal 5 4 3 8" xfId="4833" xr:uid="{00000000-0005-0000-0000-0000251B0000}"/>
    <cellStyle name="Normal 5 4 3 8 2" xfId="14159" xr:uid="{84BB87E7-2900-48CE-A442-7F4AE76CCE3E}"/>
    <cellStyle name="Normal 5 4 3 9" xfId="8876" xr:uid="{D636A598-175F-46A4-8005-1A20EC6CCEC9}"/>
    <cellStyle name="Normal 5 4 3 9 2" xfId="18200" xr:uid="{C9D0E95B-FAAC-4169-AD69-3C6E325BDC75}"/>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ECE86D25-6755-4FD1-87F7-CD212A05FCFC}"/>
    <cellStyle name="Normal 5 4 4 2 2 3" xfId="12502" xr:uid="{05CD9370-E525-42D3-AF67-6BB831731D41}"/>
    <cellStyle name="Normal 5 4 4 2 3" xfId="5248" xr:uid="{00000000-0005-0000-0000-00002A1B0000}"/>
    <cellStyle name="Normal 5 4 4 2 3 2" xfId="14574" xr:uid="{4C3F024A-9E6D-4874-B339-4E852D50E0FF}"/>
    <cellStyle name="Normal 5 4 4 2 4" xfId="9405" xr:uid="{F05DE0DC-A0AA-4CEB-9ABC-0D70F781B819}"/>
    <cellStyle name="Normal 5 4 4 2 4 2" xfId="18720" xr:uid="{1998EC02-5A6F-42A4-A147-99B34CB74AD5}"/>
    <cellStyle name="Normal 5 4 4 2 5" xfId="10357" xr:uid="{01723840-9820-4C8D-8447-BF77DFD01D91}"/>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95CE4B82-CB16-4AD8-A89D-1F680502E8FA}"/>
    <cellStyle name="Normal 5 4 4 3 2 3" xfId="12915" xr:uid="{C73C8042-67C8-4371-ADAE-2743962C9A87}"/>
    <cellStyle name="Normal 5 4 4 3 3" xfId="5661" xr:uid="{00000000-0005-0000-0000-00002E1B0000}"/>
    <cellStyle name="Normal 5 4 4 3 3 2" xfId="14987" xr:uid="{BBDF256D-3100-4DB6-ACB1-32303C4F119B}"/>
    <cellStyle name="Normal 5 4 4 3 4" xfId="10770" xr:uid="{BA0BBA80-71BA-4600-BC69-BB24253A5EEF}"/>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9E767E0C-774E-4347-B79B-5EE64A405C9E}"/>
    <cellStyle name="Normal 5 4 4 4 2 3" xfId="13328" xr:uid="{53684691-6624-4B7D-BB21-D0043306E545}"/>
    <cellStyle name="Normal 5 4 4 4 3" xfId="6074" xr:uid="{00000000-0005-0000-0000-0000321B0000}"/>
    <cellStyle name="Normal 5 4 4 4 3 2" xfId="15400" xr:uid="{23C3A8D8-0430-42A1-A1CC-59947758ADC5}"/>
    <cellStyle name="Normal 5 4 4 4 4" xfId="11183" xr:uid="{F3948BC5-5B9E-4E3D-87B4-F99B4DCBE691}"/>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52CCB4E3-83D4-42CF-BA43-57872FDF2386}"/>
    <cellStyle name="Normal 5 4 4 5 2 3" xfId="13741" xr:uid="{6F07DB3D-F09C-462A-89D4-45ADFCA65115}"/>
    <cellStyle name="Normal 5 4 4 5 3" xfId="6487" xr:uid="{00000000-0005-0000-0000-0000361B0000}"/>
    <cellStyle name="Normal 5 4 4 5 3 2" xfId="15813" xr:uid="{FF7A0618-EB3E-4698-80B9-528B1F6E9FFD}"/>
    <cellStyle name="Normal 5 4 4 5 4" xfId="11596" xr:uid="{BE110909-10F4-4797-958E-1ECDA134948E}"/>
    <cellStyle name="Normal 5 4 4 6" xfId="2617" xr:uid="{00000000-0005-0000-0000-0000371B0000}"/>
    <cellStyle name="Normal 5 4 4 6 2" xfId="6900" xr:uid="{00000000-0005-0000-0000-0000381B0000}"/>
    <cellStyle name="Normal 5 4 4 6 2 2" xfId="16226" xr:uid="{9ABB4054-95ED-44B5-9426-94533B81C1E3}"/>
    <cellStyle name="Normal 5 4 4 6 3" xfId="12009" xr:uid="{34BF8FB8-6CCE-4549-87B3-B4E0E40A316C}"/>
    <cellStyle name="Normal 5 4 4 7" xfId="4835" xr:uid="{00000000-0005-0000-0000-0000391B0000}"/>
    <cellStyle name="Normal 5 4 4 7 2" xfId="14161" xr:uid="{0E7F3955-A503-409B-8226-B31C45F51CD7}"/>
    <cellStyle name="Normal 5 4 4 8" xfId="8980" xr:uid="{B1DB48A4-94CB-4CC2-8D4B-8FD478363D48}"/>
    <cellStyle name="Normal 5 4 4 8 2" xfId="18304" xr:uid="{3D9D1E18-0F20-4479-A768-2FA9129AB1DE}"/>
    <cellStyle name="Normal 5 4 4 9" xfId="9944" xr:uid="{BD8CAECC-7E65-4EF7-9C97-6FEBF8BBC5FD}"/>
    <cellStyle name="Normal 5 4 5" xfId="930" xr:uid="{00000000-0005-0000-0000-00003A1B0000}"/>
    <cellStyle name="Normal 5 4 5 2" xfId="3164" xr:uid="{00000000-0005-0000-0000-00003B1B0000}"/>
    <cellStyle name="Normal 5 4 5 2 2" xfId="7386" xr:uid="{00000000-0005-0000-0000-00003C1B0000}"/>
    <cellStyle name="Normal 5 4 5 2 2 2" xfId="16712" xr:uid="{1269F730-A7C3-45B0-BC10-3645776D9C32}"/>
    <cellStyle name="Normal 5 4 5 2 3" xfId="12495" xr:uid="{BD1226BC-4505-4B64-B878-624069BDEA44}"/>
    <cellStyle name="Normal 5 4 5 3" xfId="5241" xr:uid="{00000000-0005-0000-0000-00003D1B0000}"/>
    <cellStyle name="Normal 5 4 5 3 2" xfId="14567" xr:uid="{7854CDFD-A9D6-4899-ADFB-C52178437036}"/>
    <cellStyle name="Normal 5 4 5 4" xfId="9197" xr:uid="{44FF0EFB-444B-4C40-B695-8C256ADB5563}"/>
    <cellStyle name="Normal 5 4 5 4 2" xfId="18513" xr:uid="{1A6D9BD0-42E1-43B4-B045-4B7B12731770}"/>
    <cellStyle name="Normal 5 4 5 5" xfId="10350" xr:uid="{B0977B92-DD9D-4756-B7C9-1D58D2F1EA91}"/>
    <cellStyle name="Normal 5 4 6" xfId="1347" xr:uid="{00000000-0005-0000-0000-00003E1B0000}"/>
    <cellStyle name="Normal 5 4 6 2" xfId="3577" xr:uid="{00000000-0005-0000-0000-00003F1B0000}"/>
    <cellStyle name="Normal 5 4 6 2 2" xfId="7799" xr:uid="{00000000-0005-0000-0000-0000401B0000}"/>
    <cellStyle name="Normal 5 4 6 2 2 2" xfId="17125" xr:uid="{B531CDCD-D23A-480C-BC35-F3EC199F7791}"/>
    <cellStyle name="Normal 5 4 6 2 3" xfId="12908" xr:uid="{87E2A380-1421-41AD-BFD7-A0BE15D4D43B}"/>
    <cellStyle name="Normal 5 4 6 3" xfId="5654" xr:uid="{00000000-0005-0000-0000-0000411B0000}"/>
    <cellStyle name="Normal 5 4 6 3 2" xfId="14980" xr:uid="{6C996319-B1C6-4273-9153-634BBC5D3951}"/>
    <cellStyle name="Normal 5 4 6 4" xfId="10763" xr:uid="{62880834-0A90-4387-9C5F-A4ECB886F647}"/>
    <cellStyle name="Normal 5 4 7" xfId="1760" xr:uid="{00000000-0005-0000-0000-0000421B0000}"/>
    <cellStyle name="Normal 5 4 7 2" xfId="3990" xr:uid="{00000000-0005-0000-0000-0000431B0000}"/>
    <cellStyle name="Normal 5 4 7 2 2" xfId="8212" xr:uid="{00000000-0005-0000-0000-0000441B0000}"/>
    <cellStyle name="Normal 5 4 7 2 2 2" xfId="17538" xr:uid="{AA06020E-56F8-494E-96E2-A346966C593C}"/>
    <cellStyle name="Normal 5 4 7 2 3" xfId="13321" xr:uid="{DC218CBB-1C51-487A-9AED-60BA8FBDCB95}"/>
    <cellStyle name="Normal 5 4 7 3" xfId="6067" xr:uid="{00000000-0005-0000-0000-0000451B0000}"/>
    <cellStyle name="Normal 5 4 7 3 2" xfId="15393" xr:uid="{FE69B501-5309-40F4-9312-F293C42BDD35}"/>
    <cellStyle name="Normal 5 4 7 4" xfId="11176" xr:uid="{13AABA17-432F-41F7-B4AB-A863078530A1}"/>
    <cellStyle name="Normal 5 4 8" xfId="2174" xr:uid="{00000000-0005-0000-0000-0000461B0000}"/>
    <cellStyle name="Normal 5 4 8 2" xfId="4403" xr:uid="{00000000-0005-0000-0000-0000471B0000}"/>
    <cellStyle name="Normal 5 4 8 2 2" xfId="8625" xr:uid="{00000000-0005-0000-0000-0000481B0000}"/>
    <cellStyle name="Normal 5 4 8 2 2 2" xfId="17951" xr:uid="{E1825319-14C0-47D8-A0F7-2BAE1F3E722E}"/>
    <cellStyle name="Normal 5 4 8 2 3" xfId="13734" xr:uid="{F444802C-2529-4E31-9BE7-796C5AEF4F08}"/>
    <cellStyle name="Normal 5 4 8 3" xfId="6480" xr:uid="{00000000-0005-0000-0000-0000491B0000}"/>
    <cellStyle name="Normal 5 4 8 3 2" xfId="15806" xr:uid="{66044571-C5D4-4077-9C44-EF71B84545E8}"/>
    <cellStyle name="Normal 5 4 8 4" xfId="11589" xr:uid="{00241BD6-2835-421D-BB6E-B881DDC42F3A}"/>
    <cellStyle name="Normal 5 4 9" xfId="2610" xr:uid="{00000000-0005-0000-0000-00004A1B0000}"/>
    <cellStyle name="Normal 5 4 9 2" xfId="6893" xr:uid="{00000000-0005-0000-0000-00004B1B0000}"/>
    <cellStyle name="Normal 5 4 9 2 2" xfId="16219" xr:uid="{AF97BA8F-D95F-4829-99BC-C3F27CCAB0BC}"/>
    <cellStyle name="Normal 5 4 9 3" xfId="12002" xr:uid="{4BCF9F93-C2B0-4A48-8346-45B0F64F0C5F}"/>
    <cellStyle name="Normal 5 5" xfId="464" xr:uid="{00000000-0005-0000-0000-00004C1B0000}"/>
    <cellStyle name="Normal 5 5 10" xfId="8826" xr:uid="{5746674A-546A-44BF-97FB-6D298BF3AD61}"/>
    <cellStyle name="Normal 5 5 10 2" xfId="18150" xr:uid="{F0109EC9-C210-4850-9130-CAE28C5C0A80}"/>
    <cellStyle name="Normal 5 5 11" xfId="9945" xr:uid="{7CF596F0-B726-471C-9B17-DAA9C3628287}"/>
    <cellStyle name="Normal 5 5 2" xfId="465" xr:uid="{00000000-0005-0000-0000-00004D1B0000}"/>
    <cellStyle name="Normal 5 5 2 10" xfId="9946" xr:uid="{A120FBEC-F312-4D3B-BAF7-1E8437947656}"/>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20B05C0F-5010-46A5-858A-DFC3E4095B61}"/>
    <cellStyle name="Normal 5 5 2 2 2 2 3" xfId="12505" xr:uid="{91B8DC8F-761E-41F6-8192-06D216A20CDF}"/>
    <cellStyle name="Normal 5 5 2 2 2 3" xfId="5251" xr:uid="{00000000-0005-0000-0000-0000521B0000}"/>
    <cellStyle name="Normal 5 5 2 2 2 3 2" xfId="14577" xr:uid="{032031B2-6C4B-42BD-A28B-785644FBADC1}"/>
    <cellStyle name="Normal 5 5 2 2 2 4" xfId="9561" xr:uid="{FF1EB4DD-E23E-4228-816B-D59B021F724D}"/>
    <cellStyle name="Normal 5 5 2 2 2 4 2" xfId="18876" xr:uid="{7F5185F8-CF34-411D-8DED-7C943A59A1AF}"/>
    <cellStyle name="Normal 5 5 2 2 2 5" xfId="10360" xr:uid="{EDFCBCC3-8B83-4E1A-937D-691B9BEDF8F4}"/>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62B59872-AE09-4766-A39B-7A6EF1837B6E}"/>
    <cellStyle name="Normal 5 5 2 2 3 2 3" xfId="12918" xr:uid="{8C43BD02-1C20-482F-B6F6-76BC952EAC95}"/>
    <cellStyle name="Normal 5 5 2 2 3 3" xfId="5664" xr:uid="{00000000-0005-0000-0000-0000561B0000}"/>
    <cellStyle name="Normal 5 5 2 2 3 3 2" xfId="14990" xr:uid="{731A647F-3782-443C-BB29-89725710A2A1}"/>
    <cellStyle name="Normal 5 5 2 2 3 4" xfId="10773" xr:uid="{84961D88-A1A4-4206-979C-964BC30392FF}"/>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7D2CC454-DD79-437B-B390-35BC5C4B24AB}"/>
    <cellStyle name="Normal 5 5 2 2 4 2 3" xfId="13331" xr:uid="{4E8FA5C1-0967-499F-9A84-13B8761C5E47}"/>
    <cellStyle name="Normal 5 5 2 2 4 3" xfId="6077" xr:uid="{00000000-0005-0000-0000-00005A1B0000}"/>
    <cellStyle name="Normal 5 5 2 2 4 3 2" xfId="15403" xr:uid="{854B2AB8-A8B8-4E29-BF52-2FF2F74E96B7}"/>
    <cellStyle name="Normal 5 5 2 2 4 4" xfId="11186" xr:uid="{6E78B939-9AF8-4290-B6BB-69944FE8CB21}"/>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3743011E-BCD3-48CC-9AF3-9791EDE7CFE4}"/>
    <cellStyle name="Normal 5 5 2 2 5 2 3" xfId="13744" xr:uid="{D64D8B69-A368-46DC-AABB-AFE58F2E560A}"/>
    <cellStyle name="Normal 5 5 2 2 5 3" xfId="6490" xr:uid="{00000000-0005-0000-0000-00005E1B0000}"/>
    <cellStyle name="Normal 5 5 2 2 5 3 2" xfId="15816" xr:uid="{B868EBEE-C4A5-454C-AF7E-2DCB6A4A44F7}"/>
    <cellStyle name="Normal 5 5 2 2 5 4" xfId="11599" xr:uid="{F0E7829C-31C6-48C2-8BC2-6884A879B491}"/>
    <cellStyle name="Normal 5 5 2 2 6" xfId="2620" xr:uid="{00000000-0005-0000-0000-00005F1B0000}"/>
    <cellStyle name="Normal 5 5 2 2 6 2" xfId="6903" xr:uid="{00000000-0005-0000-0000-0000601B0000}"/>
    <cellStyle name="Normal 5 5 2 2 6 2 2" xfId="16229" xr:uid="{0829F810-F045-4A94-8C22-C001F6014D7B}"/>
    <cellStyle name="Normal 5 5 2 2 6 3" xfId="12012" xr:uid="{4BF040E1-5AEE-4D0C-BE16-91A7791FA532}"/>
    <cellStyle name="Normal 5 5 2 2 7" xfId="4838" xr:uid="{00000000-0005-0000-0000-0000611B0000}"/>
    <cellStyle name="Normal 5 5 2 2 7 2" xfId="14164" xr:uid="{C9416EFC-2225-49FB-98F1-586CCAA94288}"/>
    <cellStyle name="Normal 5 5 2 2 8" xfId="9136" xr:uid="{D41453B5-3BE6-4F01-B336-45A274529844}"/>
    <cellStyle name="Normal 5 5 2 2 8 2" xfId="18460" xr:uid="{341F57A9-2470-4C1A-B307-43312598F88E}"/>
    <cellStyle name="Normal 5 5 2 2 9" xfId="9947" xr:uid="{707C586E-1624-4386-BF12-B73564F35114}"/>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8F8B42FD-3907-45D2-9293-DE4000E8D9DC}"/>
    <cellStyle name="Normal 5 5 2 3 2 3" xfId="12504" xr:uid="{976CA3ED-E151-43C0-A2CA-4285A64858F2}"/>
    <cellStyle name="Normal 5 5 2 3 3" xfId="5250" xr:uid="{00000000-0005-0000-0000-0000651B0000}"/>
    <cellStyle name="Normal 5 5 2 3 3 2" xfId="14576" xr:uid="{982113F4-AF50-4BDF-9725-1DB91427F03F}"/>
    <cellStyle name="Normal 5 5 2 3 4" xfId="9354" xr:uid="{3251F49D-E700-469D-9840-28045D408641}"/>
    <cellStyle name="Normal 5 5 2 3 4 2" xfId="18669" xr:uid="{7116E711-F57E-40DA-B032-3AEB575A1BDD}"/>
    <cellStyle name="Normal 5 5 2 3 5" xfId="10359" xr:uid="{0C94F6DE-70B4-4160-91E5-F142AAB63B1F}"/>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818C4517-0820-4E5A-A61D-ED0B9F7C6180}"/>
    <cellStyle name="Normal 5 5 2 4 2 3" xfId="12917" xr:uid="{58F79B29-92C9-476E-A101-A44F3061A1BD}"/>
    <cellStyle name="Normal 5 5 2 4 3" xfId="5663" xr:uid="{00000000-0005-0000-0000-0000691B0000}"/>
    <cellStyle name="Normal 5 5 2 4 3 2" xfId="14989" xr:uid="{9C970543-CDA7-408E-ADBB-4638B88114F6}"/>
    <cellStyle name="Normal 5 5 2 4 4" xfId="10772" xr:uid="{5A64659E-CCEA-4D62-8A35-818C432860B9}"/>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1118E0CC-387F-48D7-9233-5ABBF9BAF403}"/>
    <cellStyle name="Normal 5 5 2 5 2 3" xfId="13330" xr:uid="{2C1BE51D-4ACB-4BD3-89ED-CE9A68CDCB4B}"/>
    <cellStyle name="Normal 5 5 2 5 3" xfId="6076" xr:uid="{00000000-0005-0000-0000-00006D1B0000}"/>
    <cellStyle name="Normal 5 5 2 5 3 2" xfId="15402" xr:uid="{2358855E-2EB8-4E99-806C-3D5876B1FE21}"/>
    <cellStyle name="Normal 5 5 2 5 4" xfId="11185" xr:uid="{82E66D62-10BB-464C-9733-46720A211060}"/>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0D72419C-A435-4727-A631-4E53E2399161}"/>
    <cellStyle name="Normal 5 5 2 6 2 3" xfId="13743" xr:uid="{0BD26282-0C72-4C92-BA1E-B0FB9AFAA709}"/>
    <cellStyle name="Normal 5 5 2 6 3" xfId="6489" xr:uid="{00000000-0005-0000-0000-0000711B0000}"/>
    <cellStyle name="Normal 5 5 2 6 3 2" xfId="15815" xr:uid="{1C9E6180-9320-430E-89B8-9B7992C005A6}"/>
    <cellStyle name="Normal 5 5 2 6 4" xfId="11598" xr:uid="{32DCDE7C-05B3-4A04-9A79-A56AB3F0E2D2}"/>
    <cellStyle name="Normal 5 5 2 7" xfId="2619" xr:uid="{00000000-0005-0000-0000-0000721B0000}"/>
    <cellStyle name="Normal 5 5 2 7 2" xfId="6902" xr:uid="{00000000-0005-0000-0000-0000731B0000}"/>
    <cellStyle name="Normal 5 5 2 7 2 2" xfId="16228" xr:uid="{F1152F62-BF53-4ADE-B30E-89D86E3C33EE}"/>
    <cellStyle name="Normal 5 5 2 7 3" xfId="12011" xr:uid="{C28D4BE2-863C-4D65-8D76-F5F6C65A3CC5}"/>
    <cellStyle name="Normal 5 5 2 8" xfId="4837" xr:uid="{00000000-0005-0000-0000-0000741B0000}"/>
    <cellStyle name="Normal 5 5 2 8 2" xfId="14163" xr:uid="{F4BCCDC6-6D04-48CD-AA73-5BDA6337B6EF}"/>
    <cellStyle name="Normal 5 5 2 9" xfId="8929" xr:uid="{918246BA-1946-46D4-8BAF-6DC0C4DC8AC3}"/>
    <cellStyle name="Normal 5 5 2 9 2" xfId="18253" xr:uid="{3211551B-A7A0-4BEE-B3B0-75750C94A11F}"/>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E3B6348F-8D43-4398-8ECC-372168B3BB4C}"/>
    <cellStyle name="Normal 5 5 3 2 2 3" xfId="12506" xr:uid="{2C01BF7C-59DE-4154-A714-AF8C6A71141F}"/>
    <cellStyle name="Normal 5 5 3 2 3" xfId="5252" xr:uid="{00000000-0005-0000-0000-0000791B0000}"/>
    <cellStyle name="Normal 5 5 3 2 3 2" xfId="14578" xr:uid="{978A57D3-8BD1-4B76-A898-2E6983D13458}"/>
    <cellStyle name="Normal 5 5 3 2 4" xfId="9458" xr:uid="{8AD16727-CFBF-4DB5-B58F-04D48E2B564D}"/>
    <cellStyle name="Normal 5 5 3 2 4 2" xfId="18773" xr:uid="{5FCFB248-104C-4E5D-BDDC-6D2C0B23FDC9}"/>
    <cellStyle name="Normal 5 5 3 2 5" xfId="10361" xr:uid="{B96FB55A-A193-42C0-BF5C-EC32F70E5E92}"/>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BC2616AC-E9F4-4679-86CB-CCE4A9449750}"/>
    <cellStyle name="Normal 5 5 3 3 2 3" xfId="12919" xr:uid="{2FAF46DE-682B-4273-9DAA-18B265D50C8A}"/>
    <cellStyle name="Normal 5 5 3 3 3" xfId="5665" xr:uid="{00000000-0005-0000-0000-00007D1B0000}"/>
    <cellStyle name="Normal 5 5 3 3 3 2" xfId="14991" xr:uid="{700AEFA5-6820-46C2-BE7C-667DCD0253C3}"/>
    <cellStyle name="Normal 5 5 3 3 4" xfId="10774" xr:uid="{5EED40D8-F01A-4E9B-8FFF-DAB6F35D6902}"/>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C115E8BA-3ECA-43AF-BAD1-373D2C16AD67}"/>
    <cellStyle name="Normal 5 5 3 4 2 3" xfId="13332" xr:uid="{FC788F11-E69F-472C-A8FB-64C350B18CDA}"/>
    <cellStyle name="Normal 5 5 3 4 3" xfId="6078" xr:uid="{00000000-0005-0000-0000-0000811B0000}"/>
    <cellStyle name="Normal 5 5 3 4 3 2" xfId="15404" xr:uid="{2A670038-1DBF-4EC6-A471-71F6B23716EB}"/>
    <cellStyle name="Normal 5 5 3 4 4" xfId="11187" xr:uid="{A055B6E2-8D64-46B5-B5FB-7311EAFB844D}"/>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7D779889-B213-440E-9E79-33D6B9BD5866}"/>
    <cellStyle name="Normal 5 5 3 5 2 3" xfId="13745" xr:uid="{5CC87D4F-053F-4CE8-B41F-96BCB364F348}"/>
    <cellStyle name="Normal 5 5 3 5 3" xfId="6491" xr:uid="{00000000-0005-0000-0000-0000851B0000}"/>
    <cellStyle name="Normal 5 5 3 5 3 2" xfId="15817" xr:uid="{1DD896F0-7609-4CC3-98F0-0DF1EE00DA92}"/>
    <cellStyle name="Normal 5 5 3 5 4" xfId="11600" xr:uid="{F4505CE2-F831-490D-AF7A-484173DC5203}"/>
    <cellStyle name="Normal 5 5 3 6" xfId="2621" xr:uid="{00000000-0005-0000-0000-0000861B0000}"/>
    <cellStyle name="Normal 5 5 3 6 2" xfId="6904" xr:uid="{00000000-0005-0000-0000-0000871B0000}"/>
    <cellStyle name="Normal 5 5 3 6 2 2" xfId="16230" xr:uid="{0BD2AA39-A05E-45CE-8B34-F1D0DF9B6A22}"/>
    <cellStyle name="Normal 5 5 3 6 3" xfId="12013" xr:uid="{EFA4E76D-DDAE-4F33-9269-E8DF99C32346}"/>
    <cellStyle name="Normal 5 5 3 7" xfId="4839" xr:uid="{00000000-0005-0000-0000-0000881B0000}"/>
    <cellStyle name="Normal 5 5 3 7 2" xfId="14165" xr:uid="{1CD61B12-E8A2-49BA-AF7F-53589F96181B}"/>
    <cellStyle name="Normal 5 5 3 8" xfId="9033" xr:uid="{08F77EF7-8D03-42D9-B538-FE3582C4B971}"/>
    <cellStyle name="Normal 5 5 3 8 2" xfId="18357" xr:uid="{289EE836-7DFF-47A4-82C8-B58F81E7B06F}"/>
    <cellStyle name="Normal 5 5 3 9" xfId="9948" xr:uid="{82C7F60E-9B49-47FA-A11A-14BA203B4042}"/>
    <cellStyle name="Normal 5 5 4" xfId="938" xr:uid="{00000000-0005-0000-0000-0000891B0000}"/>
    <cellStyle name="Normal 5 5 4 2" xfId="3172" xr:uid="{00000000-0005-0000-0000-00008A1B0000}"/>
    <cellStyle name="Normal 5 5 4 2 2" xfId="7394" xr:uid="{00000000-0005-0000-0000-00008B1B0000}"/>
    <cellStyle name="Normal 5 5 4 2 2 2" xfId="16720" xr:uid="{A5A6F17C-E4A5-4B00-9E26-1AF2F16EFF34}"/>
    <cellStyle name="Normal 5 5 4 2 3" xfId="12503" xr:uid="{EDB305D7-2C59-4EE0-9D54-AB03BF30B6EF}"/>
    <cellStyle name="Normal 5 5 4 3" xfId="5249" xr:uid="{00000000-0005-0000-0000-00008C1B0000}"/>
    <cellStyle name="Normal 5 5 4 3 2" xfId="14575" xr:uid="{CB757D3C-30C5-49DE-B678-89848E435DF5}"/>
    <cellStyle name="Normal 5 5 4 4" xfId="9251" xr:uid="{4EAD9E35-D3C9-46BE-AE4D-29A1C6D5A6F7}"/>
    <cellStyle name="Normal 5 5 4 4 2" xfId="18566" xr:uid="{1E67EF8A-80E2-4E63-9622-4A8ADCBABAC9}"/>
    <cellStyle name="Normal 5 5 4 5" xfId="10358" xr:uid="{CA83F0BD-FB33-4E4E-BB7D-5FD9CB66F275}"/>
    <cellStyle name="Normal 5 5 5" xfId="1355" xr:uid="{00000000-0005-0000-0000-00008D1B0000}"/>
    <cellStyle name="Normal 5 5 5 2" xfId="3585" xr:uid="{00000000-0005-0000-0000-00008E1B0000}"/>
    <cellStyle name="Normal 5 5 5 2 2" xfId="7807" xr:uid="{00000000-0005-0000-0000-00008F1B0000}"/>
    <cellStyle name="Normal 5 5 5 2 2 2" xfId="17133" xr:uid="{E4BBC49B-1536-45B5-9AFC-75629F24572A}"/>
    <cellStyle name="Normal 5 5 5 2 3" xfId="12916" xr:uid="{C0984638-CD1E-432F-9789-D5F3E17EC3A3}"/>
    <cellStyle name="Normal 5 5 5 3" xfId="5662" xr:uid="{00000000-0005-0000-0000-0000901B0000}"/>
    <cellStyle name="Normal 5 5 5 3 2" xfId="14988" xr:uid="{E26BE1DB-B237-414C-A555-4B10347018BE}"/>
    <cellStyle name="Normal 5 5 5 4" xfId="10771" xr:uid="{3669ACAE-DAF0-496B-81DC-9235AFB5D5E8}"/>
    <cellStyle name="Normal 5 5 6" xfId="1768" xr:uid="{00000000-0005-0000-0000-0000911B0000}"/>
    <cellStyle name="Normal 5 5 6 2" xfId="3998" xr:uid="{00000000-0005-0000-0000-0000921B0000}"/>
    <cellStyle name="Normal 5 5 6 2 2" xfId="8220" xr:uid="{00000000-0005-0000-0000-0000931B0000}"/>
    <cellStyle name="Normal 5 5 6 2 2 2" xfId="17546" xr:uid="{E28F73E5-5B8C-4B6D-AB5C-AA5D80AE307A}"/>
    <cellStyle name="Normal 5 5 6 2 3" xfId="13329" xr:uid="{66FF11D5-C504-43ED-A79D-C7B18D419A14}"/>
    <cellStyle name="Normal 5 5 6 3" xfId="6075" xr:uid="{00000000-0005-0000-0000-0000941B0000}"/>
    <cellStyle name="Normal 5 5 6 3 2" xfId="15401" xr:uid="{2BB493A0-2D52-4ECC-8EAE-0A1239E2A206}"/>
    <cellStyle name="Normal 5 5 6 4" xfId="11184" xr:uid="{2FAE7F61-13BE-43FF-85FF-B9F819A5DD2F}"/>
    <cellStyle name="Normal 5 5 7" xfId="2182" xr:uid="{00000000-0005-0000-0000-0000951B0000}"/>
    <cellStyle name="Normal 5 5 7 2" xfId="4411" xr:uid="{00000000-0005-0000-0000-0000961B0000}"/>
    <cellStyle name="Normal 5 5 7 2 2" xfId="8633" xr:uid="{00000000-0005-0000-0000-0000971B0000}"/>
    <cellStyle name="Normal 5 5 7 2 2 2" xfId="17959" xr:uid="{B8AB24E5-1262-4F5D-BE4E-C3DB7E95B21A}"/>
    <cellStyle name="Normal 5 5 7 2 3" xfId="13742" xr:uid="{0158471B-AC23-40C4-BEF3-E9DA6B100BC2}"/>
    <cellStyle name="Normal 5 5 7 3" xfId="6488" xr:uid="{00000000-0005-0000-0000-0000981B0000}"/>
    <cellStyle name="Normal 5 5 7 3 2" xfId="15814" xr:uid="{7FFA50EC-5828-4FD2-AEC0-2E00A47A2AC7}"/>
    <cellStyle name="Normal 5 5 7 4" xfId="11597" xr:uid="{261FD7FE-5B1C-4251-B669-DE97E01102A3}"/>
    <cellStyle name="Normal 5 5 8" xfId="2618" xr:uid="{00000000-0005-0000-0000-0000991B0000}"/>
    <cellStyle name="Normal 5 5 8 2" xfId="6901" xr:uid="{00000000-0005-0000-0000-00009A1B0000}"/>
    <cellStyle name="Normal 5 5 8 2 2" xfId="16227" xr:uid="{F0E214CB-BA4E-49B7-BA16-4B17D02FD19D}"/>
    <cellStyle name="Normal 5 5 8 3" xfId="12010" xr:uid="{0FB1545B-BF85-45B4-BE94-DCF42FA3276B}"/>
    <cellStyle name="Normal 5 5 9" xfId="4836" xr:uid="{00000000-0005-0000-0000-00009B1B0000}"/>
    <cellStyle name="Normal 5 5 9 2" xfId="14162" xr:uid="{280655A0-A8BC-4C5D-A1C1-F4BE5C20AEA7}"/>
    <cellStyle name="Normal 5 6" xfId="468" xr:uid="{00000000-0005-0000-0000-00009C1B0000}"/>
    <cellStyle name="Normal 5 6 10" xfId="9949" xr:uid="{A1AABA3E-72E1-40BA-B2DD-3DA81844390B}"/>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6B17BD5E-4814-4AC3-9F35-CDABA188E6AB}"/>
    <cellStyle name="Normal 5 6 2 2 2 3" xfId="12508" xr:uid="{561A18FF-04AC-49CA-AF56-35481D3C4BE5}"/>
    <cellStyle name="Normal 5 6 2 2 3" xfId="5254" xr:uid="{00000000-0005-0000-0000-0000A11B0000}"/>
    <cellStyle name="Normal 5 6 2 2 3 2" xfId="14580" xr:uid="{52EA9AEB-0011-4089-92C8-6665F5C3C9F3}"/>
    <cellStyle name="Normal 5 6 2 2 4" xfId="9476" xr:uid="{3B3E6CA1-4D97-4B11-99D5-4F82314AA0E0}"/>
    <cellStyle name="Normal 5 6 2 2 4 2" xfId="18791" xr:uid="{577EDC62-F388-4E42-AD9D-8B8911F0B859}"/>
    <cellStyle name="Normal 5 6 2 2 5" xfId="10363" xr:uid="{4985A4FF-4CF2-479B-AC8B-2BC816C102D9}"/>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A1949ECD-A0E0-4C7F-83FA-11CDA8124AD3}"/>
    <cellStyle name="Normal 5 6 2 3 2 3" xfId="12921" xr:uid="{66F0315D-EFB8-4FA8-85AD-5B2EBB1D2270}"/>
    <cellStyle name="Normal 5 6 2 3 3" xfId="5667" xr:uid="{00000000-0005-0000-0000-0000A51B0000}"/>
    <cellStyle name="Normal 5 6 2 3 3 2" xfId="14993" xr:uid="{4C1753B6-8D1F-41FF-BBE4-28BC5F5BA929}"/>
    <cellStyle name="Normal 5 6 2 3 4" xfId="10776" xr:uid="{DF83AEB8-D9AD-44E8-B356-EB62D8A610A6}"/>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CCDA3564-BA2E-4D1A-98FF-4B83602F3727}"/>
    <cellStyle name="Normal 5 6 2 4 2 3" xfId="13334" xr:uid="{D95D8FEB-5A57-41C6-BD6B-59CE0A302260}"/>
    <cellStyle name="Normal 5 6 2 4 3" xfId="6080" xr:uid="{00000000-0005-0000-0000-0000A91B0000}"/>
    <cellStyle name="Normal 5 6 2 4 3 2" xfId="15406" xr:uid="{E733B338-D87C-4BDE-B823-6CEF99776EEA}"/>
    <cellStyle name="Normal 5 6 2 4 4" xfId="11189" xr:uid="{2720FFB9-1F39-4CAE-AC6B-832A6D961300}"/>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55735CF7-5AB2-4B6B-8EC1-6BFE07CC51D6}"/>
    <cellStyle name="Normal 5 6 2 5 2 3" xfId="13747" xr:uid="{D4E3913C-1E46-40D8-8D83-CFF174F3B9AC}"/>
    <cellStyle name="Normal 5 6 2 5 3" xfId="6493" xr:uid="{00000000-0005-0000-0000-0000AD1B0000}"/>
    <cellStyle name="Normal 5 6 2 5 3 2" xfId="15819" xr:uid="{72EB686D-7BA4-4E43-B5ED-11E69455F827}"/>
    <cellStyle name="Normal 5 6 2 5 4" xfId="11602" xr:uid="{07C2372E-13A5-40FB-8875-7CB04017ADBB}"/>
    <cellStyle name="Normal 5 6 2 6" xfId="2623" xr:uid="{00000000-0005-0000-0000-0000AE1B0000}"/>
    <cellStyle name="Normal 5 6 2 6 2" xfId="6906" xr:uid="{00000000-0005-0000-0000-0000AF1B0000}"/>
    <cellStyle name="Normal 5 6 2 6 2 2" xfId="16232" xr:uid="{FCCA7262-B797-42F0-A679-3B2DCE39247F}"/>
    <cellStyle name="Normal 5 6 2 6 3" xfId="12015" xr:uid="{B0C815EC-58B3-41FA-9AF7-59B741437C14}"/>
    <cellStyle name="Normal 5 6 2 7" xfId="4841" xr:uid="{00000000-0005-0000-0000-0000B01B0000}"/>
    <cellStyle name="Normal 5 6 2 7 2" xfId="14167" xr:uid="{3D05647D-6E71-4B83-B6D2-C5AC1EC46CE8}"/>
    <cellStyle name="Normal 5 6 2 8" xfId="9051" xr:uid="{97C72229-9AC1-4DA9-8A0B-8B4B6D970DE8}"/>
    <cellStyle name="Normal 5 6 2 8 2" xfId="18375" xr:uid="{F2C023DB-24DC-4839-ABAC-A706DA927D1A}"/>
    <cellStyle name="Normal 5 6 2 9" xfId="9950" xr:uid="{A515CBA6-3441-48D2-951C-557DF6F8C44D}"/>
    <cellStyle name="Normal 5 6 3" xfId="942" xr:uid="{00000000-0005-0000-0000-0000B11B0000}"/>
    <cellStyle name="Normal 5 6 3 2" xfId="3176" xr:uid="{00000000-0005-0000-0000-0000B21B0000}"/>
    <cellStyle name="Normal 5 6 3 2 2" xfId="7398" xr:uid="{00000000-0005-0000-0000-0000B31B0000}"/>
    <cellStyle name="Normal 5 6 3 2 2 2" xfId="16724" xr:uid="{F579F439-A797-4FFE-8BAF-3CBF3E2C9D18}"/>
    <cellStyle name="Normal 5 6 3 2 3" xfId="12507" xr:uid="{7BF7127E-DE66-405C-862F-7AB6CEBA6D8F}"/>
    <cellStyle name="Normal 5 6 3 3" xfId="5253" xr:uid="{00000000-0005-0000-0000-0000B41B0000}"/>
    <cellStyle name="Normal 5 6 3 3 2" xfId="14579" xr:uid="{C3AF212E-99A4-4A13-8D0D-15C0F36F4CB9}"/>
    <cellStyle name="Normal 5 6 3 4" xfId="9269" xr:uid="{7D6728A0-C210-4F3F-8114-143B9AE0BFB4}"/>
    <cellStyle name="Normal 5 6 3 4 2" xfId="18584" xr:uid="{CD89B6F4-A69C-4A1C-ADA5-D7E163D43BC1}"/>
    <cellStyle name="Normal 5 6 3 5" xfId="10362" xr:uid="{AF45294D-6458-4A7E-B612-BA4094D72884}"/>
    <cellStyle name="Normal 5 6 4" xfId="1359" xr:uid="{00000000-0005-0000-0000-0000B51B0000}"/>
    <cellStyle name="Normal 5 6 4 2" xfId="3589" xr:uid="{00000000-0005-0000-0000-0000B61B0000}"/>
    <cellStyle name="Normal 5 6 4 2 2" xfId="7811" xr:uid="{00000000-0005-0000-0000-0000B71B0000}"/>
    <cellStyle name="Normal 5 6 4 2 2 2" xfId="17137" xr:uid="{3F233B0A-A86A-4970-AA48-D7EFBB2D0ACB}"/>
    <cellStyle name="Normal 5 6 4 2 3" xfId="12920" xr:uid="{21C1382E-34F0-48BA-B95B-F4CD1BBBB8B4}"/>
    <cellStyle name="Normal 5 6 4 3" xfId="5666" xr:uid="{00000000-0005-0000-0000-0000B81B0000}"/>
    <cellStyle name="Normal 5 6 4 3 2" xfId="14992" xr:uid="{0A03C434-9589-450A-AD1D-F32CF317864C}"/>
    <cellStyle name="Normal 5 6 4 4" xfId="10775" xr:uid="{1770338B-810C-445B-95E4-75750116D7E2}"/>
    <cellStyle name="Normal 5 6 5" xfId="1772" xr:uid="{00000000-0005-0000-0000-0000B91B0000}"/>
    <cellStyle name="Normal 5 6 5 2" xfId="4002" xr:uid="{00000000-0005-0000-0000-0000BA1B0000}"/>
    <cellStyle name="Normal 5 6 5 2 2" xfId="8224" xr:uid="{00000000-0005-0000-0000-0000BB1B0000}"/>
    <cellStyle name="Normal 5 6 5 2 2 2" xfId="17550" xr:uid="{0956A2EE-20A2-4A46-ABF7-50EAF4542E41}"/>
    <cellStyle name="Normal 5 6 5 2 3" xfId="13333" xr:uid="{2B3E3BFE-4A6A-4883-BA50-803F6DE9664E}"/>
    <cellStyle name="Normal 5 6 5 3" xfId="6079" xr:uid="{00000000-0005-0000-0000-0000BC1B0000}"/>
    <cellStyle name="Normal 5 6 5 3 2" xfId="15405" xr:uid="{D8B0A8F5-FE16-4B7A-8F62-69A6E2D7669C}"/>
    <cellStyle name="Normal 5 6 5 4" xfId="11188" xr:uid="{7CFF14E3-C090-4C50-BDD7-ABA915962502}"/>
    <cellStyle name="Normal 5 6 6" xfId="2186" xr:uid="{00000000-0005-0000-0000-0000BD1B0000}"/>
    <cellStyle name="Normal 5 6 6 2" xfId="4415" xr:uid="{00000000-0005-0000-0000-0000BE1B0000}"/>
    <cellStyle name="Normal 5 6 6 2 2" xfId="8637" xr:uid="{00000000-0005-0000-0000-0000BF1B0000}"/>
    <cellStyle name="Normal 5 6 6 2 2 2" xfId="17963" xr:uid="{F2F20AE4-8410-49B8-AB75-E133119D41E9}"/>
    <cellStyle name="Normal 5 6 6 2 3" xfId="13746" xr:uid="{5DB397C7-9A9A-4DE2-80B7-5204E52161EC}"/>
    <cellStyle name="Normal 5 6 6 3" xfId="6492" xr:uid="{00000000-0005-0000-0000-0000C01B0000}"/>
    <cellStyle name="Normal 5 6 6 3 2" xfId="15818" xr:uid="{CC151B55-A5E2-49D6-B017-A30A7D9E4FF7}"/>
    <cellStyle name="Normal 5 6 6 4" xfId="11601" xr:uid="{E5CE62CC-E8FD-4589-AE13-5B2B7B19E5D1}"/>
    <cellStyle name="Normal 5 6 7" xfId="2622" xr:uid="{00000000-0005-0000-0000-0000C11B0000}"/>
    <cellStyle name="Normal 5 6 7 2" xfId="6905" xr:uid="{00000000-0005-0000-0000-0000C21B0000}"/>
    <cellStyle name="Normal 5 6 7 2 2" xfId="16231" xr:uid="{5D3C634E-7F12-4B31-A5B2-069DB70CDBF4}"/>
    <cellStyle name="Normal 5 6 7 3" xfId="12014" xr:uid="{51A74846-DE42-4E51-A9AE-2BC79A918D74}"/>
    <cellStyle name="Normal 5 6 8" xfId="4840" xr:uid="{00000000-0005-0000-0000-0000C31B0000}"/>
    <cellStyle name="Normal 5 6 8 2" xfId="14166" xr:uid="{051C19F4-1759-4B99-867D-FA39766FC9CA}"/>
    <cellStyle name="Normal 5 6 9" xfId="8844" xr:uid="{91B947E4-8FF0-409F-B157-688724766D9F}"/>
    <cellStyle name="Normal 5 6 9 2" xfId="18168" xr:uid="{3022C319-84F1-46AA-9796-AF03A1A0BA7E}"/>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726" xr:uid="{0074C093-663D-4BE7-863B-47F7404FEB74}"/>
    <cellStyle name="Normal 5 7 2 2 3" xfId="12509" xr:uid="{B1A1262E-7D3A-461E-8218-EDEFAC1709DC}"/>
    <cellStyle name="Normal 5 7 2 3" xfId="5255" xr:uid="{00000000-0005-0000-0000-0000C81B0000}"/>
    <cellStyle name="Normal 5 7 2 3 2" xfId="14581" xr:uid="{8B62C6B9-C0D6-4785-875C-AF229358B14C}"/>
    <cellStyle name="Normal 5 7 2 4" xfId="9385" xr:uid="{2E4A3B0A-2E42-41AC-9564-09D1598995A2}"/>
    <cellStyle name="Normal 5 7 2 4 2" xfId="18700" xr:uid="{DB57C208-AE2D-4117-996A-57CD9E9761C6}"/>
    <cellStyle name="Normal 5 7 2 5" xfId="10364" xr:uid="{D28B30A6-DA0B-4824-A48E-0FFE2D04E504}"/>
    <cellStyle name="Normal 5 7 3" xfId="1361" xr:uid="{00000000-0005-0000-0000-0000C91B0000}"/>
    <cellStyle name="Normal 5 7 3 2" xfId="3591" xr:uid="{00000000-0005-0000-0000-0000CA1B0000}"/>
    <cellStyle name="Normal 5 7 3 2 2" xfId="7813" xr:uid="{00000000-0005-0000-0000-0000CB1B0000}"/>
    <cellStyle name="Normal 5 7 3 2 2 2" xfId="17139" xr:uid="{D74187B7-2F8D-4893-AE0D-03F18D56DC8A}"/>
    <cellStyle name="Normal 5 7 3 2 3" xfId="12922" xr:uid="{98D989ED-BC8A-49F3-9094-F4DF4B828308}"/>
    <cellStyle name="Normal 5 7 3 3" xfId="5668" xr:uid="{00000000-0005-0000-0000-0000CC1B0000}"/>
    <cellStyle name="Normal 5 7 3 3 2" xfId="14994" xr:uid="{0CEAA3E5-122D-4BD9-9F9F-48F492177616}"/>
    <cellStyle name="Normal 5 7 3 4" xfId="10777" xr:uid="{1AB45E55-FF10-4DF7-8471-1496C45B1760}"/>
    <cellStyle name="Normal 5 7 4" xfId="1774" xr:uid="{00000000-0005-0000-0000-0000CD1B0000}"/>
    <cellStyle name="Normal 5 7 4 2" xfId="4004" xr:uid="{00000000-0005-0000-0000-0000CE1B0000}"/>
    <cellStyle name="Normal 5 7 4 2 2" xfId="8226" xr:uid="{00000000-0005-0000-0000-0000CF1B0000}"/>
    <cellStyle name="Normal 5 7 4 2 2 2" xfId="17552" xr:uid="{A8E82A6E-223D-4153-B62F-F44B718A278F}"/>
    <cellStyle name="Normal 5 7 4 2 3" xfId="13335" xr:uid="{D0FEABBC-C8AA-412A-A409-71F4E6289118}"/>
    <cellStyle name="Normal 5 7 4 3" xfId="6081" xr:uid="{00000000-0005-0000-0000-0000D01B0000}"/>
    <cellStyle name="Normal 5 7 4 3 2" xfId="15407" xr:uid="{CF3D041F-BCE8-4CFE-A1D8-A911264305E0}"/>
    <cellStyle name="Normal 5 7 4 4" xfId="11190" xr:uid="{4E8E2FE8-5CF5-43BC-B73D-575AC50CA43C}"/>
    <cellStyle name="Normal 5 7 5" xfId="2188" xr:uid="{00000000-0005-0000-0000-0000D11B0000}"/>
    <cellStyle name="Normal 5 7 5 2" xfId="4417" xr:uid="{00000000-0005-0000-0000-0000D21B0000}"/>
    <cellStyle name="Normal 5 7 5 2 2" xfId="8639" xr:uid="{00000000-0005-0000-0000-0000D31B0000}"/>
    <cellStyle name="Normal 5 7 5 2 2 2" xfId="17965" xr:uid="{3F7A843F-C95F-4F73-A667-9D1A7895C420}"/>
    <cellStyle name="Normal 5 7 5 2 3" xfId="13748" xr:uid="{8A4C3699-C88F-4110-9B36-9103A1B87559}"/>
    <cellStyle name="Normal 5 7 5 3" xfId="6494" xr:uid="{00000000-0005-0000-0000-0000D41B0000}"/>
    <cellStyle name="Normal 5 7 5 3 2" xfId="15820" xr:uid="{6BBB874D-ADAE-4029-818A-D628B547418B}"/>
    <cellStyle name="Normal 5 7 5 4" xfId="11603" xr:uid="{4997D7B2-C2B2-4443-8384-A904F4CA0D56}"/>
    <cellStyle name="Normal 5 7 6" xfId="2624" xr:uid="{00000000-0005-0000-0000-0000D51B0000}"/>
    <cellStyle name="Normal 5 7 6 2" xfId="6907" xr:uid="{00000000-0005-0000-0000-0000D61B0000}"/>
    <cellStyle name="Normal 5 7 6 2 2" xfId="16233" xr:uid="{3282DAE7-94F1-4774-BA6D-C2CCA86D14EA}"/>
    <cellStyle name="Normal 5 7 6 3" xfId="12016" xr:uid="{8A67EF8A-14E6-449F-8055-1E20C7C94082}"/>
    <cellStyle name="Normal 5 7 7" xfId="4842" xr:uid="{00000000-0005-0000-0000-0000D71B0000}"/>
    <cellStyle name="Normal 5 7 7 2" xfId="14168" xr:uid="{B43D4293-EE62-43F7-AED4-8FEF10E90738}"/>
    <cellStyle name="Normal 5 7 8" xfId="8960" xr:uid="{F4BEC964-53C9-4393-B7F1-69B47FC1FF25}"/>
    <cellStyle name="Normal 5 7 8 2" xfId="18284" xr:uid="{BC162CD4-1A6A-42E3-8564-081B9B1DAC22}"/>
    <cellStyle name="Normal 5 7 9" xfId="9951" xr:uid="{9F879B15-4E1B-4D5E-A96C-9CE6B3F7AAF9}"/>
    <cellStyle name="Normal 5 8" xfId="880" xr:uid="{00000000-0005-0000-0000-0000D81B0000}"/>
    <cellStyle name="Normal 5 8 2" xfId="3115" xr:uid="{00000000-0005-0000-0000-0000D91B0000}"/>
    <cellStyle name="Normal 5 8 2 2" xfId="7337" xr:uid="{00000000-0005-0000-0000-0000DA1B0000}"/>
    <cellStyle name="Normal 5 8 2 2 2" xfId="16663" xr:uid="{D14F7C96-CFD0-43EB-90D8-A6F85B81B551}"/>
    <cellStyle name="Normal 5 8 2 3" xfId="12446" xr:uid="{DFFC41DF-A9B0-492A-BFCB-DA7C2EF70A9B}"/>
    <cellStyle name="Normal 5 8 3" xfId="5192" xr:uid="{00000000-0005-0000-0000-0000DB1B0000}"/>
    <cellStyle name="Normal 5 8 3 2" xfId="14518" xr:uid="{374C0907-DAB6-4A62-831B-3E9259D815D0}"/>
    <cellStyle name="Normal 5 8 4" xfId="9163" xr:uid="{44C7CAD4-DD7C-48E0-9142-8ED22123C662}"/>
    <cellStyle name="Normal 5 8 4 2" xfId="18481" xr:uid="{5AB52C48-D907-4D89-A6FC-A67B921D09FB}"/>
    <cellStyle name="Normal 5 8 5" xfId="10301" xr:uid="{D07B0DDC-3FAF-4930-B170-5C516BB16580}"/>
    <cellStyle name="Normal 5 9" xfId="1298" xr:uid="{00000000-0005-0000-0000-0000DC1B0000}"/>
    <cellStyle name="Normal 5 9 2" xfId="3528" xr:uid="{00000000-0005-0000-0000-0000DD1B0000}"/>
    <cellStyle name="Normal 5 9 2 2" xfId="7750" xr:uid="{00000000-0005-0000-0000-0000DE1B0000}"/>
    <cellStyle name="Normal 5 9 2 2 2" xfId="17076" xr:uid="{EE99C516-1F33-472F-B665-DE05F1398A13}"/>
    <cellStyle name="Normal 5 9 2 3" xfId="12859" xr:uid="{14B0B521-0093-48B1-BF5F-89C118B39D9B}"/>
    <cellStyle name="Normal 5 9 3" xfId="5605" xr:uid="{00000000-0005-0000-0000-0000DF1B0000}"/>
    <cellStyle name="Normal 5 9 3 2" xfId="14931" xr:uid="{9356BDD1-31CB-4D23-B997-DAB21FAE2883}"/>
    <cellStyle name="Normal 5 9 4" xfId="10714" xr:uid="{34DDCD75-5153-46F5-ADCD-B99EDB6DB2ED}"/>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D83E9FAF-0044-4EC3-B3A1-E0E084F411BB}"/>
    <cellStyle name="Normal 8 10 2 3" xfId="13749" xr:uid="{0DDCDE3D-6AA0-4BDC-A7DE-B83CF3A29016}"/>
    <cellStyle name="Normal 8 10 3" xfId="6495" xr:uid="{00000000-0005-0000-0000-0000EB1B0000}"/>
    <cellStyle name="Normal 8 10 3 2" xfId="15821" xr:uid="{AE7A9AA3-B7BD-4583-AE34-5DBDCAC3D3C2}"/>
    <cellStyle name="Normal 8 10 4" xfId="11604" xr:uid="{E367465D-2CBA-4082-973B-B82CA812B201}"/>
    <cellStyle name="Normal 8 11" xfId="2625" xr:uid="{00000000-0005-0000-0000-0000EC1B0000}"/>
    <cellStyle name="Normal 8 11 2" xfId="6908" xr:uid="{00000000-0005-0000-0000-0000ED1B0000}"/>
    <cellStyle name="Normal 8 11 2 2" xfId="16234" xr:uid="{4763CDF7-95DA-44A3-BC4C-EACC5C6EEC3F}"/>
    <cellStyle name="Normal 8 11 3" xfId="12017" xr:uid="{81C511BE-DCBE-4CEF-B750-E8AB8DCF2793}"/>
    <cellStyle name="Normal 8 12" xfId="4843" xr:uid="{00000000-0005-0000-0000-0000EE1B0000}"/>
    <cellStyle name="Normal 8 12 2" xfId="14169" xr:uid="{61E2F946-4848-4CD6-A473-CFCE234AC644}"/>
    <cellStyle name="Normal 8 13" xfId="8742" xr:uid="{AF36CBBC-3EEB-4AC8-923B-65C7C2418AB0}"/>
    <cellStyle name="Normal 8 13 2" xfId="18066" xr:uid="{FE4D08FE-FA36-45D9-88A7-5570517BF030}"/>
    <cellStyle name="Normal 8 14" xfId="9952" xr:uid="{A21779C2-F416-4E0A-9E70-67D276D8810B}"/>
    <cellStyle name="Normal 8 2" xfId="479" xr:uid="{00000000-0005-0000-0000-0000EF1B0000}"/>
    <cellStyle name="Normal 8 2 10" xfId="2626" xr:uid="{00000000-0005-0000-0000-0000F01B0000}"/>
    <cellStyle name="Normal 8 2 10 2" xfId="6909" xr:uid="{00000000-0005-0000-0000-0000F11B0000}"/>
    <cellStyle name="Normal 8 2 10 2 2" xfId="16235" xr:uid="{3B5BD901-7F8A-4235-8186-40E6D975C0B0}"/>
    <cellStyle name="Normal 8 2 10 3" xfId="12018" xr:uid="{87C4DA44-22C3-465F-A96A-8F614E3BBBB8}"/>
    <cellStyle name="Normal 8 2 11" xfId="4844" xr:uid="{00000000-0005-0000-0000-0000F21B0000}"/>
    <cellStyle name="Normal 8 2 11 2" xfId="14170" xr:uid="{A3FF565A-B6B3-4274-9543-0A729295BE92}"/>
    <cellStyle name="Normal 8 2 12" xfId="8751" xr:uid="{476D0553-3387-4D9F-B05B-56EC7A36F7A1}"/>
    <cellStyle name="Normal 8 2 12 2" xfId="18075" xr:uid="{F82C4ECA-C1E6-4336-A2FA-4878829DC461}"/>
    <cellStyle name="Normal 8 2 13" xfId="9953" xr:uid="{AED67A3D-F570-4C2F-9596-7027FF22EF96}"/>
    <cellStyle name="Normal 8 2 2" xfId="480" xr:uid="{00000000-0005-0000-0000-0000F31B0000}"/>
    <cellStyle name="Normal 8 2 2 10" xfId="4845" xr:uid="{00000000-0005-0000-0000-0000F41B0000}"/>
    <cellStyle name="Normal 8 2 2 10 2" xfId="14171" xr:uid="{8C4B744C-1041-43C9-9DDA-7B39AC37C9D2}"/>
    <cellStyle name="Normal 8 2 2 11" xfId="8783" xr:uid="{3C426022-C415-47DA-A8EF-1D6CE72527BD}"/>
    <cellStyle name="Normal 8 2 2 11 2" xfId="18107" xr:uid="{F41830E1-943E-4B74-9D59-81E36AF48DB0}"/>
    <cellStyle name="Normal 8 2 2 12" xfId="9954" xr:uid="{779BA482-AB00-47BD-8051-7CB2908EE07D}"/>
    <cellStyle name="Normal 8 2 2 2" xfId="481" xr:uid="{00000000-0005-0000-0000-0000F51B0000}"/>
    <cellStyle name="Normal 8 2 2 2 10" xfId="8836" xr:uid="{870E50AF-610D-4E0C-BDE0-389D6B32A0FA}"/>
    <cellStyle name="Normal 8 2 2 2 10 2" xfId="18160" xr:uid="{4FED4259-C600-4D2E-BFD0-64268C076F8E}"/>
    <cellStyle name="Normal 8 2 2 2 11" xfId="9955" xr:uid="{5EFA30A3-578C-4B09-8DE1-E053C22E0880}"/>
    <cellStyle name="Normal 8 2 2 2 2" xfId="482" xr:uid="{00000000-0005-0000-0000-0000F61B0000}"/>
    <cellStyle name="Normal 8 2 2 2 2 10" xfId="9956" xr:uid="{3E173272-31E7-4226-8C4C-E8AF5858DF32}"/>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2E40BE6B-5297-4BF1-8A49-EB85A854280E}"/>
    <cellStyle name="Normal 8 2 2 2 2 2 2 2 3" xfId="12515" xr:uid="{2864A1E4-792D-495E-89E3-A135CBB9B5AE}"/>
    <cellStyle name="Normal 8 2 2 2 2 2 2 3" xfId="5261" xr:uid="{00000000-0005-0000-0000-0000FB1B0000}"/>
    <cellStyle name="Normal 8 2 2 2 2 2 2 3 2" xfId="14587" xr:uid="{B4328B97-B150-47F6-8038-7B566F9FDDA7}"/>
    <cellStyle name="Normal 8 2 2 2 2 2 2 4" xfId="9571" xr:uid="{B467C179-FE08-45F9-B1E6-E66379D80EBC}"/>
    <cellStyle name="Normal 8 2 2 2 2 2 2 4 2" xfId="18886" xr:uid="{D780B128-27F4-42D1-87DF-B9459BA5B465}"/>
    <cellStyle name="Normal 8 2 2 2 2 2 2 5" xfId="10370" xr:uid="{9CA38099-D2CB-4B37-8466-C9C1B5549D36}"/>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6595A984-30AB-4CA5-AC1E-B4119D1B1DCF}"/>
    <cellStyle name="Normal 8 2 2 2 2 2 3 2 3" xfId="12928" xr:uid="{3C41CD3E-1F42-4D5D-B211-EC4B6285A7B1}"/>
    <cellStyle name="Normal 8 2 2 2 2 2 3 3" xfId="5674" xr:uid="{00000000-0005-0000-0000-0000FF1B0000}"/>
    <cellStyle name="Normal 8 2 2 2 2 2 3 3 2" xfId="15000" xr:uid="{057179D8-84B2-4A78-AE33-71203889FCAD}"/>
    <cellStyle name="Normal 8 2 2 2 2 2 3 4" xfId="10783" xr:uid="{142B5C66-F432-4123-ACA4-7100ADF7DA43}"/>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1EB2CCFB-46D0-4ADC-BD92-79FDFA964F7F}"/>
    <cellStyle name="Normal 8 2 2 2 2 2 4 2 3" xfId="13341" xr:uid="{C487B7BF-F94A-49F5-BA38-7F5BA26F03F1}"/>
    <cellStyle name="Normal 8 2 2 2 2 2 4 3" xfId="6087" xr:uid="{00000000-0005-0000-0000-0000031C0000}"/>
    <cellStyle name="Normal 8 2 2 2 2 2 4 3 2" xfId="15413" xr:uid="{4071C073-AE8B-4F3B-BA78-0EDDE6070DD6}"/>
    <cellStyle name="Normal 8 2 2 2 2 2 4 4" xfId="11196" xr:uid="{3B156815-CA44-4BA0-BFC9-87570259B409}"/>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03EF1783-A6D9-4DC1-BFD9-19D9D379B3F7}"/>
    <cellStyle name="Normal 8 2 2 2 2 2 5 2 3" xfId="13754" xr:uid="{58718F5E-FF79-4014-9FF1-0B13EF634AD9}"/>
    <cellStyle name="Normal 8 2 2 2 2 2 5 3" xfId="6500" xr:uid="{00000000-0005-0000-0000-0000071C0000}"/>
    <cellStyle name="Normal 8 2 2 2 2 2 5 3 2" xfId="15826" xr:uid="{3F3B4B36-F9E9-44BE-9CA3-75206480B93B}"/>
    <cellStyle name="Normal 8 2 2 2 2 2 5 4" xfId="11609" xr:uid="{2754CAAE-BF9E-47DF-B157-EE3B4975DAAE}"/>
    <cellStyle name="Normal 8 2 2 2 2 2 6" xfId="2630" xr:uid="{00000000-0005-0000-0000-0000081C0000}"/>
    <cellStyle name="Normal 8 2 2 2 2 2 6 2" xfId="6913" xr:uid="{00000000-0005-0000-0000-0000091C0000}"/>
    <cellStyle name="Normal 8 2 2 2 2 2 6 2 2" xfId="16239" xr:uid="{7E80981B-A2CD-4B36-BBD8-98891451800C}"/>
    <cellStyle name="Normal 8 2 2 2 2 2 6 3" xfId="12022" xr:uid="{BC2E2E18-23E6-4001-A607-DC6D11B4ADE8}"/>
    <cellStyle name="Normal 8 2 2 2 2 2 7" xfId="4848" xr:uid="{00000000-0005-0000-0000-00000A1C0000}"/>
    <cellStyle name="Normal 8 2 2 2 2 2 7 2" xfId="14174" xr:uid="{6017FFD2-4D2F-4C60-B4A6-AB746176A835}"/>
    <cellStyle name="Normal 8 2 2 2 2 2 8" xfId="9146" xr:uid="{0E570703-055D-406D-8BD9-575AF6037A75}"/>
    <cellStyle name="Normal 8 2 2 2 2 2 8 2" xfId="18470" xr:uid="{118E8AA1-C8B4-4824-AF38-B8C4A85598F0}"/>
    <cellStyle name="Normal 8 2 2 2 2 2 9" xfId="9957" xr:uid="{75724D13-7CB1-46C8-AC96-E0A4C53E180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74EE9819-F820-48FE-BAC1-E8EC61F1DBA8}"/>
    <cellStyle name="Normal 8 2 2 2 2 3 2 3" xfId="12514" xr:uid="{245D5C04-170A-4CFD-B2C3-95E7E6C81C29}"/>
    <cellStyle name="Normal 8 2 2 2 2 3 3" xfId="5260" xr:uid="{00000000-0005-0000-0000-00000E1C0000}"/>
    <cellStyle name="Normal 8 2 2 2 2 3 3 2" xfId="14586" xr:uid="{533951D7-15D1-4ED6-8D43-09DF2C515C38}"/>
    <cellStyle name="Normal 8 2 2 2 2 3 4" xfId="9364" xr:uid="{21426B7C-FC96-483C-B560-AC4767107497}"/>
    <cellStyle name="Normal 8 2 2 2 2 3 4 2" xfId="18679" xr:uid="{45EB3544-70AA-4547-B76C-CFC3C42FD9D1}"/>
    <cellStyle name="Normal 8 2 2 2 2 3 5" xfId="10369" xr:uid="{45F497CD-BF97-4DD4-8FBB-250C75A5865A}"/>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321A7065-1BC1-485D-AB20-5ABF4AC716CF}"/>
    <cellStyle name="Normal 8 2 2 2 2 4 2 3" xfId="12927" xr:uid="{FD787386-F639-4B2B-B133-B257C2495B10}"/>
    <cellStyle name="Normal 8 2 2 2 2 4 3" xfId="5673" xr:uid="{00000000-0005-0000-0000-0000121C0000}"/>
    <cellStyle name="Normal 8 2 2 2 2 4 3 2" xfId="14999" xr:uid="{0B3E9D3D-F16C-425B-AF0C-80003B6B9EDD}"/>
    <cellStyle name="Normal 8 2 2 2 2 4 4" xfId="10782" xr:uid="{A8DB67A1-5CD9-45E7-B93C-EC6C6BEFF26C}"/>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7385FD72-0743-4AF7-9EE6-2855AD12D049}"/>
    <cellStyle name="Normal 8 2 2 2 2 5 2 3" xfId="13340" xr:uid="{7C544686-F530-4F85-807C-411CD95DD832}"/>
    <cellStyle name="Normal 8 2 2 2 2 5 3" xfId="6086" xr:uid="{00000000-0005-0000-0000-0000161C0000}"/>
    <cellStyle name="Normal 8 2 2 2 2 5 3 2" xfId="15412" xr:uid="{165972B4-25D1-48AE-A9B3-E216AF73EDC3}"/>
    <cellStyle name="Normal 8 2 2 2 2 5 4" xfId="11195" xr:uid="{9AEFB01D-022F-4A43-8491-E0E1E3FB97BC}"/>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64052947-55B6-4A91-99AB-945CCC1FB319}"/>
    <cellStyle name="Normal 8 2 2 2 2 6 2 3" xfId="13753" xr:uid="{2AF9AE40-C878-476A-8164-956A46845157}"/>
    <cellStyle name="Normal 8 2 2 2 2 6 3" xfId="6499" xr:uid="{00000000-0005-0000-0000-00001A1C0000}"/>
    <cellStyle name="Normal 8 2 2 2 2 6 3 2" xfId="15825" xr:uid="{68EA7CB2-14AF-4CA9-AFE5-06157F1303D0}"/>
    <cellStyle name="Normal 8 2 2 2 2 6 4" xfId="11608" xr:uid="{1A7E7666-AEC8-473E-8E8A-38BF5FF8A2ED}"/>
    <cellStyle name="Normal 8 2 2 2 2 7" xfId="2629" xr:uid="{00000000-0005-0000-0000-00001B1C0000}"/>
    <cellStyle name="Normal 8 2 2 2 2 7 2" xfId="6912" xr:uid="{00000000-0005-0000-0000-00001C1C0000}"/>
    <cellStyle name="Normal 8 2 2 2 2 7 2 2" xfId="16238" xr:uid="{946BF347-EC52-43C8-9D44-6AD11BF577AB}"/>
    <cellStyle name="Normal 8 2 2 2 2 7 3" xfId="12021" xr:uid="{6B648718-2076-415A-B88A-BB68398F5659}"/>
    <cellStyle name="Normal 8 2 2 2 2 8" xfId="4847" xr:uid="{00000000-0005-0000-0000-00001D1C0000}"/>
    <cellStyle name="Normal 8 2 2 2 2 8 2" xfId="14173" xr:uid="{0416406E-35A6-436D-94CA-C5410668B357}"/>
    <cellStyle name="Normal 8 2 2 2 2 9" xfId="8939" xr:uid="{385BAC75-25D1-414A-8E33-9B6DCCA130DE}"/>
    <cellStyle name="Normal 8 2 2 2 2 9 2" xfId="18263" xr:uid="{A8F37B35-6F56-4EC6-8294-B54B4700272B}"/>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6B80AD1D-E3A7-4A91-86E8-1A99DCA1FCDC}"/>
    <cellStyle name="Normal 8 2 2 2 3 2 2 3" xfId="12516" xr:uid="{554EDB01-0A71-4766-A095-66FF12F3CB1C}"/>
    <cellStyle name="Normal 8 2 2 2 3 2 3" xfId="5262" xr:uid="{00000000-0005-0000-0000-0000221C0000}"/>
    <cellStyle name="Normal 8 2 2 2 3 2 3 2" xfId="14588" xr:uid="{495E49E3-0700-4553-AB8F-6E6B3F42B368}"/>
    <cellStyle name="Normal 8 2 2 2 3 2 4" xfId="9468" xr:uid="{8CC4AD0E-72B4-4935-8967-B171D7B5EF8D}"/>
    <cellStyle name="Normal 8 2 2 2 3 2 4 2" xfId="18783" xr:uid="{B869030E-047D-4E15-9246-E47D197646D8}"/>
    <cellStyle name="Normal 8 2 2 2 3 2 5" xfId="10371" xr:uid="{52B61757-F520-4B79-AA83-E05CDAFA5809}"/>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876290DB-2A36-469E-8A59-2F7FD522DD4B}"/>
    <cellStyle name="Normal 8 2 2 2 3 3 2 3" xfId="12929" xr:uid="{C4B74911-D823-434B-AAC9-98AF77D27E60}"/>
    <cellStyle name="Normal 8 2 2 2 3 3 3" xfId="5675" xr:uid="{00000000-0005-0000-0000-0000261C0000}"/>
    <cellStyle name="Normal 8 2 2 2 3 3 3 2" xfId="15001" xr:uid="{A99CD2F9-DB76-4DE9-BFD0-B474F8135568}"/>
    <cellStyle name="Normal 8 2 2 2 3 3 4" xfId="10784" xr:uid="{C64336F8-6C8E-4355-BF22-FB3CE2869E43}"/>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FA1E2CB1-A77F-4F1E-B804-02B076B56D22}"/>
    <cellStyle name="Normal 8 2 2 2 3 4 2 3" xfId="13342" xr:uid="{9FFA0AF4-25F7-47B4-A10F-2242AB1B79C5}"/>
    <cellStyle name="Normal 8 2 2 2 3 4 3" xfId="6088" xr:uid="{00000000-0005-0000-0000-00002A1C0000}"/>
    <cellStyle name="Normal 8 2 2 2 3 4 3 2" xfId="15414" xr:uid="{4880EA91-6AAC-4602-8E3D-438A721F1888}"/>
    <cellStyle name="Normal 8 2 2 2 3 4 4" xfId="11197" xr:uid="{98F46420-6BFB-48F7-849B-4711920CE729}"/>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4B9F69CE-1ACC-4112-8796-345B5A4BD79D}"/>
    <cellStyle name="Normal 8 2 2 2 3 5 2 3" xfId="13755" xr:uid="{ABDA4FBA-372D-47D4-BDA0-DC8F547FAB5F}"/>
    <cellStyle name="Normal 8 2 2 2 3 5 3" xfId="6501" xr:uid="{00000000-0005-0000-0000-00002E1C0000}"/>
    <cellStyle name="Normal 8 2 2 2 3 5 3 2" xfId="15827" xr:uid="{40172684-5D52-43C5-B882-589CB8A336AB}"/>
    <cellStyle name="Normal 8 2 2 2 3 5 4" xfId="11610" xr:uid="{6BB0A77D-D510-472D-B8CB-0C048D4A309D}"/>
    <cellStyle name="Normal 8 2 2 2 3 6" xfId="2631" xr:uid="{00000000-0005-0000-0000-00002F1C0000}"/>
    <cellStyle name="Normal 8 2 2 2 3 6 2" xfId="6914" xr:uid="{00000000-0005-0000-0000-0000301C0000}"/>
    <cellStyle name="Normal 8 2 2 2 3 6 2 2" xfId="16240" xr:uid="{C7BCAC88-1676-4D3A-BAAA-F17C4FD7FB9A}"/>
    <cellStyle name="Normal 8 2 2 2 3 6 3" xfId="12023" xr:uid="{C3ED8E9D-BE8B-4805-BB8C-F60EDDEE9549}"/>
    <cellStyle name="Normal 8 2 2 2 3 7" xfId="4849" xr:uid="{00000000-0005-0000-0000-0000311C0000}"/>
    <cellStyle name="Normal 8 2 2 2 3 7 2" xfId="14175" xr:uid="{8761B249-9864-4228-AC52-B88EED495EF3}"/>
    <cellStyle name="Normal 8 2 2 2 3 8" xfId="9043" xr:uid="{BAC463DF-40A7-4F07-ADD3-7274E57F505C}"/>
    <cellStyle name="Normal 8 2 2 2 3 8 2" xfId="18367" xr:uid="{9DAEB68C-7E99-42A1-8424-BAD97015547C}"/>
    <cellStyle name="Normal 8 2 2 2 3 9" xfId="9958" xr:uid="{96EC9095-9B38-4FC0-8B73-BC8814A99B11}"/>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385FDC18-6B8D-4C39-A0E6-E362E4CA97FB}"/>
    <cellStyle name="Normal 8 2 2 2 4 2 3" xfId="12513" xr:uid="{478C7F8F-A77C-46A0-810D-26201231BCEB}"/>
    <cellStyle name="Normal 8 2 2 2 4 3" xfId="5259" xr:uid="{00000000-0005-0000-0000-0000351C0000}"/>
    <cellStyle name="Normal 8 2 2 2 4 3 2" xfId="14585" xr:uid="{3C853533-9444-4EA5-847A-74759F0A597C}"/>
    <cellStyle name="Normal 8 2 2 2 4 4" xfId="9261" xr:uid="{70C29865-A6DE-4682-9EB1-83E4E07FD0A7}"/>
    <cellStyle name="Normal 8 2 2 2 4 4 2" xfId="18576" xr:uid="{842C75D6-EE4F-40C6-B533-09460401DD02}"/>
    <cellStyle name="Normal 8 2 2 2 4 5" xfId="10368" xr:uid="{58971E6B-2CA2-43E8-A7BE-DEF61AA24285}"/>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343D8EB3-E4BA-4623-BC22-D24C6CD2F1F2}"/>
    <cellStyle name="Normal 8 2 2 2 5 2 3" xfId="12926" xr:uid="{CE3995E2-65EB-449C-AC2B-7B76C6A70487}"/>
    <cellStyle name="Normal 8 2 2 2 5 3" xfId="5672" xr:uid="{00000000-0005-0000-0000-0000391C0000}"/>
    <cellStyle name="Normal 8 2 2 2 5 3 2" xfId="14998" xr:uid="{A825E6E9-5C74-4930-A988-63AF15202DB7}"/>
    <cellStyle name="Normal 8 2 2 2 5 4" xfId="10781" xr:uid="{16B96B2F-E0D2-4019-BB85-FE854E015378}"/>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495603D3-CD4F-4C24-BA87-61DD07405AB7}"/>
    <cellStyle name="Normal 8 2 2 2 6 2 3" xfId="13339" xr:uid="{0DB2A780-3B02-4B3A-9FD2-78A403EF496A}"/>
    <cellStyle name="Normal 8 2 2 2 6 3" xfId="6085" xr:uid="{00000000-0005-0000-0000-00003D1C0000}"/>
    <cellStyle name="Normal 8 2 2 2 6 3 2" xfId="15411" xr:uid="{6E41E1A4-5A9B-4FC3-8202-B01BA562246F}"/>
    <cellStyle name="Normal 8 2 2 2 6 4" xfId="11194" xr:uid="{E2195376-2BE0-4A22-A310-EDF31B511067}"/>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724C1A0B-7DB2-4D9C-AB02-CF76C68FB9B2}"/>
    <cellStyle name="Normal 8 2 2 2 7 2 3" xfId="13752" xr:uid="{C681FE6C-A422-4883-A556-11414051B972}"/>
    <cellStyle name="Normal 8 2 2 2 7 3" xfId="6498" xr:uid="{00000000-0005-0000-0000-0000411C0000}"/>
    <cellStyle name="Normal 8 2 2 2 7 3 2" xfId="15824" xr:uid="{0882CB93-0AE3-46F6-886E-0202FAE75733}"/>
    <cellStyle name="Normal 8 2 2 2 7 4" xfId="11607" xr:uid="{2B2823DC-4323-4607-95DE-AA470ACD2FA2}"/>
    <cellStyle name="Normal 8 2 2 2 8" xfId="2628" xr:uid="{00000000-0005-0000-0000-0000421C0000}"/>
    <cellStyle name="Normal 8 2 2 2 8 2" xfId="6911" xr:uid="{00000000-0005-0000-0000-0000431C0000}"/>
    <cellStyle name="Normal 8 2 2 2 8 2 2" xfId="16237" xr:uid="{AA92D15F-D948-4D83-BE70-33E0C82EA464}"/>
    <cellStyle name="Normal 8 2 2 2 8 3" xfId="12020" xr:uid="{1AA722B2-C297-4AF6-BD8C-1E75DF38CDE3}"/>
    <cellStyle name="Normal 8 2 2 2 9" xfId="4846" xr:uid="{00000000-0005-0000-0000-0000441C0000}"/>
    <cellStyle name="Normal 8 2 2 2 9 2" xfId="14172" xr:uid="{C42176F9-84EE-41EB-AA39-7D5D26EF10EA}"/>
    <cellStyle name="Normal 8 2 2 3" xfId="485" xr:uid="{00000000-0005-0000-0000-0000451C0000}"/>
    <cellStyle name="Normal 8 2 2 3 10" xfId="9959" xr:uid="{C3F0AD18-3ECF-4720-8703-F560F51E17B1}"/>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3BDC173C-4C1B-4009-817A-E7A53B6DC291}"/>
    <cellStyle name="Normal 8 2 2 3 2 2 2 3" xfId="12518" xr:uid="{31E22B2B-E0AE-4A51-865A-8CC9A7BFAE36}"/>
    <cellStyle name="Normal 8 2 2 3 2 2 3" xfId="5264" xr:uid="{00000000-0005-0000-0000-00004A1C0000}"/>
    <cellStyle name="Normal 8 2 2 3 2 2 3 2" xfId="14590" xr:uid="{3C4C72BB-BCDB-4FD4-AF38-D0019BEC37E6}"/>
    <cellStyle name="Normal 8 2 2 3 2 2 4" xfId="9518" xr:uid="{FDE93D5E-A6D1-456B-8726-FC2AB8FD16A4}"/>
    <cellStyle name="Normal 8 2 2 3 2 2 4 2" xfId="18833" xr:uid="{B868802A-BB73-42AE-B53F-7BF3866FE172}"/>
    <cellStyle name="Normal 8 2 2 3 2 2 5" xfId="10373" xr:uid="{6927DA73-9017-4188-8814-1BBAA4C49827}"/>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3C564118-CAF1-4DB9-AD00-2B90B9366AE4}"/>
    <cellStyle name="Normal 8 2 2 3 2 3 2 3" xfId="12931" xr:uid="{9CE4907D-CB03-4B1E-99B7-5096FFF0ED83}"/>
    <cellStyle name="Normal 8 2 2 3 2 3 3" xfId="5677" xr:uid="{00000000-0005-0000-0000-00004E1C0000}"/>
    <cellStyle name="Normal 8 2 2 3 2 3 3 2" xfId="15003" xr:uid="{863A779E-AFC1-452E-B1A2-8F63660C01A5}"/>
    <cellStyle name="Normal 8 2 2 3 2 3 4" xfId="10786" xr:uid="{CFD85B50-60EE-4D78-8FAC-6075B580513A}"/>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37CD0C87-F6D0-4431-80C8-546F8C2834D1}"/>
    <cellStyle name="Normal 8 2 2 3 2 4 2 3" xfId="13344" xr:uid="{D1E7B96A-8810-443B-9E85-FF811C062EDE}"/>
    <cellStyle name="Normal 8 2 2 3 2 4 3" xfId="6090" xr:uid="{00000000-0005-0000-0000-0000521C0000}"/>
    <cellStyle name="Normal 8 2 2 3 2 4 3 2" xfId="15416" xr:uid="{C57537EB-ED00-420C-A16F-658754B1E9D8}"/>
    <cellStyle name="Normal 8 2 2 3 2 4 4" xfId="11199" xr:uid="{70CF85EB-8107-4230-92D4-C090FFA83E8F}"/>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6C3A7F3D-BD25-48CE-8816-1A4FCDAEF416}"/>
    <cellStyle name="Normal 8 2 2 3 2 5 2 3" xfId="13757" xr:uid="{5F0AEFA9-30F5-48E8-A55E-A6E586D96653}"/>
    <cellStyle name="Normal 8 2 2 3 2 5 3" xfId="6503" xr:uid="{00000000-0005-0000-0000-0000561C0000}"/>
    <cellStyle name="Normal 8 2 2 3 2 5 3 2" xfId="15829" xr:uid="{F36A0D42-2B80-446F-BDAD-74F5A0821DFE}"/>
    <cellStyle name="Normal 8 2 2 3 2 5 4" xfId="11612" xr:uid="{C6550DEC-5A33-4DB2-ACE9-F1F8FCBC5403}"/>
    <cellStyle name="Normal 8 2 2 3 2 6" xfId="2633" xr:uid="{00000000-0005-0000-0000-0000571C0000}"/>
    <cellStyle name="Normal 8 2 2 3 2 6 2" xfId="6916" xr:uid="{00000000-0005-0000-0000-0000581C0000}"/>
    <cellStyle name="Normal 8 2 2 3 2 6 2 2" xfId="16242" xr:uid="{905839AC-01B4-47C3-ABC0-DC244DC38484}"/>
    <cellStyle name="Normal 8 2 2 3 2 6 3" xfId="12025" xr:uid="{E0BB771E-6ED6-4BBF-A7EE-953EE118B205}"/>
    <cellStyle name="Normal 8 2 2 3 2 7" xfId="4851" xr:uid="{00000000-0005-0000-0000-0000591C0000}"/>
    <cellStyle name="Normal 8 2 2 3 2 7 2" xfId="14177" xr:uid="{087CEC85-7108-4397-8B13-C0EE576AAD9B}"/>
    <cellStyle name="Normal 8 2 2 3 2 8" xfId="9093" xr:uid="{ADE34C72-BCCB-477C-B66A-BE7159CEB281}"/>
    <cellStyle name="Normal 8 2 2 3 2 8 2" xfId="18417" xr:uid="{1C556496-9826-4285-A4FF-9784C2D9FF0B}"/>
    <cellStyle name="Normal 8 2 2 3 2 9" xfId="9960" xr:uid="{9974C105-98C3-40D0-9B6F-F2AE3007AB5B}"/>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06CF168C-D66E-48C7-A074-69248EFEFECE}"/>
    <cellStyle name="Normal 8 2 2 3 3 2 3" xfId="12517" xr:uid="{CBF8622A-895B-4ADB-B9E1-8FABEFCB02CB}"/>
    <cellStyle name="Normal 8 2 2 3 3 3" xfId="5263" xr:uid="{00000000-0005-0000-0000-00005D1C0000}"/>
    <cellStyle name="Normal 8 2 2 3 3 3 2" xfId="14589" xr:uid="{7F9D1D1A-CDB3-45D4-B7F5-C80FF547764E}"/>
    <cellStyle name="Normal 8 2 2 3 3 4" xfId="9311" xr:uid="{F4618F1E-1235-4269-B5C6-B09BE5034F6C}"/>
    <cellStyle name="Normal 8 2 2 3 3 4 2" xfId="18626" xr:uid="{35D888B0-E8E5-4BE3-A7EF-695AFFD5F9F3}"/>
    <cellStyle name="Normal 8 2 2 3 3 5" xfId="10372" xr:uid="{0F4366B4-CAD5-4462-B8C6-D844F1CFFA67}"/>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AB5F3552-F57F-4D4C-9DA5-D846001FD64C}"/>
    <cellStyle name="Normal 8 2 2 3 4 2 3" xfId="12930" xr:uid="{FB884717-E77B-4DEC-A695-824EB4554D5B}"/>
    <cellStyle name="Normal 8 2 2 3 4 3" xfId="5676" xr:uid="{00000000-0005-0000-0000-0000611C0000}"/>
    <cellStyle name="Normal 8 2 2 3 4 3 2" xfId="15002" xr:uid="{2B77F8E3-2FEC-432E-92C2-6DED15C519E8}"/>
    <cellStyle name="Normal 8 2 2 3 4 4" xfId="10785" xr:uid="{0FAC0B4A-7BD5-4E76-8412-7D1386670381}"/>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AD5AFE2C-4B2B-4114-849F-A40789C51E04}"/>
    <cellStyle name="Normal 8 2 2 3 5 2 3" xfId="13343" xr:uid="{07A61379-BB12-4A32-95AE-03B5C222BA83}"/>
    <cellStyle name="Normal 8 2 2 3 5 3" xfId="6089" xr:uid="{00000000-0005-0000-0000-0000651C0000}"/>
    <cellStyle name="Normal 8 2 2 3 5 3 2" xfId="15415" xr:uid="{D1914B9E-A483-48D2-8155-3070E548E791}"/>
    <cellStyle name="Normal 8 2 2 3 5 4" xfId="11198" xr:uid="{6AF8DB38-1377-45DC-B031-9F3BC311E7E7}"/>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4D1826E6-0F84-48B6-8BCF-9BA793BDD13F}"/>
    <cellStyle name="Normal 8 2 2 3 6 2 3" xfId="13756" xr:uid="{7B08108F-903E-47AE-8B1C-7A6C14C512EF}"/>
    <cellStyle name="Normal 8 2 2 3 6 3" xfId="6502" xr:uid="{00000000-0005-0000-0000-0000691C0000}"/>
    <cellStyle name="Normal 8 2 2 3 6 3 2" xfId="15828" xr:uid="{1FF9B942-503F-42EE-9E23-C25CA984C502}"/>
    <cellStyle name="Normal 8 2 2 3 6 4" xfId="11611" xr:uid="{42B56DC6-E007-415E-963B-C9A92C93C6BC}"/>
    <cellStyle name="Normal 8 2 2 3 7" xfId="2632" xr:uid="{00000000-0005-0000-0000-00006A1C0000}"/>
    <cellStyle name="Normal 8 2 2 3 7 2" xfId="6915" xr:uid="{00000000-0005-0000-0000-00006B1C0000}"/>
    <cellStyle name="Normal 8 2 2 3 7 2 2" xfId="16241" xr:uid="{A3950499-B064-496E-BBA6-1EF007975016}"/>
    <cellStyle name="Normal 8 2 2 3 7 3" xfId="12024" xr:uid="{106E97A4-19C9-4D9B-A240-74203E62FD71}"/>
    <cellStyle name="Normal 8 2 2 3 8" xfId="4850" xr:uid="{00000000-0005-0000-0000-00006C1C0000}"/>
    <cellStyle name="Normal 8 2 2 3 8 2" xfId="14176" xr:uid="{1BE34880-2B8C-4AF9-85A8-AC2B86992B19}"/>
    <cellStyle name="Normal 8 2 2 3 9" xfId="8886" xr:uid="{B2A45ACA-2377-4A40-A818-E7106AD46E30}"/>
    <cellStyle name="Normal 8 2 2 3 9 2" xfId="18210" xr:uid="{4B4D4D74-7D22-459E-81EF-525ABD770BF5}"/>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D0EA1A33-419D-4E32-B245-963EFF023FCF}"/>
    <cellStyle name="Normal 8 2 2 4 2 2 3" xfId="12519" xr:uid="{04710A35-D7B4-499F-92E1-4F64524C8B41}"/>
    <cellStyle name="Normal 8 2 2 4 2 3" xfId="5265" xr:uid="{00000000-0005-0000-0000-0000711C0000}"/>
    <cellStyle name="Normal 8 2 2 4 2 3 2" xfId="14591" xr:uid="{D20AB871-653E-4918-89B9-B75B328B011B}"/>
    <cellStyle name="Normal 8 2 2 4 2 4" xfId="9415" xr:uid="{88D7FF95-DEA9-4369-BE01-487FC7B2B7E8}"/>
    <cellStyle name="Normal 8 2 2 4 2 4 2" xfId="18730" xr:uid="{20B6FB5E-6F66-4818-BF06-C1F747717226}"/>
    <cellStyle name="Normal 8 2 2 4 2 5" xfId="10374" xr:uid="{3C087C0F-1BA9-498C-81AA-08BF46B5495D}"/>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2297F1D4-F4D8-4239-8F4F-CF1E4D24A337}"/>
    <cellStyle name="Normal 8 2 2 4 3 2 3" xfId="12932" xr:uid="{4F0C7611-D5EB-4C41-BFC2-7861784B084B}"/>
    <cellStyle name="Normal 8 2 2 4 3 3" xfId="5678" xr:uid="{00000000-0005-0000-0000-0000751C0000}"/>
    <cellStyle name="Normal 8 2 2 4 3 3 2" xfId="15004" xr:uid="{5F0FFB3A-FBDA-487D-9740-4EB926127809}"/>
    <cellStyle name="Normal 8 2 2 4 3 4" xfId="10787" xr:uid="{F20CFF82-CDB3-49A8-A708-84F7578D17D2}"/>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AE7EE46D-CEFE-4485-B6F0-521D44AB5C88}"/>
    <cellStyle name="Normal 8 2 2 4 4 2 3" xfId="13345" xr:uid="{86BE5730-C699-4817-B6D0-43B2B97D10ED}"/>
    <cellStyle name="Normal 8 2 2 4 4 3" xfId="6091" xr:uid="{00000000-0005-0000-0000-0000791C0000}"/>
    <cellStyle name="Normal 8 2 2 4 4 3 2" xfId="15417" xr:uid="{4BD5C4EA-46A1-4B71-AF7B-DEBB71E25229}"/>
    <cellStyle name="Normal 8 2 2 4 4 4" xfId="11200" xr:uid="{D6E31C47-04FB-4771-9A9B-2E66B9857060}"/>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C248D115-3185-4BD4-B626-43C17D778E81}"/>
    <cellStyle name="Normal 8 2 2 4 5 2 3" xfId="13758" xr:uid="{D0C7134F-79C7-453E-A237-29C197583BCA}"/>
    <cellStyle name="Normal 8 2 2 4 5 3" xfId="6504" xr:uid="{00000000-0005-0000-0000-00007D1C0000}"/>
    <cellStyle name="Normal 8 2 2 4 5 3 2" xfId="15830" xr:uid="{90757FE3-67E2-4387-B398-1644E943DFA1}"/>
    <cellStyle name="Normal 8 2 2 4 5 4" xfId="11613" xr:uid="{319A375F-F1A9-40A9-B6B2-034A63694E1D}"/>
    <cellStyle name="Normal 8 2 2 4 6" xfId="2634" xr:uid="{00000000-0005-0000-0000-00007E1C0000}"/>
    <cellStyle name="Normal 8 2 2 4 6 2" xfId="6917" xr:uid="{00000000-0005-0000-0000-00007F1C0000}"/>
    <cellStyle name="Normal 8 2 2 4 6 2 2" xfId="16243" xr:uid="{4966421A-07F0-4454-B947-ED115FCADC5B}"/>
    <cellStyle name="Normal 8 2 2 4 6 3" xfId="12026" xr:uid="{9EA66250-0469-48C5-BEB0-490DFB003EEC}"/>
    <cellStyle name="Normal 8 2 2 4 7" xfId="4852" xr:uid="{00000000-0005-0000-0000-0000801C0000}"/>
    <cellStyle name="Normal 8 2 2 4 7 2" xfId="14178" xr:uid="{D8918C26-9ACC-4C9A-9DFB-97AC64F5C027}"/>
    <cellStyle name="Normal 8 2 2 4 8" xfId="8990" xr:uid="{F08D85C9-EB04-4227-BEA0-1B51DDB63DFA}"/>
    <cellStyle name="Normal 8 2 2 4 8 2" xfId="18314" xr:uid="{5E57B357-5299-44FD-9B37-5BCDE76A4A12}"/>
    <cellStyle name="Normal 8 2 2 4 9" xfId="9961" xr:uid="{E3C501ED-4958-4E4F-8282-2C4A456FF1E8}"/>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FAA0E307-371B-4835-8D9F-3E7282EEACDE}"/>
    <cellStyle name="Normal 8 2 2 5 2 3" xfId="12512" xr:uid="{C672360E-551F-4024-8DA6-237AA36F26FA}"/>
    <cellStyle name="Normal 8 2 2 5 3" xfId="5258" xr:uid="{00000000-0005-0000-0000-0000841C0000}"/>
    <cellStyle name="Normal 8 2 2 5 3 2" xfId="14584" xr:uid="{F8CB3FB0-BD74-4FB3-A38B-CC5D783DD8CE}"/>
    <cellStyle name="Normal 8 2 2 5 4" xfId="9207" xr:uid="{D4CDC4D2-5794-400F-B850-1B259D26C1FE}"/>
    <cellStyle name="Normal 8 2 2 5 4 2" xfId="18523" xr:uid="{08398588-984B-4B6B-A933-68E7D9636EB4}"/>
    <cellStyle name="Normal 8 2 2 5 5" xfId="10367" xr:uid="{9C2ECD70-DBC2-4FB6-866E-76EB101C7484}"/>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C9D9A030-B5AA-4089-B7D1-E6D22AB7AB00}"/>
    <cellStyle name="Normal 8 2 2 6 2 3" xfId="12925" xr:uid="{AECB1A5C-2DDA-4354-9F7F-21209039C7FA}"/>
    <cellStyle name="Normal 8 2 2 6 3" xfId="5671" xr:uid="{00000000-0005-0000-0000-0000881C0000}"/>
    <cellStyle name="Normal 8 2 2 6 3 2" xfId="14997" xr:uid="{8D43A486-3C7A-455E-886B-36493313EF91}"/>
    <cellStyle name="Normal 8 2 2 6 4" xfId="10780" xr:uid="{6656C8F4-57E7-4231-8B7E-0A403D35018A}"/>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F68DE79A-534E-4110-AD22-692DF9AEAB91}"/>
    <cellStyle name="Normal 8 2 2 7 2 3" xfId="13338" xr:uid="{56C3677A-F1F2-4692-A625-33CA80AF3F0F}"/>
    <cellStyle name="Normal 8 2 2 7 3" xfId="6084" xr:uid="{00000000-0005-0000-0000-00008C1C0000}"/>
    <cellStyle name="Normal 8 2 2 7 3 2" xfId="15410" xr:uid="{043EFD13-9116-4CFD-BA77-5D3F8F2D0DE8}"/>
    <cellStyle name="Normal 8 2 2 7 4" xfId="11193" xr:uid="{E82EE1EA-2DBA-4C1A-812E-970723B8530E}"/>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273195AD-04E1-48C1-8A23-3226C094D0B6}"/>
    <cellStyle name="Normal 8 2 2 8 2 3" xfId="13751" xr:uid="{E321EA19-6565-4C3F-A675-ED1D6099431D}"/>
    <cellStyle name="Normal 8 2 2 8 3" xfId="6497" xr:uid="{00000000-0005-0000-0000-0000901C0000}"/>
    <cellStyle name="Normal 8 2 2 8 3 2" xfId="15823" xr:uid="{C5CB86E5-F3FA-41D6-9865-58901FB36223}"/>
    <cellStyle name="Normal 8 2 2 8 4" xfId="11606" xr:uid="{E911098D-5D94-4D55-A892-D0C1492D8FBB}"/>
    <cellStyle name="Normal 8 2 2 9" xfId="2627" xr:uid="{00000000-0005-0000-0000-0000911C0000}"/>
    <cellStyle name="Normal 8 2 2 9 2" xfId="6910" xr:uid="{00000000-0005-0000-0000-0000921C0000}"/>
    <cellStyle name="Normal 8 2 2 9 2 2" xfId="16236" xr:uid="{E2540BD8-804B-44B3-A79D-904986B51ECC}"/>
    <cellStyle name="Normal 8 2 2 9 3" xfId="12019" xr:uid="{F8863AC9-CDAB-4034-8B58-D38A9DE68AD3}"/>
    <cellStyle name="Normal 8 2 3" xfId="488" xr:uid="{00000000-0005-0000-0000-0000931C0000}"/>
    <cellStyle name="Normal 8 2 3 10" xfId="8835" xr:uid="{2F0FB8B3-D08B-41EB-93AB-2D83A1BD6036}"/>
    <cellStyle name="Normal 8 2 3 10 2" xfId="18159" xr:uid="{78F6E858-51D4-4173-BFE5-BA208E936D04}"/>
    <cellStyle name="Normal 8 2 3 11" xfId="9962" xr:uid="{1F34E1E6-7BE9-4531-9CF1-C9A09EA4DDB5}"/>
    <cellStyle name="Normal 8 2 3 2" xfId="489" xr:uid="{00000000-0005-0000-0000-0000941C0000}"/>
    <cellStyle name="Normal 8 2 3 2 10" xfId="9963" xr:uid="{D4B600BD-D1B7-44D9-A483-83FD4725CF9B}"/>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9962AA7C-BF70-41A1-80A5-1A0AA393A047}"/>
    <cellStyle name="Normal 8 2 3 2 2 2 2 3" xfId="12522" xr:uid="{8B85F909-CEFC-40BF-80B5-D6ECA2AE09DF}"/>
    <cellStyle name="Normal 8 2 3 2 2 2 3" xfId="5268" xr:uid="{00000000-0005-0000-0000-0000991C0000}"/>
    <cellStyle name="Normal 8 2 3 2 2 2 3 2" xfId="14594" xr:uid="{6A630BE0-F481-44C3-94E9-3C9028659F92}"/>
    <cellStyle name="Normal 8 2 3 2 2 2 4" xfId="9570" xr:uid="{BA9732E0-D9E4-47DB-882D-D871A821FA55}"/>
    <cellStyle name="Normal 8 2 3 2 2 2 4 2" xfId="18885" xr:uid="{3FD8BE2A-2BCE-4182-946D-F54D29EFE575}"/>
    <cellStyle name="Normal 8 2 3 2 2 2 5" xfId="10377" xr:uid="{8B7B299A-1742-4DC4-8863-60AF1E42325D}"/>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62824C83-81AC-4625-9F71-F3E06F831895}"/>
    <cellStyle name="Normal 8 2 3 2 2 3 2 3" xfId="12935" xr:uid="{E16A3E7B-834D-4BE8-B9D7-414C19CE9EC4}"/>
    <cellStyle name="Normal 8 2 3 2 2 3 3" xfId="5681" xr:uid="{00000000-0005-0000-0000-00009D1C0000}"/>
    <cellStyle name="Normal 8 2 3 2 2 3 3 2" xfId="15007" xr:uid="{D406393A-3647-4E44-A5A1-FF141C644114}"/>
    <cellStyle name="Normal 8 2 3 2 2 3 4" xfId="10790" xr:uid="{2AEC40A6-1FF6-4EAE-BD59-B914A060285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CC8A3CBB-7427-4E0F-9695-3583C4BAC838}"/>
    <cellStyle name="Normal 8 2 3 2 2 4 2 3" xfId="13348" xr:uid="{0CF07EAA-856E-453D-8610-74EDF5CBB701}"/>
    <cellStyle name="Normal 8 2 3 2 2 4 3" xfId="6094" xr:uid="{00000000-0005-0000-0000-0000A11C0000}"/>
    <cellStyle name="Normal 8 2 3 2 2 4 3 2" xfId="15420" xr:uid="{53657C0A-EB8D-4320-901D-EE64CF23A8C8}"/>
    <cellStyle name="Normal 8 2 3 2 2 4 4" xfId="11203" xr:uid="{A297422E-4167-4ECF-869C-68FFBB132776}"/>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D44A8956-1F67-4C30-865E-3FF0D4F6E572}"/>
    <cellStyle name="Normal 8 2 3 2 2 5 2 3" xfId="13761" xr:uid="{6E4826CD-46EB-4BE8-89D6-FF17B0793646}"/>
    <cellStyle name="Normal 8 2 3 2 2 5 3" xfId="6507" xr:uid="{00000000-0005-0000-0000-0000A51C0000}"/>
    <cellStyle name="Normal 8 2 3 2 2 5 3 2" xfId="15833" xr:uid="{74A521AA-50F6-4637-8D9A-90B32F395299}"/>
    <cellStyle name="Normal 8 2 3 2 2 5 4" xfId="11616" xr:uid="{94B04430-3DBE-49F9-ABBC-8354FA7384C5}"/>
    <cellStyle name="Normal 8 2 3 2 2 6" xfId="2637" xr:uid="{00000000-0005-0000-0000-0000A61C0000}"/>
    <cellStyle name="Normal 8 2 3 2 2 6 2" xfId="6920" xr:uid="{00000000-0005-0000-0000-0000A71C0000}"/>
    <cellStyle name="Normal 8 2 3 2 2 6 2 2" xfId="16246" xr:uid="{BDE8A80E-8B46-4415-B39B-E66CB24B75F7}"/>
    <cellStyle name="Normal 8 2 3 2 2 6 3" xfId="12029" xr:uid="{3F0B0CF8-F18A-418E-8002-1A91BCDA8BCA}"/>
    <cellStyle name="Normal 8 2 3 2 2 7" xfId="4855" xr:uid="{00000000-0005-0000-0000-0000A81C0000}"/>
    <cellStyle name="Normal 8 2 3 2 2 7 2" xfId="14181" xr:uid="{1D85A294-2136-41D1-9950-CC57DB95D7D1}"/>
    <cellStyle name="Normal 8 2 3 2 2 8" xfId="9145" xr:uid="{C71E6005-187D-4837-92B4-619AF06B3A3B}"/>
    <cellStyle name="Normal 8 2 3 2 2 8 2" xfId="18469" xr:uid="{962A0A50-2719-4083-82A4-93D06E143427}"/>
    <cellStyle name="Normal 8 2 3 2 2 9" xfId="9964" xr:uid="{F6C418A2-E825-4BCF-A8C7-AF67AF70ADBD}"/>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1B73C054-D454-4CB9-95AA-02B3E3D12293}"/>
    <cellStyle name="Normal 8 2 3 2 3 2 3" xfId="12521" xr:uid="{C8CD51BA-25B2-4C4E-819D-A949AE6AE0FC}"/>
    <cellStyle name="Normal 8 2 3 2 3 3" xfId="5267" xr:uid="{00000000-0005-0000-0000-0000AC1C0000}"/>
    <cellStyle name="Normal 8 2 3 2 3 3 2" xfId="14593" xr:uid="{E1F52341-B0EE-4A70-A3E3-245B8DDE0789}"/>
    <cellStyle name="Normal 8 2 3 2 3 4" xfId="9363" xr:uid="{C94C6C98-A8BC-4AC9-B084-0D2219E89AA8}"/>
    <cellStyle name="Normal 8 2 3 2 3 4 2" xfId="18678" xr:uid="{1186FBB2-B231-4B1A-A3AF-90E29BB02EA3}"/>
    <cellStyle name="Normal 8 2 3 2 3 5" xfId="10376" xr:uid="{170D1AD2-C655-4505-8E10-ABEB352CA314}"/>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27CDF2EF-4505-4966-93FD-300C3B98AB76}"/>
    <cellStyle name="Normal 8 2 3 2 4 2 3" xfId="12934" xr:uid="{6E92BBBC-829E-44BD-AABF-BC70635A541E}"/>
    <cellStyle name="Normal 8 2 3 2 4 3" xfId="5680" xr:uid="{00000000-0005-0000-0000-0000B01C0000}"/>
    <cellStyle name="Normal 8 2 3 2 4 3 2" xfId="15006" xr:uid="{2FB1EB73-5894-4C6F-BF66-07B00C7B902D}"/>
    <cellStyle name="Normal 8 2 3 2 4 4" xfId="10789" xr:uid="{E290D96F-8948-4D23-8E8B-EBE4A2B08236}"/>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8E213C2F-B83A-4F71-BC7B-D62439E9B45A}"/>
    <cellStyle name="Normal 8 2 3 2 5 2 3" xfId="13347" xr:uid="{8705BBAA-7E1A-450C-9247-924D0517ADCF}"/>
    <cellStyle name="Normal 8 2 3 2 5 3" xfId="6093" xr:uid="{00000000-0005-0000-0000-0000B41C0000}"/>
    <cellStyle name="Normal 8 2 3 2 5 3 2" xfId="15419" xr:uid="{5709CDD4-55DF-4399-AB5B-55F87D336370}"/>
    <cellStyle name="Normal 8 2 3 2 5 4" xfId="11202" xr:uid="{9827BB2E-0DEE-4519-A9CC-19B5F6E30E36}"/>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BE5A4643-D1C5-4C89-A28E-B62342A99C90}"/>
    <cellStyle name="Normal 8 2 3 2 6 2 3" xfId="13760" xr:uid="{AB3891A9-215D-4559-9F03-C8C2FD3BB5F4}"/>
    <cellStyle name="Normal 8 2 3 2 6 3" xfId="6506" xr:uid="{00000000-0005-0000-0000-0000B81C0000}"/>
    <cellStyle name="Normal 8 2 3 2 6 3 2" xfId="15832" xr:uid="{0BFF32EC-AE29-429F-93C2-2515F70994D9}"/>
    <cellStyle name="Normal 8 2 3 2 6 4" xfId="11615" xr:uid="{802F9AAF-B7BA-4BAB-973C-441B4C66B5B3}"/>
    <cellStyle name="Normal 8 2 3 2 7" xfId="2636" xr:uid="{00000000-0005-0000-0000-0000B91C0000}"/>
    <cellStyle name="Normal 8 2 3 2 7 2" xfId="6919" xr:uid="{00000000-0005-0000-0000-0000BA1C0000}"/>
    <cellStyle name="Normal 8 2 3 2 7 2 2" xfId="16245" xr:uid="{78535168-8D69-4611-BA67-11001D5AD123}"/>
    <cellStyle name="Normal 8 2 3 2 7 3" xfId="12028" xr:uid="{1F00DEDC-EDCE-48E8-97DF-0D1DF93E994B}"/>
    <cellStyle name="Normal 8 2 3 2 8" xfId="4854" xr:uid="{00000000-0005-0000-0000-0000BB1C0000}"/>
    <cellStyle name="Normal 8 2 3 2 8 2" xfId="14180" xr:uid="{EB763A75-93C9-4CD2-887A-D17B1275A5CD}"/>
    <cellStyle name="Normal 8 2 3 2 9" xfId="8938" xr:uid="{1EAF77CE-4DC3-40DC-AA9D-31320D478EE9}"/>
    <cellStyle name="Normal 8 2 3 2 9 2" xfId="18262" xr:uid="{2356FE80-9799-4B07-AFEE-AA6A523E8264}"/>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5CFBCC53-4E50-40DB-BC96-8988E4109AFD}"/>
    <cellStyle name="Normal 8 2 3 3 2 2 3" xfId="12523" xr:uid="{5F835796-158D-4E8C-A51D-A9782C7CEEAD}"/>
    <cellStyle name="Normal 8 2 3 3 2 3" xfId="5269" xr:uid="{00000000-0005-0000-0000-0000C01C0000}"/>
    <cellStyle name="Normal 8 2 3 3 2 3 2" xfId="14595" xr:uid="{DECD90C6-9EC7-46AE-950F-F308578A4AA8}"/>
    <cellStyle name="Normal 8 2 3 3 2 4" xfId="9467" xr:uid="{C16001D7-8508-4511-808F-E990F8EA0FE3}"/>
    <cellStyle name="Normal 8 2 3 3 2 4 2" xfId="18782" xr:uid="{DE2A022C-12B8-4187-9446-70584FBF94CB}"/>
    <cellStyle name="Normal 8 2 3 3 2 5" xfId="10378" xr:uid="{18FF71D3-2B93-4275-9AF8-C6BA3C69A27C}"/>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98EF4440-EF94-4B4D-883F-22BFEE35CC3D}"/>
    <cellStyle name="Normal 8 2 3 3 3 2 3" xfId="12936" xr:uid="{9351A4A6-1167-4AB4-B2D9-653A85811AAE}"/>
    <cellStyle name="Normal 8 2 3 3 3 3" xfId="5682" xr:uid="{00000000-0005-0000-0000-0000C41C0000}"/>
    <cellStyle name="Normal 8 2 3 3 3 3 2" xfId="15008" xr:uid="{33078161-6C60-40EA-A100-22F4C4DBC013}"/>
    <cellStyle name="Normal 8 2 3 3 3 4" xfId="10791" xr:uid="{578CFC9A-8F0F-43C6-8AEA-E7633F6E4D7F}"/>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7A2F0BF7-2C5E-4E83-BE43-7B85EBF8D2E7}"/>
    <cellStyle name="Normal 8 2 3 3 4 2 3" xfId="13349" xr:uid="{A6A59D3B-5D03-48D0-9246-1A5B762E5297}"/>
    <cellStyle name="Normal 8 2 3 3 4 3" xfId="6095" xr:uid="{00000000-0005-0000-0000-0000C81C0000}"/>
    <cellStyle name="Normal 8 2 3 3 4 3 2" xfId="15421" xr:uid="{AC90D944-FC00-4B0C-A07D-54C03284B82A}"/>
    <cellStyle name="Normal 8 2 3 3 4 4" xfId="11204" xr:uid="{B3C22E25-482D-4A44-9F76-6D7FD35D90FA}"/>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FF7A1BAF-8E56-4F90-B883-085C66897E3B}"/>
    <cellStyle name="Normal 8 2 3 3 5 2 3" xfId="13762" xr:uid="{159DA0E2-BE63-4E09-B3C6-63D0515BD2A6}"/>
    <cellStyle name="Normal 8 2 3 3 5 3" xfId="6508" xr:uid="{00000000-0005-0000-0000-0000CC1C0000}"/>
    <cellStyle name="Normal 8 2 3 3 5 3 2" xfId="15834" xr:uid="{3AD31180-D6C9-4795-9579-12C9E15C877E}"/>
    <cellStyle name="Normal 8 2 3 3 5 4" xfId="11617" xr:uid="{64F710E6-FA5F-41D0-9BEB-02DDD5F6BDA1}"/>
    <cellStyle name="Normal 8 2 3 3 6" xfId="2638" xr:uid="{00000000-0005-0000-0000-0000CD1C0000}"/>
    <cellStyle name="Normal 8 2 3 3 6 2" xfId="6921" xr:uid="{00000000-0005-0000-0000-0000CE1C0000}"/>
    <cellStyle name="Normal 8 2 3 3 6 2 2" xfId="16247" xr:uid="{7BDB7F3C-828C-43A4-ACCE-4E792609CD63}"/>
    <cellStyle name="Normal 8 2 3 3 6 3" xfId="12030" xr:uid="{E7045878-73B9-4F62-8CA2-6B59A658ED12}"/>
    <cellStyle name="Normal 8 2 3 3 7" xfId="4856" xr:uid="{00000000-0005-0000-0000-0000CF1C0000}"/>
    <cellStyle name="Normal 8 2 3 3 7 2" xfId="14182" xr:uid="{DEE4843C-D0B6-4CB3-B988-651BFB551185}"/>
    <cellStyle name="Normal 8 2 3 3 8" xfId="9042" xr:uid="{D820ED39-BAB1-48C1-A68D-2017E247E432}"/>
    <cellStyle name="Normal 8 2 3 3 8 2" xfId="18366" xr:uid="{68D99C7F-A19C-4807-ACE7-1EA71141CEA7}"/>
    <cellStyle name="Normal 8 2 3 3 9" xfId="9965" xr:uid="{E6474D94-A809-4814-B77A-E3A64F0ED86D}"/>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4900550B-DB72-4B19-BCCB-4824A05334DE}"/>
    <cellStyle name="Normal 8 2 3 4 2 3" xfId="12520" xr:uid="{D59E5E07-89CE-4AF9-9B9D-EB0A796606E4}"/>
    <cellStyle name="Normal 8 2 3 4 3" xfId="5266" xr:uid="{00000000-0005-0000-0000-0000D31C0000}"/>
    <cellStyle name="Normal 8 2 3 4 3 2" xfId="14592" xr:uid="{C7FEAF1B-9DAD-40E9-82E8-F88354228D9A}"/>
    <cellStyle name="Normal 8 2 3 4 4" xfId="9260" xr:uid="{70FF5A16-C89A-42B7-A603-E23A7C2F443C}"/>
    <cellStyle name="Normal 8 2 3 4 4 2" xfId="18575" xr:uid="{CC369123-EEBF-44F8-879B-C26BBF48C1C0}"/>
    <cellStyle name="Normal 8 2 3 4 5" xfId="10375" xr:uid="{0991E978-1BD5-46FB-A800-B1A52A4342DC}"/>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8E9FA1A5-D9E9-4B49-B842-77E231980979}"/>
    <cellStyle name="Normal 8 2 3 5 2 3" xfId="12933" xr:uid="{69F1CC00-AFD1-4EC9-8DBC-F6B5791C90D5}"/>
    <cellStyle name="Normal 8 2 3 5 3" xfId="5679" xr:uid="{00000000-0005-0000-0000-0000D71C0000}"/>
    <cellStyle name="Normal 8 2 3 5 3 2" xfId="15005" xr:uid="{4E0658D3-F0FE-4CC8-B2BB-5331DBD1290C}"/>
    <cellStyle name="Normal 8 2 3 5 4" xfId="10788" xr:uid="{DEB0F1E8-505D-468D-A15F-C5639382DB2F}"/>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F5B61000-7FA1-466F-8B27-00CC6C8F7773}"/>
    <cellStyle name="Normal 8 2 3 6 2 3" xfId="13346" xr:uid="{0994E7C0-7420-48BC-8C98-B7274ABDD6AC}"/>
    <cellStyle name="Normal 8 2 3 6 3" xfId="6092" xr:uid="{00000000-0005-0000-0000-0000DB1C0000}"/>
    <cellStyle name="Normal 8 2 3 6 3 2" xfId="15418" xr:uid="{CD16DE81-09B2-4429-83DC-FE891347C2E8}"/>
    <cellStyle name="Normal 8 2 3 6 4" xfId="11201" xr:uid="{89DF89C4-5F9B-41BF-B95A-13B542EA5361}"/>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FF2D83F1-DF52-4C4A-9A22-23C9A68E446B}"/>
    <cellStyle name="Normal 8 2 3 7 2 3" xfId="13759" xr:uid="{7FA2E71E-2FC0-4EE9-BD8E-A868BD87EE22}"/>
    <cellStyle name="Normal 8 2 3 7 3" xfId="6505" xr:uid="{00000000-0005-0000-0000-0000DF1C0000}"/>
    <cellStyle name="Normal 8 2 3 7 3 2" xfId="15831" xr:uid="{2EF11351-940F-42E5-A170-4DA08F73D4F1}"/>
    <cellStyle name="Normal 8 2 3 7 4" xfId="11614" xr:uid="{1A69DDD3-FD3A-4E0B-A9A8-9636F694BACF}"/>
    <cellStyle name="Normal 8 2 3 8" xfId="2635" xr:uid="{00000000-0005-0000-0000-0000E01C0000}"/>
    <cellStyle name="Normal 8 2 3 8 2" xfId="6918" xr:uid="{00000000-0005-0000-0000-0000E11C0000}"/>
    <cellStyle name="Normal 8 2 3 8 2 2" xfId="16244" xr:uid="{9FCC71F8-1CCB-4A0F-AC8B-49011F6B4912}"/>
    <cellStyle name="Normal 8 2 3 8 3" xfId="12027" xr:uid="{0D1A96A7-31E7-4210-99A9-E2A2822F1A7D}"/>
    <cellStyle name="Normal 8 2 3 9" xfId="4853" xr:uid="{00000000-0005-0000-0000-0000E21C0000}"/>
    <cellStyle name="Normal 8 2 3 9 2" xfId="14179" xr:uid="{2D570414-5D70-445A-92CF-6CD44205D247}"/>
    <cellStyle name="Normal 8 2 4" xfId="492" xr:uid="{00000000-0005-0000-0000-0000E31C0000}"/>
    <cellStyle name="Normal 8 2 4 10" xfId="9966" xr:uid="{7E9E2D31-7EED-40FD-83CE-9B374B48BFD3}"/>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1DA9A99A-41F0-4DC0-B8D8-C80067C320C0}"/>
    <cellStyle name="Normal 8 2 4 2 2 2 3" xfId="12525" xr:uid="{4035ABE4-F35F-48B1-9BFB-62FF2216C01F}"/>
    <cellStyle name="Normal 8 2 4 2 2 3" xfId="5271" xr:uid="{00000000-0005-0000-0000-0000E81C0000}"/>
    <cellStyle name="Normal 8 2 4 2 2 3 2" xfId="14597" xr:uid="{F5C726F6-80B3-4F59-B9DF-828D0CB520CE}"/>
    <cellStyle name="Normal 8 2 4 2 2 4" xfId="9486" xr:uid="{9F6EBE4C-F02F-43A6-A388-D5EACB1B3099}"/>
    <cellStyle name="Normal 8 2 4 2 2 4 2" xfId="18801" xr:uid="{3C848B02-BCB8-46E6-A788-D5EAE814B671}"/>
    <cellStyle name="Normal 8 2 4 2 2 5" xfId="10380" xr:uid="{48C2BF05-664E-47AC-B945-FC20B6B23587}"/>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089E0AC5-0786-4548-B796-95D6572F58F9}"/>
    <cellStyle name="Normal 8 2 4 2 3 2 3" xfId="12938" xr:uid="{C26F87C2-8E6D-46E9-9145-6293AE62ECE0}"/>
    <cellStyle name="Normal 8 2 4 2 3 3" xfId="5684" xr:uid="{00000000-0005-0000-0000-0000EC1C0000}"/>
    <cellStyle name="Normal 8 2 4 2 3 3 2" xfId="15010" xr:uid="{7D25DB93-068C-4894-9158-D0EA15E8F779}"/>
    <cellStyle name="Normal 8 2 4 2 3 4" xfId="10793" xr:uid="{6E4A2891-B659-44E0-B6B6-54FD09128C16}"/>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107FE6D6-4A67-4067-B3EC-3FBE7A5BE847}"/>
    <cellStyle name="Normal 8 2 4 2 4 2 3" xfId="13351" xr:uid="{B15C5F70-E1AE-4764-A8C4-FF9B3F0BC024}"/>
    <cellStyle name="Normal 8 2 4 2 4 3" xfId="6097" xr:uid="{00000000-0005-0000-0000-0000F01C0000}"/>
    <cellStyle name="Normal 8 2 4 2 4 3 2" xfId="15423" xr:uid="{9AEEE6FC-2A97-46BD-A89C-91E7E668A4F5}"/>
    <cellStyle name="Normal 8 2 4 2 4 4" xfId="11206" xr:uid="{7E24BD5C-5820-42B5-86C3-0C2BD9FE0172}"/>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186D9030-F26D-415D-AEE9-CE10BDDF5CB1}"/>
    <cellStyle name="Normal 8 2 4 2 5 2 3" xfId="13764" xr:uid="{3E79F1CA-2EAB-4E69-A782-766710A67316}"/>
    <cellStyle name="Normal 8 2 4 2 5 3" xfId="6510" xr:uid="{00000000-0005-0000-0000-0000F41C0000}"/>
    <cellStyle name="Normal 8 2 4 2 5 3 2" xfId="15836" xr:uid="{FC0241E6-85E2-4F36-810C-19A9672808D2}"/>
    <cellStyle name="Normal 8 2 4 2 5 4" xfId="11619" xr:uid="{16F8B687-8638-4F1F-A2BB-22A45A286D31}"/>
    <cellStyle name="Normal 8 2 4 2 6" xfId="2640" xr:uid="{00000000-0005-0000-0000-0000F51C0000}"/>
    <cellStyle name="Normal 8 2 4 2 6 2" xfId="6923" xr:uid="{00000000-0005-0000-0000-0000F61C0000}"/>
    <cellStyle name="Normal 8 2 4 2 6 2 2" xfId="16249" xr:uid="{C355AA98-9B08-4C09-86C6-FD2372DFF97E}"/>
    <cellStyle name="Normal 8 2 4 2 6 3" xfId="12032" xr:uid="{8380374B-B04D-4E8C-9176-DC5978D9D7D8}"/>
    <cellStyle name="Normal 8 2 4 2 7" xfId="4858" xr:uid="{00000000-0005-0000-0000-0000F71C0000}"/>
    <cellStyle name="Normal 8 2 4 2 7 2" xfId="14184" xr:uid="{1CD5084D-D9F8-4F52-B512-DFB5E2EFABE5}"/>
    <cellStyle name="Normal 8 2 4 2 8" xfId="9061" xr:uid="{7295DB82-9441-436C-AA3E-91B68F6E59B3}"/>
    <cellStyle name="Normal 8 2 4 2 8 2" xfId="18385" xr:uid="{A76AC078-A2DE-4BB8-AF30-08CCB91C039A}"/>
    <cellStyle name="Normal 8 2 4 2 9" xfId="9967" xr:uid="{BAA12E56-FF5D-4946-A690-689797477337}"/>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151A612F-54BC-4D32-82E0-28EFE8B380CE}"/>
    <cellStyle name="Normal 8 2 4 3 2 3" xfId="12524" xr:uid="{2344DB17-FDBE-45C1-A84E-8977EAA19B09}"/>
    <cellStyle name="Normal 8 2 4 3 3" xfId="5270" xr:uid="{00000000-0005-0000-0000-0000FB1C0000}"/>
    <cellStyle name="Normal 8 2 4 3 3 2" xfId="14596" xr:uid="{886F1BC5-8812-412A-BEA5-C503F0E361D6}"/>
    <cellStyle name="Normal 8 2 4 3 4" xfId="9279" xr:uid="{BA09D30D-BEBA-4223-83E6-57FB46A1EFA8}"/>
    <cellStyle name="Normal 8 2 4 3 4 2" xfId="18594" xr:uid="{DC0DE511-9ECF-4B74-AB65-0208F0186970}"/>
    <cellStyle name="Normal 8 2 4 3 5" xfId="10379" xr:uid="{9C6A0C93-2C10-4FC4-BFE2-ED7A51DDBB83}"/>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1964CE7B-A034-418D-B6B7-08F9D8A974D8}"/>
    <cellStyle name="Normal 8 2 4 4 2 3" xfId="12937" xr:uid="{30E73991-17EE-4020-9D55-0CD07EC3E3C3}"/>
    <cellStyle name="Normal 8 2 4 4 3" xfId="5683" xr:uid="{00000000-0005-0000-0000-0000FF1C0000}"/>
    <cellStyle name="Normal 8 2 4 4 3 2" xfId="15009" xr:uid="{DAEF8315-4C73-4BFD-BABF-EF84FB225F09}"/>
    <cellStyle name="Normal 8 2 4 4 4" xfId="10792" xr:uid="{F846CBCA-B3D3-4DD1-B8BE-A91B10E87AD3}"/>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012AA369-5769-40AD-AB86-BCFF06BE1A24}"/>
    <cellStyle name="Normal 8 2 4 5 2 3" xfId="13350" xr:uid="{F0955CC7-C33D-4507-9F3D-8F7208AE1ED2}"/>
    <cellStyle name="Normal 8 2 4 5 3" xfId="6096" xr:uid="{00000000-0005-0000-0000-0000031D0000}"/>
    <cellStyle name="Normal 8 2 4 5 3 2" xfId="15422" xr:uid="{7DA35460-C6B6-468A-81CD-57794BCFC08E}"/>
    <cellStyle name="Normal 8 2 4 5 4" xfId="11205" xr:uid="{840FB650-A1D0-4DBE-AE8B-881DBD795B74}"/>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0E7CAE6F-AD12-42BA-BD7D-ADD766FCD0D8}"/>
    <cellStyle name="Normal 8 2 4 6 2 3" xfId="13763" xr:uid="{11A2E4C5-F8FF-4E7C-940E-5B8A41F48BC2}"/>
    <cellStyle name="Normal 8 2 4 6 3" xfId="6509" xr:uid="{00000000-0005-0000-0000-0000071D0000}"/>
    <cellStyle name="Normal 8 2 4 6 3 2" xfId="15835" xr:uid="{411F0CDB-17C1-4365-96FC-ADCED531E0ED}"/>
    <cellStyle name="Normal 8 2 4 6 4" xfId="11618" xr:uid="{ACAE0428-8233-4C22-99E1-976952E2DC4C}"/>
    <cellStyle name="Normal 8 2 4 7" xfId="2639" xr:uid="{00000000-0005-0000-0000-0000081D0000}"/>
    <cellStyle name="Normal 8 2 4 7 2" xfId="6922" xr:uid="{00000000-0005-0000-0000-0000091D0000}"/>
    <cellStyle name="Normal 8 2 4 7 2 2" xfId="16248" xr:uid="{5FE51DF3-E1C1-402A-932E-FA40AD4FFB64}"/>
    <cellStyle name="Normal 8 2 4 7 3" xfId="12031" xr:uid="{81F71E86-EFC6-438D-88A6-FF9761BA2D7E}"/>
    <cellStyle name="Normal 8 2 4 8" xfId="4857" xr:uid="{00000000-0005-0000-0000-00000A1D0000}"/>
    <cellStyle name="Normal 8 2 4 8 2" xfId="14183" xr:uid="{629E42F1-F10E-40F7-8051-6E20E645FE5F}"/>
    <cellStyle name="Normal 8 2 4 9" xfId="8854" xr:uid="{F1F9C500-F3E2-475A-983E-BD697F4BACD1}"/>
    <cellStyle name="Normal 8 2 4 9 2" xfId="18178" xr:uid="{98F5DEBE-CEFC-4689-A8CA-7C562D0EA65C}"/>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7002A3B5-30B6-4093-83EB-EFB6E5145643}"/>
    <cellStyle name="Normal 8 2 5 2 2 3" xfId="12526" xr:uid="{A816282D-8367-44D8-98DE-7997590CE2D8}"/>
    <cellStyle name="Normal 8 2 5 2 3" xfId="5272" xr:uid="{00000000-0005-0000-0000-00000F1D0000}"/>
    <cellStyle name="Normal 8 2 5 2 3 2" xfId="14598" xr:uid="{9970E77F-D5D3-4B27-B0CD-3918FE00DA56}"/>
    <cellStyle name="Normal 8 2 5 2 4" xfId="9395" xr:uid="{D5766EF3-6042-484F-B510-7448518CF571}"/>
    <cellStyle name="Normal 8 2 5 2 4 2" xfId="18710" xr:uid="{0756C83A-2317-49C3-9E5D-8FA9E258432B}"/>
    <cellStyle name="Normal 8 2 5 2 5" xfId="10381" xr:uid="{BA90086E-7991-4B1D-806B-F34590C8558B}"/>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F5E59DF6-C966-413D-B72B-4576B2A008F7}"/>
    <cellStyle name="Normal 8 2 5 3 2 3" xfId="12939" xr:uid="{EC3E914E-B7AB-4D05-9B1D-33F16770F45A}"/>
    <cellStyle name="Normal 8 2 5 3 3" xfId="5685" xr:uid="{00000000-0005-0000-0000-0000131D0000}"/>
    <cellStyle name="Normal 8 2 5 3 3 2" xfId="15011" xr:uid="{4C46D0E6-5550-42C3-A39A-8165FB77E4EA}"/>
    <cellStyle name="Normal 8 2 5 3 4" xfId="10794" xr:uid="{65FBA835-652B-488F-B5C9-E922F434683F}"/>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543921AE-996C-4346-B8DD-5A35FAC7AE14}"/>
    <cellStyle name="Normal 8 2 5 4 2 3" xfId="13352" xr:uid="{1C34EB29-DEE6-49BA-8DA3-FDF14DD27EEC}"/>
    <cellStyle name="Normal 8 2 5 4 3" xfId="6098" xr:uid="{00000000-0005-0000-0000-0000171D0000}"/>
    <cellStyle name="Normal 8 2 5 4 3 2" xfId="15424" xr:uid="{B3B3C891-4128-482D-9DDE-5717BFDEB7EF}"/>
    <cellStyle name="Normal 8 2 5 4 4" xfId="11207" xr:uid="{06AC2E9C-065B-4A16-BA1A-8011FEDB3EBA}"/>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281DC519-822F-4661-B4FE-D1EAD5C47D95}"/>
    <cellStyle name="Normal 8 2 5 5 2 3" xfId="13765" xr:uid="{956060D2-55B4-46A2-AFB3-73BC9AF82146}"/>
    <cellStyle name="Normal 8 2 5 5 3" xfId="6511" xr:uid="{00000000-0005-0000-0000-00001B1D0000}"/>
    <cellStyle name="Normal 8 2 5 5 3 2" xfId="15837" xr:uid="{4F05D439-3A5F-4CAF-A525-55C33D55F65F}"/>
    <cellStyle name="Normal 8 2 5 5 4" xfId="11620" xr:uid="{16295D89-1873-499E-AB43-192BC7FEA2CD}"/>
    <cellStyle name="Normal 8 2 5 6" xfId="2641" xr:uid="{00000000-0005-0000-0000-00001C1D0000}"/>
    <cellStyle name="Normal 8 2 5 6 2" xfId="6924" xr:uid="{00000000-0005-0000-0000-00001D1D0000}"/>
    <cellStyle name="Normal 8 2 5 6 2 2" xfId="16250" xr:uid="{280B6738-D6DA-49C7-AE41-4B74DA04BFAA}"/>
    <cellStyle name="Normal 8 2 5 6 3" xfId="12033" xr:uid="{F8124BF5-AB70-4455-B421-1F0C946A9BB2}"/>
    <cellStyle name="Normal 8 2 5 7" xfId="4859" xr:uid="{00000000-0005-0000-0000-00001E1D0000}"/>
    <cellStyle name="Normal 8 2 5 7 2" xfId="14185" xr:uid="{87C3D6D9-E1C5-4A24-BCF8-E9F83FA1273F}"/>
    <cellStyle name="Normal 8 2 5 8" xfId="8970" xr:uid="{7E9ACEFF-1680-45D8-BC32-8CA9BA1D63D4}"/>
    <cellStyle name="Normal 8 2 5 8 2" xfId="18294" xr:uid="{9D2977E3-1FA9-4F16-A8EE-F0DD35DE8845}"/>
    <cellStyle name="Normal 8 2 5 9" xfId="9968" xr:uid="{D2F9922C-9687-4C9D-BB4D-8190414FBB90}"/>
    <cellStyle name="Normal 8 2 6" xfId="946" xr:uid="{00000000-0005-0000-0000-00001F1D0000}"/>
    <cellStyle name="Normal 8 2 6 2" xfId="3180" xr:uid="{00000000-0005-0000-0000-0000201D0000}"/>
    <cellStyle name="Normal 8 2 6 2 2" xfId="7402" xr:uid="{00000000-0005-0000-0000-0000211D0000}"/>
    <cellStyle name="Normal 8 2 6 2 2 2" xfId="16728" xr:uid="{6D204A31-A14F-49DE-B405-696E0E5B4582}"/>
    <cellStyle name="Normal 8 2 6 2 3" xfId="12511" xr:uid="{F89D4EFF-BB49-4957-809A-C580B76A31BB}"/>
    <cellStyle name="Normal 8 2 6 3" xfId="5257" xr:uid="{00000000-0005-0000-0000-0000221D0000}"/>
    <cellStyle name="Normal 8 2 6 3 2" xfId="14583" xr:uid="{FC7353E4-7647-471D-A939-6B050A963B57}"/>
    <cellStyle name="Normal 8 2 6 4" xfId="9173" xr:uid="{C36295B3-E6F0-4A6D-AEE5-72C8177C13EE}"/>
    <cellStyle name="Normal 8 2 6 4 2" xfId="18491" xr:uid="{E7D69379-5849-4927-967B-59B529969077}"/>
    <cellStyle name="Normal 8 2 6 5" xfId="10366" xr:uid="{6AFFEF95-D38A-47F5-A49E-2B94A5555B06}"/>
    <cellStyle name="Normal 8 2 7" xfId="1363" xr:uid="{00000000-0005-0000-0000-0000231D0000}"/>
    <cellStyle name="Normal 8 2 7 2" xfId="3593" xr:uid="{00000000-0005-0000-0000-0000241D0000}"/>
    <cellStyle name="Normal 8 2 7 2 2" xfId="7815" xr:uid="{00000000-0005-0000-0000-0000251D0000}"/>
    <cellStyle name="Normal 8 2 7 2 2 2" xfId="17141" xr:uid="{4598D88F-A241-45BD-94D0-3975A26DABE2}"/>
    <cellStyle name="Normal 8 2 7 2 3" xfId="12924" xr:uid="{E120235C-27A3-43A8-80F8-B211A9FDED0F}"/>
    <cellStyle name="Normal 8 2 7 3" xfId="5670" xr:uid="{00000000-0005-0000-0000-0000261D0000}"/>
    <cellStyle name="Normal 8 2 7 3 2" xfId="14996" xr:uid="{98A39E79-6C53-45CE-BF45-67E6AA70D764}"/>
    <cellStyle name="Normal 8 2 7 4" xfId="10779" xr:uid="{A302EA68-CA5D-4A0D-9E40-D863C97F548D}"/>
    <cellStyle name="Normal 8 2 8" xfId="1776" xr:uid="{00000000-0005-0000-0000-0000271D0000}"/>
    <cellStyle name="Normal 8 2 8 2" xfId="4006" xr:uid="{00000000-0005-0000-0000-0000281D0000}"/>
    <cellStyle name="Normal 8 2 8 2 2" xfId="8228" xr:uid="{00000000-0005-0000-0000-0000291D0000}"/>
    <cellStyle name="Normal 8 2 8 2 2 2" xfId="17554" xr:uid="{790B0807-4CD7-4F06-B501-38B6CDC4E85E}"/>
    <cellStyle name="Normal 8 2 8 2 3" xfId="13337" xr:uid="{47029936-0C7E-4F9E-8885-A6A7B8403E8A}"/>
    <cellStyle name="Normal 8 2 8 3" xfId="6083" xr:uid="{00000000-0005-0000-0000-00002A1D0000}"/>
    <cellStyle name="Normal 8 2 8 3 2" xfId="15409" xr:uid="{3BF8C0B3-B994-41F4-AF67-6D179E3AE528}"/>
    <cellStyle name="Normal 8 2 8 4" xfId="11192" xr:uid="{2E01E47A-DBAF-473D-ABBC-8186C214AC30}"/>
    <cellStyle name="Normal 8 2 9" xfId="2190" xr:uid="{00000000-0005-0000-0000-00002B1D0000}"/>
    <cellStyle name="Normal 8 2 9 2" xfId="4419" xr:uid="{00000000-0005-0000-0000-00002C1D0000}"/>
    <cellStyle name="Normal 8 2 9 2 2" xfId="8641" xr:uid="{00000000-0005-0000-0000-00002D1D0000}"/>
    <cellStyle name="Normal 8 2 9 2 2 2" xfId="17967" xr:uid="{9AF22AA2-469D-41D0-BC8C-4B473817C8D4}"/>
    <cellStyle name="Normal 8 2 9 2 3" xfId="13750" xr:uid="{6244615A-8805-4DE2-B14E-F21BD844C0E1}"/>
    <cellStyle name="Normal 8 2 9 3" xfId="6496" xr:uid="{00000000-0005-0000-0000-00002E1D0000}"/>
    <cellStyle name="Normal 8 2 9 3 2" xfId="15822" xr:uid="{18807EB2-F7A8-47AC-B466-E0505D88D32E}"/>
    <cellStyle name="Normal 8 2 9 4" xfId="11605" xr:uid="{6889EAEF-B906-4766-A490-3732D42266A0}"/>
    <cellStyle name="Normal 8 3" xfId="495" xr:uid="{00000000-0005-0000-0000-00002F1D0000}"/>
    <cellStyle name="Normal 8 3 10" xfId="4860" xr:uid="{00000000-0005-0000-0000-0000301D0000}"/>
    <cellStyle name="Normal 8 3 10 2" xfId="14186" xr:uid="{DE5B5320-0EDA-432A-9620-1A2269D51425}"/>
    <cellStyle name="Normal 8 3 11" xfId="8774" xr:uid="{81BDDADD-940D-4F3A-BD6C-7E4719C8A3D2}"/>
    <cellStyle name="Normal 8 3 11 2" xfId="18098" xr:uid="{A17DB4F9-148B-4045-941B-C4A3BD7168F5}"/>
    <cellStyle name="Normal 8 3 12" xfId="9969" xr:uid="{208446C8-EA37-4B01-861F-A51068751011}"/>
    <cellStyle name="Normal 8 3 2" xfId="496" xr:uid="{00000000-0005-0000-0000-0000311D0000}"/>
    <cellStyle name="Normal 8 3 2 10" xfId="8837" xr:uid="{392842AA-84B1-4A71-AE94-A1B631487B7E}"/>
    <cellStyle name="Normal 8 3 2 10 2" xfId="18161" xr:uid="{F1BD0B67-D3EA-4F7A-819C-22E200B29DF8}"/>
    <cellStyle name="Normal 8 3 2 11" xfId="9970" xr:uid="{5721BD2B-4597-46ED-B4A7-38AAF0204B66}"/>
    <cellStyle name="Normal 8 3 2 2" xfId="497" xr:uid="{00000000-0005-0000-0000-0000321D0000}"/>
    <cellStyle name="Normal 8 3 2 2 10" xfId="9971" xr:uid="{E87448E7-A93F-4FAE-8ABA-174259CDEC47}"/>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3581BA5E-CA4D-4DB2-BF23-53BA6D642A08}"/>
    <cellStyle name="Normal 8 3 2 2 2 2 2 3" xfId="12530" xr:uid="{BF059ABB-B471-4CE6-968A-15F0A19505D1}"/>
    <cellStyle name="Normal 8 3 2 2 2 2 3" xfId="5276" xr:uid="{00000000-0005-0000-0000-0000371D0000}"/>
    <cellStyle name="Normal 8 3 2 2 2 2 3 2" xfId="14602" xr:uid="{5ED013C4-A195-4A60-AC82-0D0E4BB733F0}"/>
    <cellStyle name="Normal 8 3 2 2 2 2 4" xfId="9572" xr:uid="{83269435-2305-4677-BD8B-8CB801DC108A}"/>
    <cellStyle name="Normal 8 3 2 2 2 2 4 2" xfId="18887" xr:uid="{38AE72BB-515C-40F2-9966-9117E54586AD}"/>
    <cellStyle name="Normal 8 3 2 2 2 2 5" xfId="10385" xr:uid="{B91D6DA6-6C3C-4A7A-85DE-5717E2F569C5}"/>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62D8EEA5-916D-4679-96FF-A478F58B8D4E}"/>
    <cellStyle name="Normal 8 3 2 2 2 3 2 3" xfId="12943" xr:uid="{08BA337C-00BB-4FF3-A3B1-D628794F9BD6}"/>
    <cellStyle name="Normal 8 3 2 2 2 3 3" xfId="5689" xr:uid="{00000000-0005-0000-0000-00003B1D0000}"/>
    <cellStyle name="Normal 8 3 2 2 2 3 3 2" xfId="15015" xr:uid="{9608A3CF-FB10-4771-958C-6CCB51EB436B}"/>
    <cellStyle name="Normal 8 3 2 2 2 3 4" xfId="10798" xr:uid="{C64B9E3F-4057-46C0-AFFD-193FF1FE4AEB}"/>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7F870905-1763-45DE-92B5-458030F8C5A7}"/>
    <cellStyle name="Normal 8 3 2 2 2 4 2 3" xfId="13356" xr:uid="{615C2E58-22D8-46D5-BE91-F0E8A0A1475A}"/>
    <cellStyle name="Normal 8 3 2 2 2 4 3" xfId="6102" xr:uid="{00000000-0005-0000-0000-00003F1D0000}"/>
    <cellStyle name="Normal 8 3 2 2 2 4 3 2" xfId="15428" xr:uid="{AE1F0765-3579-48E6-8B01-A5097D639DD9}"/>
    <cellStyle name="Normal 8 3 2 2 2 4 4" xfId="11211" xr:uid="{CC31E8CA-F245-4627-8408-1D72FC6BEFA6}"/>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B2C4D154-7C7C-44FC-B929-564229AC4F22}"/>
    <cellStyle name="Normal 8 3 2 2 2 5 2 3" xfId="13769" xr:uid="{BC1FA3F7-3DE5-48FD-B9F0-D40935BDECC5}"/>
    <cellStyle name="Normal 8 3 2 2 2 5 3" xfId="6515" xr:uid="{00000000-0005-0000-0000-0000431D0000}"/>
    <cellStyle name="Normal 8 3 2 2 2 5 3 2" xfId="15841" xr:uid="{D51A837C-6555-4592-A315-14054F0BF0DD}"/>
    <cellStyle name="Normal 8 3 2 2 2 5 4" xfId="11624" xr:uid="{03BD984B-CA39-4FEF-90B3-E71C1E2D7D1B}"/>
    <cellStyle name="Normal 8 3 2 2 2 6" xfId="2645" xr:uid="{00000000-0005-0000-0000-0000441D0000}"/>
    <cellStyle name="Normal 8 3 2 2 2 6 2" xfId="6928" xr:uid="{00000000-0005-0000-0000-0000451D0000}"/>
    <cellStyle name="Normal 8 3 2 2 2 6 2 2" xfId="16254" xr:uid="{1EE2AF7C-5CDC-47E6-9999-DF2F2B015D41}"/>
    <cellStyle name="Normal 8 3 2 2 2 6 3" xfId="12037" xr:uid="{B986706A-071E-498E-9D73-4E7E46DB12A4}"/>
    <cellStyle name="Normal 8 3 2 2 2 7" xfId="4863" xr:uid="{00000000-0005-0000-0000-0000461D0000}"/>
    <cellStyle name="Normal 8 3 2 2 2 7 2" xfId="14189" xr:uid="{ECFF0979-B80A-482B-84A8-8F511652370B}"/>
    <cellStyle name="Normal 8 3 2 2 2 8" xfId="9147" xr:uid="{16780743-13F5-44BF-919B-157B86988913}"/>
    <cellStyle name="Normal 8 3 2 2 2 8 2" xfId="18471" xr:uid="{22F25688-7333-43D1-AFB9-8371FFF0E0BC}"/>
    <cellStyle name="Normal 8 3 2 2 2 9" xfId="9972" xr:uid="{0035C0AD-ADA1-4F1D-AF8C-70C4C996F3EF}"/>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F6CAEF92-27CF-40AE-8F21-426BCD3BA333}"/>
    <cellStyle name="Normal 8 3 2 2 3 2 3" xfId="12529" xr:uid="{F46C1F1D-89C3-4595-AC57-8AC63768A26C}"/>
    <cellStyle name="Normal 8 3 2 2 3 3" xfId="5275" xr:uid="{00000000-0005-0000-0000-00004A1D0000}"/>
    <cellStyle name="Normal 8 3 2 2 3 3 2" xfId="14601" xr:uid="{6BC170AB-D9B0-444C-AAEF-0DAA20F1B7D2}"/>
    <cellStyle name="Normal 8 3 2 2 3 4" xfId="9365" xr:uid="{47FF7C14-7484-41B9-856F-11398F7B2C7C}"/>
    <cellStyle name="Normal 8 3 2 2 3 4 2" xfId="18680" xr:uid="{579FEF04-98C5-42D9-8FC0-C5D03201F028}"/>
    <cellStyle name="Normal 8 3 2 2 3 5" xfId="10384" xr:uid="{996B1486-2F22-4A5E-AE67-28C320A8AB61}"/>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C353ED51-AAAD-41BD-B662-76D6B36E396D}"/>
    <cellStyle name="Normal 8 3 2 2 4 2 3" xfId="12942" xr:uid="{9C32B076-B8D4-42D8-949C-6946F5D1858E}"/>
    <cellStyle name="Normal 8 3 2 2 4 3" xfId="5688" xr:uid="{00000000-0005-0000-0000-00004E1D0000}"/>
    <cellStyle name="Normal 8 3 2 2 4 3 2" xfId="15014" xr:uid="{DBBC9871-1B29-4740-8793-382F83944F53}"/>
    <cellStyle name="Normal 8 3 2 2 4 4" xfId="10797" xr:uid="{EB085A46-A56E-4491-9125-D31F406586F9}"/>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EC2A73CE-F077-4C21-947C-8242ADB03D96}"/>
    <cellStyle name="Normal 8 3 2 2 5 2 3" xfId="13355" xr:uid="{040F8DD9-A893-4E57-B3B3-C7ED6AA7F27C}"/>
    <cellStyle name="Normal 8 3 2 2 5 3" xfId="6101" xr:uid="{00000000-0005-0000-0000-0000521D0000}"/>
    <cellStyle name="Normal 8 3 2 2 5 3 2" xfId="15427" xr:uid="{EB03D4EE-9301-49D6-83FA-B70728A5136E}"/>
    <cellStyle name="Normal 8 3 2 2 5 4" xfId="11210" xr:uid="{124576A0-2318-4E73-B49C-451B3B94BEB0}"/>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F500D777-43A6-4CA4-88E2-C1DA32F07C23}"/>
    <cellStyle name="Normal 8 3 2 2 6 2 3" xfId="13768" xr:uid="{B3FDA3F8-6663-4696-A2D3-472B6C502FD3}"/>
    <cellStyle name="Normal 8 3 2 2 6 3" xfId="6514" xr:uid="{00000000-0005-0000-0000-0000561D0000}"/>
    <cellStyle name="Normal 8 3 2 2 6 3 2" xfId="15840" xr:uid="{6C0387AD-8ACC-4C15-9662-7F0ABA043EEC}"/>
    <cellStyle name="Normal 8 3 2 2 6 4" xfId="11623" xr:uid="{C1D0BB6A-75B9-422B-86C3-1C7A138F3205}"/>
    <cellStyle name="Normal 8 3 2 2 7" xfId="2644" xr:uid="{00000000-0005-0000-0000-0000571D0000}"/>
    <cellStyle name="Normal 8 3 2 2 7 2" xfId="6927" xr:uid="{00000000-0005-0000-0000-0000581D0000}"/>
    <cellStyle name="Normal 8 3 2 2 7 2 2" xfId="16253" xr:uid="{77E34BA4-C88B-4824-ADD9-F600D788390E}"/>
    <cellStyle name="Normal 8 3 2 2 7 3" xfId="12036" xr:uid="{8B779C6E-BAE3-48D7-BE11-F2ACC01252CA}"/>
    <cellStyle name="Normal 8 3 2 2 8" xfId="4862" xr:uid="{00000000-0005-0000-0000-0000591D0000}"/>
    <cellStyle name="Normal 8 3 2 2 8 2" xfId="14188" xr:uid="{477B628D-A5AE-4726-8FDC-82DE6ED96EBD}"/>
    <cellStyle name="Normal 8 3 2 2 9" xfId="8940" xr:uid="{63944EF0-E10A-4406-A758-3BD135650136}"/>
    <cellStyle name="Normal 8 3 2 2 9 2" xfId="18264" xr:uid="{811EDA5F-75E5-4767-8540-B9E1DCEF4125}"/>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10C846F7-EAE3-40CF-8EC5-1109EE572BC8}"/>
    <cellStyle name="Normal 8 3 2 3 2 2 3" xfId="12531" xr:uid="{2593230D-1A3A-481B-8C50-F08C620B86ED}"/>
    <cellStyle name="Normal 8 3 2 3 2 3" xfId="5277" xr:uid="{00000000-0005-0000-0000-00005E1D0000}"/>
    <cellStyle name="Normal 8 3 2 3 2 3 2" xfId="14603" xr:uid="{7F5D6040-8C1E-47C9-BD82-189B299C59A8}"/>
    <cellStyle name="Normal 8 3 2 3 2 4" xfId="9469" xr:uid="{7CA6C380-A6E9-4AF4-A29A-E40C8E9B5B5F}"/>
    <cellStyle name="Normal 8 3 2 3 2 4 2" xfId="18784" xr:uid="{B0A9957D-1B40-4892-9A18-402DBD4F206E}"/>
    <cellStyle name="Normal 8 3 2 3 2 5" xfId="10386" xr:uid="{9211D416-CF24-4125-A5F7-D04DAF24E5D2}"/>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47A8D6F1-7646-40E4-BE4C-86D9AFE1758F}"/>
    <cellStyle name="Normal 8 3 2 3 3 2 3" xfId="12944" xr:uid="{8409012C-9F32-4AA9-AB76-6765EF0BA5C6}"/>
    <cellStyle name="Normal 8 3 2 3 3 3" xfId="5690" xr:uid="{00000000-0005-0000-0000-0000621D0000}"/>
    <cellStyle name="Normal 8 3 2 3 3 3 2" xfId="15016" xr:uid="{C702F0D3-B1F2-4E1F-962E-C3FF08531D2F}"/>
    <cellStyle name="Normal 8 3 2 3 3 4" xfId="10799" xr:uid="{F4A803BA-8851-410E-BC81-2F23C7CA7F36}"/>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602D4808-B5EF-4E34-829A-36E65264BF33}"/>
    <cellStyle name="Normal 8 3 2 3 4 2 3" xfId="13357" xr:uid="{83AFECA8-22DA-4AE5-8F9E-228E30525235}"/>
    <cellStyle name="Normal 8 3 2 3 4 3" xfId="6103" xr:uid="{00000000-0005-0000-0000-0000661D0000}"/>
    <cellStyle name="Normal 8 3 2 3 4 3 2" xfId="15429" xr:uid="{7F5BFF80-967A-4569-BC9D-F712A2155F48}"/>
    <cellStyle name="Normal 8 3 2 3 4 4" xfId="11212" xr:uid="{553A7D33-D59E-4E11-8AE2-0FA84CF63788}"/>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7A7960E4-83B7-4B35-B29D-D1230440BBF6}"/>
    <cellStyle name="Normal 8 3 2 3 5 2 3" xfId="13770" xr:uid="{799F15C7-8DA8-42D9-96B8-C7F630648382}"/>
    <cellStyle name="Normal 8 3 2 3 5 3" xfId="6516" xr:uid="{00000000-0005-0000-0000-00006A1D0000}"/>
    <cellStyle name="Normal 8 3 2 3 5 3 2" xfId="15842" xr:uid="{44B32043-A624-48C9-9B92-30BBC748E708}"/>
    <cellStyle name="Normal 8 3 2 3 5 4" xfId="11625" xr:uid="{B515E2AB-AA0C-40DD-AB10-76032EFD59DE}"/>
    <cellStyle name="Normal 8 3 2 3 6" xfId="2646" xr:uid="{00000000-0005-0000-0000-00006B1D0000}"/>
    <cellStyle name="Normal 8 3 2 3 6 2" xfId="6929" xr:uid="{00000000-0005-0000-0000-00006C1D0000}"/>
    <cellStyle name="Normal 8 3 2 3 6 2 2" xfId="16255" xr:uid="{DED3AF8F-FBE8-47BB-8D7A-70E747090D10}"/>
    <cellStyle name="Normal 8 3 2 3 6 3" xfId="12038" xr:uid="{D29C9585-65F6-4479-A4BC-F0348BEEE3A7}"/>
    <cellStyle name="Normal 8 3 2 3 7" xfId="4864" xr:uid="{00000000-0005-0000-0000-00006D1D0000}"/>
    <cellStyle name="Normal 8 3 2 3 7 2" xfId="14190" xr:uid="{6A1FCD45-71AC-44AB-9247-FE11A3A432DB}"/>
    <cellStyle name="Normal 8 3 2 3 8" xfId="9044" xr:uid="{5ED49706-9CA9-4EE9-B01D-112CD1DB587C}"/>
    <cellStyle name="Normal 8 3 2 3 8 2" xfId="18368" xr:uid="{B497FF18-0CA5-428D-97A1-30748A7A63CC}"/>
    <cellStyle name="Normal 8 3 2 3 9" xfId="9973" xr:uid="{6C2BF024-88C7-4973-A8DF-E1DE5349A124}"/>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12E15DDB-3CCE-462D-A88B-4EB83733F4CA}"/>
    <cellStyle name="Normal 8 3 2 4 2 3" xfId="12528" xr:uid="{04E4C4E2-F5D2-4681-9F64-E5112384890F}"/>
    <cellStyle name="Normal 8 3 2 4 3" xfId="5274" xr:uid="{00000000-0005-0000-0000-0000711D0000}"/>
    <cellStyle name="Normal 8 3 2 4 3 2" xfId="14600" xr:uid="{6A376A2B-8DC7-4DD7-A9B1-860FBCA7F582}"/>
    <cellStyle name="Normal 8 3 2 4 4" xfId="9262" xr:uid="{8842595C-CD28-4B10-9BE6-37883B4C2AA9}"/>
    <cellStyle name="Normal 8 3 2 4 4 2" xfId="18577" xr:uid="{040609F2-E64C-4E49-85BA-9BE246AAEE31}"/>
    <cellStyle name="Normal 8 3 2 4 5" xfId="10383" xr:uid="{1584390B-9786-45EC-AFAB-038135AF30FD}"/>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B8301D93-8F57-4DAB-AC74-00E80C7A723B}"/>
    <cellStyle name="Normal 8 3 2 5 2 3" xfId="12941" xr:uid="{C6EBD17F-7FED-4D9C-B5F3-EFFE5B261615}"/>
    <cellStyle name="Normal 8 3 2 5 3" xfId="5687" xr:uid="{00000000-0005-0000-0000-0000751D0000}"/>
    <cellStyle name="Normal 8 3 2 5 3 2" xfId="15013" xr:uid="{2F56F2AC-CAF8-4043-949B-981EDCEC4441}"/>
    <cellStyle name="Normal 8 3 2 5 4" xfId="10796" xr:uid="{F5E39AB6-C02D-4A10-8884-A1399B11B831}"/>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035DC25A-A4E8-4C96-9002-AD8EEC062BB2}"/>
    <cellStyle name="Normal 8 3 2 6 2 3" xfId="13354" xr:uid="{30512848-58BD-4E07-B6F6-35306F3CA8D0}"/>
    <cellStyle name="Normal 8 3 2 6 3" xfId="6100" xr:uid="{00000000-0005-0000-0000-0000791D0000}"/>
    <cellStyle name="Normal 8 3 2 6 3 2" xfId="15426" xr:uid="{145F1221-19A5-425B-8352-2D10D9170FDB}"/>
    <cellStyle name="Normal 8 3 2 6 4" xfId="11209" xr:uid="{3053CFB6-F82A-4E4A-A0A1-D666471CBE5C}"/>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BC836046-1DB5-4DDF-A2CF-789D885D4034}"/>
    <cellStyle name="Normal 8 3 2 7 2 3" xfId="13767" xr:uid="{B569BC22-60DD-4B7B-B655-65B3799BE559}"/>
    <cellStyle name="Normal 8 3 2 7 3" xfId="6513" xr:uid="{00000000-0005-0000-0000-00007D1D0000}"/>
    <cellStyle name="Normal 8 3 2 7 3 2" xfId="15839" xr:uid="{A2BD5B9D-50FD-4793-AA96-4DC8CA1526D3}"/>
    <cellStyle name="Normal 8 3 2 7 4" xfId="11622" xr:uid="{9AFE51BF-C849-4502-951C-6A21DF5CEFF9}"/>
    <cellStyle name="Normal 8 3 2 8" xfId="2643" xr:uid="{00000000-0005-0000-0000-00007E1D0000}"/>
    <cellStyle name="Normal 8 3 2 8 2" xfId="6926" xr:uid="{00000000-0005-0000-0000-00007F1D0000}"/>
    <cellStyle name="Normal 8 3 2 8 2 2" xfId="16252" xr:uid="{44ACBF41-FC7A-4415-A5D3-74E090FEFA4E}"/>
    <cellStyle name="Normal 8 3 2 8 3" xfId="12035" xr:uid="{519FFD2D-636B-4407-A0C0-55A9C5547519}"/>
    <cellStyle name="Normal 8 3 2 9" xfId="4861" xr:uid="{00000000-0005-0000-0000-0000801D0000}"/>
    <cellStyle name="Normal 8 3 2 9 2" xfId="14187" xr:uid="{A12A40C3-53BD-4559-BC4E-FB53073D61FB}"/>
    <cellStyle name="Normal 8 3 3" xfId="500" xr:uid="{00000000-0005-0000-0000-0000811D0000}"/>
    <cellStyle name="Normal 8 3 3 10" xfId="9974" xr:uid="{C468BED8-DEDB-4F58-B6AC-358B09287628}"/>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7CD99D77-9C38-461A-A28A-D223145C135C}"/>
    <cellStyle name="Normal 8 3 3 2 2 2 3" xfId="12533" xr:uid="{3447ED15-B888-486E-8C5F-53530690A5D4}"/>
    <cellStyle name="Normal 8 3 3 2 2 3" xfId="5279" xr:uid="{00000000-0005-0000-0000-0000861D0000}"/>
    <cellStyle name="Normal 8 3 3 2 2 3 2" xfId="14605" xr:uid="{3C398AA9-ED5B-45F3-A4D4-25A331BA00F4}"/>
    <cellStyle name="Normal 8 3 3 2 2 4" xfId="9509" xr:uid="{3B4378D3-7C51-4B91-822B-758528BFF352}"/>
    <cellStyle name="Normal 8 3 3 2 2 4 2" xfId="18824" xr:uid="{35095F91-3CFB-444E-89B8-DB39AA132CB0}"/>
    <cellStyle name="Normal 8 3 3 2 2 5" xfId="10388" xr:uid="{321E7068-3B0F-4066-BAB8-1612B4DF772F}"/>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83B128A2-10F4-4297-AC7E-1E1BAAB4CB79}"/>
    <cellStyle name="Normal 8 3 3 2 3 2 3" xfId="12946" xr:uid="{7B0F1983-39D9-4A63-91E5-E6833F9071B6}"/>
    <cellStyle name="Normal 8 3 3 2 3 3" xfId="5692" xr:uid="{00000000-0005-0000-0000-00008A1D0000}"/>
    <cellStyle name="Normal 8 3 3 2 3 3 2" xfId="15018" xr:uid="{2A77616A-A546-411B-994B-6BB40D4272EA}"/>
    <cellStyle name="Normal 8 3 3 2 3 4" xfId="10801" xr:uid="{5ECF1D74-A5BB-4346-B394-3F608F388B61}"/>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1C7B4B12-22DC-4421-8C1D-49D9DEADDE93}"/>
    <cellStyle name="Normal 8 3 3 2 4 2 3" xfId="13359" xr:uid="{FFAAB0BB-2050-4D94-81B9-BAC7FD9F257F}"/>
    <cellStyle name="Normal 8 3 3 2 4 3" xfId="6105" xr:uid="{00000000-0005-0000-0000-00008E1D0000}"/>
    <cellStyle name="Normal 8 3 3 2 4 3 2" xfId="15431" xr:uid="{AC0EC5C3-A152-4736-9D80-153B1C7BB987}"/>
    <cellStyle name="Normal 8 3 3 2 4 4" xfId="11214" xr:uid="{668403C5-2D03-4FEF-9728-522D46EB6E39}"/>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1E8F3DA0-DC0F-40CE-ADEE-BCDF06899690}"/>
    <cellStyle name="Normal 8 3 3 2 5 2 3" xfId="13772" xr:uid="{B36CE79D-CBDB-433E-8051-5FD5DABFE356}"/>
    <cellStyle name="Normal 8 3 3 2 5 3" xfId="6518" xr:uid="{00000000-0005-0000-0000-0000921D0000}"/>
    <cellStyle name="Normal 8 3 3 2 5 3 2" xfId="15844" xr:uid="{FA34EBC1-4493-4EC2-AF0F-F75B3D51487C}"/>
    <cellStyle name="Normal 8 3 3 2 5 4" xfId="11627" xr:uid="{9C1A8D08-A0AE-4CB3-AB17-12475266A938}"/>
    <cellStyle name="Normal 8 3 3 2 6" xfId="2648" xr:uid="{00000000-0005-0000-0000-0000931D0000}"/>
    <cellStyle name="Normal 8 3 3 2 6 2" xfId="6931" xr:uid="{00000000-0005-0000-0000-0000941D0000}"/>
    <cellStyle name="Normal 8 3 3 2 6 2 2" xfId="16257" xr:uid="{BCD95144-07FF-40A2-B901-BE21091FBF44}"/>
    <cellStyle name="Normal 8 3 3 2 6 3" xfId="12040" xr:uid="{BE016AC1-53F6-49A9-A914-E8E02F00F8C8}"/>
    <cellStyle name="Normal 8 3 3 2 7" xfId="4866" xr:uid="{00000000-0005-0000-0000-0000951D0000}"/>
    <cellStyle name="Normal 8 3 3 2 7 2" xfId="14192" xr:uid="{FE3865E8-DF08-4DE0-8EDE-873B122C346F}"/>
    <cellStyle name="Normal 8 3 3 2 8" xfId="9084" xr:uid="{94243AB7-0454-4C95-8E94-054E46718167}"/>
    <cellStyle name="Normal 8 3 3 2 8 2" xfId="18408" xr:uid="{984EBEC9-911F-4CF6-85AA-518BF7068D72}"/>
    <cellStyle name="Normal 8 3 3 2 9" xfId="9975" xr:uid="{0F8BA2BB-B681-4965-BBA6-0FAD786D2596}"/>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672094ED-9924-4F9A-9384-7F15900171D4}"/>
    <cellStyle name="Normal 8 3 3 3 2 3" xfId="12532" xr:uid="{BF037A56-B644-4552-9D32-89E97A1B38CF}"/>
    <cellStyle name="Normal 8 3 3 3 3" xfId="5278" xr:uid="{00000000-0005-0000-0000-0000991D0000}"/>
    <cellStyle name="Normal 8 3 3 3 3 2" xfId="14604" xr:uid="{2DCA42D4-8094-45F9-B3C2-3F0338E89774}"/>
    <cellStyle name="Normal 8 3 3 3 4" xfId="9302" xr:uid="{3985B908-2B56-4F9B-BEA3-8962926FD004}"/>
    <cellStyle name="Normal 8 3 3 3 4 2" xfId="18617" xr:uid="{B9270533-3443-4AA9-A4E2-95D7B4A5376E}"/>
    <cellStyle name="Normal 8 3 3 3 5" xfId="10387" xr:uid="{7E49830C-CC33-4C4D-BD7C-3F0DC542779F}"/>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7D20C885-1124-4E7A-9164-3C6D2E7E7FC8}"/>
    <cellStyle name="Normal 8 3 3 4 2 3" xfId="12945" xr:uid="{6149E030-128B-4C3E-A149-2EC43CC251AA}"/>
    <cellStyle name="Normal 8 3 3 4 3" xfId="5691" xr:uid="{00000000-0005-0000-0000-00009D1D0000}"/>
    <cellStyle name="Normal 8 3 3 4 3 2" xfId="15017" xr:uid="{57D6F55E-3BE3-452B-A2E9-C616CF07F81E}"/>
    <cellStyle name="Normal 8 3 3 4 4" xfId="10800" xr:uid="{E9A0EC31-586D-4AE5-8A7E-FAF11AB0C9F9}"/>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BDAF102A-DEE7-40D4-BDD6-479FC479F9DA}"/>
    <cellStyle name="Normal 8 3 3 5 2 3" xfId="13358" xr:uid="{73332DB6-57C8-4FAD-9AED-4137DE9C88F9}"/>
    <cellStyle name="Normal 8 3 3 5 3" xfId="6104" xr:uid="{00000000-0005-0000-0000-0000A11D0000}"/>
    <cellStyle name="Normal 8 3 3 5 3 2" xfId="15430" xr:uid="{B504A041-EDAB-46F3-B376-462D1739B28B}"/>
    <cellStyle name="Normal 8 3 3 5 4" xfId="11213" xr:uid="{39CC0387-D48A-46FF-86F2-FCB958E31B9E}"/>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3930CB40-BC5F-4BC5-B4CF-6378648BAE51}"/>
    <cellStyle name="Normal 8 3 3 6 2 3" xfId="13771" xr:uid="{F4AB8CF2-9B54-4996-AD82-9B3D0D0C65D2}"/>
    <cellStyle name="Normal 8 3 3 6 3" xfId="6517" xr:uid="{00000000-0005-0000-0000-0000A51D0000}"/>
    <cellStyle name="Normal 8 3 3 6 3 2" xfId="15843" xr:uid="{CAB18240-D72D-4D80-A24F-751F4A4A12E3}"/>
    <cellStyle name="Normal 8 3 3 6 4" xfId="11626" xr:uid="{EA1F4918-5ADD-4711-B317-630DB19156CE}"/>
    <cellStyle name="Normal 8 3 3 7" xfId="2647" xr:uid="{00000000-0005-0000-0000-0000A61D0000}"/>
    <cellStyle name="Normal 8 3 3 7 2" xfId="6930" xr:uid="{00000000-0005-0000-0000-0000A71D0000}"/>
    <cellStyle name="Normal 8 3 3 7 2 2" xfId="16256" xr:uid="{C2FDFFDD-12ED-4FB1-B5B3-9E5877D664C1}"/>
    <cellStyle name="Normal 8 3 3 7 3" xfId="12039" xr:uid="{A54B4E8D-5230-40EE-9324-66C00A052A6D}"/>
    <cellStyle name="Normal 8 3 3 8" xfId="4865" xr:uid="{00000000-0005-0000-0000-0000A81D0000}"/>
    <cellStyle name="Normal 8 3 3 8 2" xfId="14191" xr:uid="{3C521F2A-2835-4338-A699-545390B0E7BE}"/>
    <cellStyle name="Normal 8 3 3 9" xfId="8877" xr:uid="{4F8231E3-800E-43E7-B1B6-9633EBFFFFE1}"/>
    <cellStyle name="Normal 8 3 3 9 2" xfId="18201" xr:uid="{FCA17C55-B136-4697-8969-634DC99FCF29}"/>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42879C2B-4EAC-402A-A25C-183EE385DEA7}"/>
    <cellStyle name="Normal 8 3 4 2 2 3" xfId="12534" xr:uid="{ED6D5135-F2D6-49DE-94F0-9028E3722C95}"/>
    <cellStyle name="Normal 8 3 4 2 3" xfId="5280" xr:uid="{00000000-0005-0000-0000-0000AD1D0000}"/>
    <cellStyle name="Normal 8 3 4 2 3 2" xfId="14606" xr:uid="{B5FDDF7F-D43B-4DE0-A3AB-7C8D47009E1A}"/>
    <cellStyle name="Normal 8 3 4 2 4" xfId="9406" xr:uid="{8751BE45-E47B-4A0A-B0DE-04C14FAEA88D}"/>
    <cellStyle name="Normal 8 3 4 2 4 2" xfId="18721" xr:uid="{D6741B6C-BC98-454A-A059-515FCC04CCF7}"/>
    <cellStyle name="Normal 8 3 4 2 5" xfId="10389" xr:uid="{FE24BC7B-233E-42F8-AD89-C4CEBEC8EC53}"/>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41053880-3651-4AA7-A42B-7C0F800D4FEE}"/>
    <cellStyle name="Normal 8 3 4 3 2 3" xfId="12947" xr:uid="{803AE81B-9C60-49ED-871C-E96F7F5ED84B}"/>
    <cellStyle name="Normal 8 3 4 3 3" xfId="5693" xr:uid="{00000000-0005-0000-0000-0000B11D0000}"/>
    <cellStyle name="Normal 8 3 4 3 3 2" xfId="15019" xr:uid="{83DB408F-7DDF-42E6-A680-C9731D2F52A0}"/>
    <cellStyle name="Normal 8 3 4 3 4" xfId="10802" xr:uid="{6A378786-D1A6-4061-A46C-91A4185BDA99}"/>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CAF40375-EABD-4926-AA01-4FDE95935FC2}"/>
    <cellStyle name="Normal 8 3 4 4 2 3" xfId="13360" xr:uid="{FE71708B-AA8F-47F4-B0FF-E6DD21341E41}"/>
    <cellStyle name="Normal 8 3 4 4 3" xfId="6106" xr:uid="{00000000-0005-0000-0000-0000B51D0000}"/>
    <cellStyle name="Normal 8 3 4 4 3 2" xfId="15432" xr:uid="{FFAA5E33-DADD-4AF8-877A-ED8C8D3D5D04}"/>
    <cellStyle name="Normal 8 3 4 4 4" xfId="11215" xr:uid="{E2AC7AA6-24D1-4BC5-9B54-F7BB22668494}"/>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0C694F13-9CFD-4D00-B069-32823F0B8A12}"/>
    <cellStyle name="Normal 8 3 4 5 2 3" xfId="13773" xr:uid="{1BD33785-FBDB-48C4-AF17-B5DCD11A34D3}"/>
    <cellStyle name="Normal 8 3 4 5 3" xfId="6519" xr:uid="{00000000-0005-0000-0000-0000B91D0000}"/>
    <cellStyle name="Normal 8 3 4 5 3 2" xfId="15845" xr:uid="{128F8EFC-784A-451C-B6C1-C1CFF9FD71DE}"/>
    <cellStyle name="Normal 8 3 4 5 4" xfId="11628" xr:uid="{453A8057-9BD4-40B6-92D7-48B26D5EBF56}"/>
    <cellStyle name="Normal 8 3 4 6" xfId="2649" xr:uid="{00000000-0005-0000-0000-0000BA1D0000}"/>
    <cellStyle name="Normal 8 3 4 6 2" xfId="6932" xr:uid="{00000000-0005-0000-0000-0000BB1D0000}"/>
    <cellStyle name="Normal 8 3 4 6 2 2" xfId="16258" xr:uid="{DB33E342-2C76-4539-BDC8-9AB348FC2D72}"/>
    <cellStyle name="Normal 8 3 4 6 3" xfId="12041" xr:uid="{2496E312-CA21-4C17-9B87-EF1ABCC99747}"/>
    <cellStyle name="Normal 8 3 4 7" xfId="4867" xr:uid="{00000000-0005-0000-0000-0000BC1D0000}"/>
    <cellStyle name="Normal 8 3 4 7 2" xfId="14193" xr:uid="{603118EB-9AE8-4E24-8A53-2A510BB48A3B}"/>
    <cellStyle name="Normal 8 3 4 8" xfId="8981" xr:uid="{BEE184E9-ECE6-4107-B29A-CC8BC7F28FA3}"/>
    <cellStyle name="Normal 8 3 4 8 2" xfId="18305" xr:uid="{2ABB4A1C-7B3C-4BF0-886B-167B9370EBBC}"/>
    <cellStyle name="Normal 8 3 4 9" xfId="9976" xr:uid="{2F04ADDE-13F5-42E3-AD1F-DEE6A2EA1765}"/>
    <cellStyle name="Normal 8 3 5" xfId="962" xr:uid="{00000000-0005-0000-0000-0000BD1D0000}"/>
    <cellStyle name="Normal 8 3 5 2" xfId="3196" xr:uid="{00000000-0005-0000-0000-0000BE1D0000}"/>
    <cellStyle name="Normal 8 3 5 2 2" xfId="7418" xr:uid="{00000000-0005-0000-0000-0000BF1D0000}"/>
    <cellStyle name="Normal 8 3 5 2 2 2" xfId="16744" xr:uid="{75E7683C-BDCF-4C60-BBDB-CDEBB77B6D9B}"/>
    <cellStyle name="Normal 8 3 5 2 3" xfId="12527" xr:uid="{D81BA76D-DA4A-4817-A9B9-A4D289042324}"/>
    <cellStyle name="Normal 8 3 5 3" xfId="5273" xr:uid="{00000000-0005-0000-0000-0000C01D0000}"/>
    <cellStyle name="Normal 8 3 5 3 2" xfId="14599" xr:uid="{97631D6A-688A-4F8C-92BF-29E4E0EE85D0}"/>
    <cellStyle name="Normal 8 3 5 4" xfId="9198" xr:uid="{FA5A5C79-C3AC-4E17-9344-90C4E411EE0B}"/>
    <cellStyle name="Normal 8 3 5 4 2" xfId="18514" xr:uid="{7E3CA0B1-48DA-4438-9D80-5D7C71A6F2F1}"/>
    <cellStyle name="Normal 8 3 5 5" xfId="10382" xr:uid="{6398A6B9-831E-4668-8291-B316354BB56C}"/>
    <cellStyle name="Normal 8 3 6" xfId="1379" xr:uid="{00000000-0005-0000-0000-0000C11D0000}"/>
    <cellStyle name="Normal 8 3 6 2" xfId="3609" xr:uid="{00000000-0005-0000-0000-0000C21D0000}"/>
    <cellStyle name="Normal 8 3 6 2 2" xfId="7831" xr:uid="{00000000-0005-0000-0000-0000C31D0000}"/>
    <cellStyle name="Normal 8 3 6 2 2 2" xfId="17157" xr:uid="{39FC0F39-98B4-488D-AF1E-3001B3D18DA7}"/>
    <cellStyle name="Normal 8 3 6 2 3" xfId="12940" xr:uid="{C51B9A14-C136-42BA-9559-E97D4E98B58B}"/>
    <cellStyle name="Normal 8 3 6 3" xfId="5686" xr:uid="{00000000-0005-0000-0000-0000C41D0000}"/>
    <cellStyle name="Normal 8 3 6 3 2" xfId="15012" xr:uid="{616E08F6-5D7B-4365-AD3A-A24FF0BE782B}"/>
    <cellStyle name="Normal 8 3 6 4" xfId="10795" xr:uid="{450BD8B1-E954-440F-8706-C33FB4150E3C}"/>
    <cellStyle name="Normal 8 3 7" xfId="1792" xr:uid="{00000000-0005-0000-0000-0000C51D0000}"/>
    <cellStyle name="Normal 8 3 7 2" xfId="4022" xr:uid="{00000000-0005-0000-0000-0000C61D0000}"/>
    <cellStyle name="Normal 8 3 7 2 2" xfId="8244" xr:uid="{00000000-0005-0000-0000-0000C71D0000}"/>
    <cellStyle name="Normal 8 3 7 2 2 2" xfId="17570" xr:uid="{0C4122C7-ED7E-4FF2-845D-112030B932F6}"/>
    <cellStyle name="Normal 8 3 7 2 3" xfId="13353" xr:uid="{DD3E95D6-5810-4B2A-86EC-35509239B96E}"/>
    <cellStyle name="Normal 8 3 7 3" xfId="6099" xr:uid="{00000000-0005-0000-0000-0000C81D0000}"/>
    <cellStyle name="Normal 8 3 7 3 2" xfId="15425" xr:uid="{350CD1C4-372A-4542-9949-085137828A14}"/>
    <cellStyle name="Normal 8 3 7 4" xfId="11208" xr:uid="{9D43EC49-5B85-4D76-A514-8DCAA34B6ABF}"/>
    <cellStyle name="Normal 8 3 8" xfId="2206" xr:uid="{00000000-0005-0000-0000-0000C91D0000}"/>
    <cellStyle name="Normal 8 3 8 2" xfId="4435" xr:uid="{00000000-0005-0000-0000-0000CA1D0000}"/>
    <cellStyle name="Normal 8 3 8 2 2" xfId="8657" xr:uid="{00000000-0005-0000-0000-0000CB1D0000}"/>
    <cellStyle name="Normal 8 3 8 2 2 2" xfId="17983" xr:uid="{14BADA72-E5E5-4FA1-AD53-5E695B91B58C}"/>
    <cellStyle name="Normal 8 3 8 2 3" xfId="13766" xr:uid="{9BDCFE74-78EF-41A2-B694-14D464D0E690}"/>
    <cellStyle name="Normal 8 3 8 3" xfId="6512" xr:uid="{00000000-0005-0000-0000-0000CC1D0000}"/>
    <cellStyle name="Normal 8 3 8 3 2" xfId="15838" xr:uid="{D025DF25-51D4-4F03-B9E1-3B30DADBF80F}"/>
    <cellStyle name="Normal 8 3 8 4" xfId="11621" xr:uid="{9D16C00A-01DC-415E-8751-96281B98F7E2}"/>
    <cellStyle name="Normal 8 3 9" xfId="2642" xr:uid="{00000000-0005-0000-0000-0000CD1D0000}"/>
    <cellStyle name="Normal 8 3 9 2" xfId="6925" xr:uid="{00000000-0005-0000-0000-0000CE1D0000}"/>
    <cellStyle name="Normal 8 3 9 2 2" xfId="16251" xr:uid="{48A23F89-13E1-452D-8DE1-11F49A5E52DD}"/>
    <cellStyle name="Normal 8 3 9 3" xfId="12034" xr:uid="{6D1701E5-03DD-4F3F-B29A-6A6EF3B59C0B}"/>
    <cellStyle name="Normal 8 4" xfId="503" xr:uid="{00000000-0005-0000-0000-0000CF1D0000}"/>
    <cellStyle name="Normal 8 4 10" xfId="8834" xr:uid="{78848A4E-06FA-4050-B553-A3A7DEA1B047}"/>
    <cellStyle name="Normal 8 4 10 2" xfId="18158" xr:uid="{6793191F-9A83-4CBE-BFEF-5EC2283F8CD6}"/>
    <cellStyle name="Normal 8 4 11" xfId="9977" xr:uid="{357F46C1-5CCE-4EC6-A88A-DCBDBCE01286}"/>
    <cellStyle name="Normal 8 4 2" xfId="504" xr:uid="{00000000-0005-0000-0000-0000D01D0000}"/>
    <cellStyle name="Normal 8 4 2 10" xfId="9978" xr:uid="{C0EE3777-C083-4E1F-B50E-D76278E1549E}"/>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1A441C45-23CA-44E5-AAF8-A0FA420369C7}"/>
    <cellStyle name="Normal 8 4 2 2 2 2 3" xfId="12537" xr:uid="{D6451917-BB22-4FB4-972A-12641B8FB003}"/>
    <cellStyle name="Normal 8 4 2 2 2 3" xfId="5283" xr:uid="{00000000-0005-0000-0000-0000D51D0000}"/>
    <cellStyle name="Normal 8 4 2 2 2 3 2" xfId="14609" xr:uid="{4CF846E2-ED16-4EC7-984C-019535615071}"/>
    <cellStyle name="Normal 8 4 2 2 2 4" xfId="9569" xr:uid="{F21122F8-27BB-4D46-891E-281F736F5353}"/>
    <cellStyle name="Normal 8 4 2 2 2 4 2" xfId="18884" xr:uid="{FA7D467F-3218-4ECF-8F2C-8AFE85677F94}"/>
    <cellStyle name="Normal 8 4 2 2 2 5" xfId="10392" xr:uid="{D64B1D85-B83F-4ACC-A295-E243106ED2F9}"/>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0B35A5C4-68EE-4EAC-8EDF-1BA94037E5FC}"/>
    <cellStyle name="Normal 8 4 2 2 3 2 3" xfId="12950" xr:uid="{BAE86847-2E53-4032-A46B-6A4E1E9B8415}"/>
    <cellStyle name="Normal 8 4 2 2 3 3" xfId="5696" xr:uid="{00000000-0005-0000-0000-0000D91D0000}"/>
    <cellStyle name="Normal 8 4 2 2 3 3 2" xfId="15022" xr:uid="{0AE8AA48-D683-4524-94B2-3489F9164BCF}"/>
    <cellStyle name="Normal 8 4 2 2 3 4" xfId="10805" xr:uid="{72410EA9-A124-4A7F-9C7D-6BA71A1DC62B}"/>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BCCD13A2-253C-4AEA-AAF6-3034FB2B2071}"/>
    <cellStyle name="Normal 8 4 2 2 4 2 3" xfId="13363" xr:uid="{101A1F45-D66D-4AF5-97D3-081E4AB58EB3}"/>
    <cellStyle name="Normal 8 4 2 2 4 3" xfId="6109" xr:uid="{00000000-0005-0000-0000-0000DD1D0000}"/>
    <cellStyle name="Normal 8 4 2 2 4 3 2" xfId="15435" xr:uid="{BA402134-B416-48EC-A739-FE5234DAA6A3}"/>
    <cellStyle name="Normal 8 4 2 2 4 4" xfId="11218" xr:uid="{1290215E-2434-472E-8570-DEDF4D5A0F89}"/>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0ACBC6B7-2AC8-4547-8B21-3DCC271C0F95}"/>
    <cellStyle name="Normal 8 4 2 2 5 2 3" xfId="13776" xr:uid="{816B0396-F534-4F83-A738-58B38BA7D3DE}"/>
    <cellStyle name="Normal 8 4 2 2 5 3" xfId="6522" xr:uid="{00000000-0005-0000-0000-0000E11D0000}"/>
    <cellStyle name="Normal 8 4 2 2 5 3 2" xfId="15848" xr:uid="{E5C58C33-1243-46D6-91AA-06A31098ED7C}"/>
    <cellStyle name="Normal 8 4 2 2 5 4" xfId="11631" xr:uid="{272578E8-30A9-41DD-A100-47E34B25C87D}"/>
    <cellStyle name="Normal 8 4 2 2 6" xfId="2652" xr:uid="{00000000-0005-0000-0000-0000E21D0000}"/>
    <cellStyle name="Normal 8 4 2 2 6 2" xfId="6935" xr:uid="{00000000-0005-0000-0000-0000E31D0000}"/>
    <cellStyle name="Normal 8 4 2 2 6 2 2" xfId="16261" xr:uid="{80F5688A-041F-4F1E-975E-281F0288FD14}"/>
    <cellStyle name="Normal 8 4 2 2 6 3" xfId="12044" xr:uid="{6AADCF2E-F388-4B0B-BB84-80F7FF4D8AF4}"/>
    <cellStyle name="Normal 8 4 2 2 7" xfId="4870" xr:uid="{00000000-0005-0000-0000-0000E41D0000}"/>
    <cellStyle name="Normal 8 4 2 2 7 2" xfId="14196" xr:uid="{DC492834-F025-44EC-9678-2013841D5804}"/>
    <cellStyle name="Normal 8 4 2 2 8" xfId="9144" xr:uid="{EF6B0978-3DE8-47DC-990C-0B47AAC8F1DC}"/>
    <cellStyle name="Normal 8 4 2 2 8 2" xfId="18468" xr:uid="{7BACCBD7-82FA-4B29-9B95-801AB0C6E5D6}"/>
    <cellStyle name="Normal 8 4 2 2 9" xfId="9979" xr:uid="{90B2B588-1DAB-428F-B21F-15ADC95B45AC}"/>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3614EF7D-8279-4422-9644-0ADE62886875}"/>
    <cellStyle name="Normal 8 4 2 3 2 3" xfId="12536" xr:uid="{7A200C2C-6526-4078-81F1-205081ECE826}"/>
    <cellStyle name="Normal 8 4 2 3 3" xfId="5282" xr:uid="{00000000-0005-0000-0000-0000E81D0000}"/>
    <cellStyle name="Normal 8 4 2 3 3 2" xfId="14608" xr:uid="{C6CD89C7-369C-41EB-B8AD-508E7EA25D3F}"/>
    <cellStyle name="Normal 8 4 2 3 4" xfId="9362" xr:uid="{206856BB-FDDB-4012-ABFE-5E991E477A14}"/>
    <cellStyle name="Normal 8 4 2 3 4 2" xfId="18677" xr:uid="{0BBEFD67-7D90-49E4-BB6B-5AA80A3C197B}"/>
    <cellStyle name="Normal 8 4 2 3 5" xfId="10391" xr:uid="{9E23BC0B-2320-4C4D-8868-3AE73486C9D8}"/>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212D72C4-2AB0-40A8-A999-282DD6EF718E}"/>
    <cellStyle name="Normal 8 4 2 4 2 3" xfId="12949" xr:uid="{98D95B31-CD31-4F63-B089-62419D4B58FD}"/>
    <cellStyle name="Normal 8 4 2 4 3" xfId="5695" xr:uid="{00000000-0005-0000-0000-0000EC1D0000}"/>
    <cellStyle name="Normal 8 4 2 4 3 2" xfId="15021" xr:uid="{F9CDBAF1-4AF0-4830-8BF2-DD27E2F90CEA}"/>
    <cellStyle name="Normal 8 4 2 4 4" xfId="10804" xr:uid="{7927CBF8-1AE1-442B-A882-C6912948DA7D}"/>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CAF3C043-0059-4D77-9BCE-A7A3682B2C8F}"/>
    <cellStyle name="Normal 8 4 2 5 2 3" xfId="13362" xr:uid="{759FFED8-4862-4F09-9FF3-ED51F6140EA8}"/>
    <cellStyle name="Normal 8 4 2 5 3" xfId="6108" xr:uid="{00000000-0005-0000-0000-0000F01D0000}"/>
    <cellStyle name="Normal 8 4 2 5 3 2" xfId="15434" xr:uid="{69CB1C56-23BF-436B-9311-EC7FD80AD059}"/>
    <cellStyle name="Normal 8 4 2 5 4" xfId="11217" xr:uid="{7866CC77-BDD0-43E9-BB72-3C0C7E657A22}"/>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86A59919-2892-47C7-9125-8DC5ABF0F6AF}"/>
    <cellStyle name="Normal 8 4 2 6 2 3" xfId="13775" xr:uid="{7FEB609F-30B8-4E1A-8634-EF5E1F8398B8}"/>
    <cellStyle name="Normal 8 4 2 6 3" xfId="6521" xr:uid="{00000000-0005-0000-0000-0000F41D0000}"/>
    <cellStyle name="Normal 8 4 2 6 3 2" xfId="15847" xr:uid="{0A140C1D-DD25-473A-8F9E-D779E8D6943F}"/>
    <cellStyle name="Normal 8 4 2 6 4" xfId="11630" xr:uid="{ADA5B201-6CCF-45F7-9CD5-467266B7526C}"/>
    <cellStyle name="Normal 8 4 2 7" xfId="2651" xr:uid="{00000000-0005-0000-0000-0000F51D0000}"/>
    <cellStyle name="Normal 8 4 2 7 2" xfId="6934" xr:uid="{00000000-0005-0000-0000-0000F61D0000}"/>
    <cellStyle name="Normal 8 4 2 7 2 2" xfId="16260" xr:uid="{0BA3F0AA-777D-4E2F-9373-8C8BADFA295A}"/>
    <cellStyle name="Normal 8 4 2 7 3" xfId="12043" xr:uid="{CB16E32C-E3F9-42B7-B696-230FB040422B}"/>
    <cellStyle name="Normal 8 4 2 8" xfId="4869" xr:uid="{00000000-0005-0000-0000-0000F71D0000}"/>
    <cellStyle name="Normal 8 4 2 8 2" xfId="14195" xr:uid="{351955BE-7AC9-4780-A0DA-530A8A206424}"/>
    <cellStyle name="Normal 8 4 2 9" xfId="8937" xr:uid="{B425CDA4-C1C1-4A6C-AB85-CE28E324A88F}"/>
    <cellStyle name="Normal 8 4 2 9 2" xfId="18261" xr:uid="{5A51EAFA-B128-4518-8877-03C0EBB39F28}"/>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6DF5F215-D5D4-4ABD-BD82-869AABC8FA76}"/>
    <cellStyle name="Normal 8 4 3 2 2 3" xfId="12538" xr:uid="{B762AE42-B7C1-480D-AECB-C3CA02E76D67}"/>
    <cellStyle name="Normal 8 4 3 2 3" xfId="5284" xr:uid="{00000000-0005-0000-0000-0000FC1D0000}"/>
    <cellStyle name="Normal 8 4 3 2 3 2" xfId="14610" xr:uid="{B38F7A7F-4250-46FD-B1F6-6A0E17AD207E}"/>
    <cellStyle name="Normal 8 4 3 2 4" xfId="9466" xr:uid="{4C42748F-6D34-4D0D-8AE2-FFD5C0CBE26F}"/>
    <cellStyle name="Normal 8 4 3 2 4 2" xfId="18781" xr:uid="{1B228E13-0AEC-406A-A7CB-A9AE4ABE5FBE}"/>
    <cellStyle name="Normal 8 4 3 2 5" xfId="10393" xr:uid="{75528227-AF62-4CBE-96FC-5A4E125AB398}"/>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C7D45C70-FF68-4A2E-8414-F78B63DDCE55}"/>
    <cellStyle name="Normal 8 4 3 3 2 3" xfId="12951" xr:uid="{6B08656A-34D8-460D-B350-80DBD9FD120D}"/>
    <cellStyle name="Normal 8 4 3 3 3" xfId="5697" xr:uid="{00000000-0005-0000-0000-0000001E0000}"/>
    <cellStyle name="Normal 8 4 3 3 3 2" xfId="15023" xr:uid="{A7B948C8-E6B5-4006-A05C-BF6BD791F0FE}"/>
    <cellStyle name="Normal 8 4 3 3 4" xfId="10806" xr:uid="{F0BC0BAD-D416-4802-B8A5-8DE3E4622A67}"/>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F19CC2D9-9722-41A6-876E-2E03F18E4F97}"/>
    <cellStyle name="Normal 8 4 3 4 2 3" xfId="13364" xr:uid="{A0969FC1-CE78-408F-9097-C55C7B49CBEF}"/>
    <cellStyle name="Normal 8 4 3 4 3" xfId="6110" xr:uid="{00000000-0005-0000-0000-0000041E0000}"/>
    <cellStyle name="Normal 8 4 3 4 3 2" xfId="15436" xr:uid="{CCF7750B-82EC-4FE9-9217-50CA9609FC14}"/>
    <cellStyle name="Normal 8 4 3 4 4" xfId="11219" xr:uid="{C2DF134C-C1CE-4177-9D9D-174C5D43EB56}"/>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E5E033E8-0ADE-4685-877A-38A566F73D95}"/>
    <cellStyle name="Normal 8 4 3 5 2 3" xfId="13777" xr:uid="{D17ED372-CF88-4547-B4B6-A36A026CA4F1}"/>
    <cellStyle name="Normal 8 4 3 5 3" xfId="6523" xr:uid="{00000000-0005-0000-0000-0000081E0000}"/>
    <cellStyle name="Normal 8 4 3 5 3 2" xfId="15849" xr:uid="{41337362-25B1-4511-A3E9-ABBEBEC912E4}"/>
    <cellStyle name="Normal 8 4 3 5 4" xfId="11632" xr:uid="{8BC93CF7-D259-4E27-B20C-379A3C8F4DAA}"/>
    <cellStyle name="Normal 8 4 3 6" xfId="2653" xr:uid="{00000000-0005-0000-0000-0000091E0000}"/>
    <cellStyle name="Normal 8 4 3 6 2" xfId="6936" xr:uid="{00000000-0005-0000-0000-00000A1E0000}"/>
    <cellStyle name="Normal 8 4 3 6 2 2" xfId="16262" xr:uid="{BB01B59D-3065-433A-8D6C-9BD4311E60F6}"/>
    <cellStyle name="Normal 8 4 3 6 3" xfId="12045" xr:uid="{DFA59C50-D1E3-40D4-9172-90A25B93A4EF}"/>
    <cellStyle name="Normal 8 4 3 7" xfId="4871" xr:uid="{00000000-0005-0000-0000-00000B1E0000}"/>
    <cellStyle name="Normal 8 4 3 7 2" xfId="14197" xr:uid="{70571CE8-1F2D-4A6F-87AC-C2459DB6CB38}"/>
    <cellStyle name="Normal 8 4 3 8" xfId="9041" xr:uid="{3EA15F1E-D38A-4BB8-BEC6-98D9A94BB79B}"/>
    <cellStyle name="Normal 8 4 3 8 2" xfId="18365" xr:uid="{572F6DDC-F3A6-4095-9924-82FED0C03440}"/>
    <cellStyle name="Normal 8 4 3 9" xfId="9980" xr:uid="{A5D4BD72-57CA-47F6-95F8-844A184C1C7A}"/>
    <cellStyle name="Normal 8 4 4" xfId="970" xr:uid="{00000000-0005-0000-0000-00000C1E0000}"/>
    <cellStyle name="Normal 8 4 4 2" xfId="3204" xr:uid="{00000000-0005-0000-0000-00000D1E0000}"/>
    <cellStyle name="Normal 8 4 4 2 2" xfId="7426" xr:uid="{00000000-0005-0000-0000-00000E1E0000}"/>
    <cellStyle name="Normal 8 4 4 2 2 2" xfId="16752" xr:uid="{D06B7F49-23EE-43FE-B7E7-F2D58882EACA}"/>
    <cellStyle name="Normal 8 4 4 2 3" xfId="12535" xr:uid="{D67F3E83-ABAA-4604-94E3-6DA45A7571BC}"/>
    <cellStyle name="Normal 8 4 4 3" xfId="5281" xr:uid="{00000000-0005-0000-0000-00000F1E0000}"/>
    <cellStyle name="Normal 8 4 4 3 2" xfId="14607" xr:uid="{D80BE43D-62D2-4BDC-989F-3F05192AFE83}"/>
    <cellStyle name="Normal 8 4 4 4" xfId="9259" xr:uid="{45904BAA-3C39-482B-A2B6-0FB84C0B889C}"/>
    <cellStyle name="Normal 8 4 4 4 2" xfId="18574" xr:uid="{85AB651D-ACA6-4850-A3D0-1084A71DA7A4}"/>
    <cellStyle name="Normal 8 4 4 5" xfId="10390" xr:uid="{5927D348-05D4-4E19-BC6F-85BF347A3F83}"/>
    <cellStyle name="Normal 8 4 5" xfId="1387" xr:uid="{00000000-0005-0000-0000-0000101E0000}"/>
    <cellStyle name="Normal 8 4 5 2" xfId="3617" xr:uid="{00000000-0005-0000-0000-0000111E0000}"/>
    <cellStyle name="Normal 8 4 5 2 2" xfId="7839" xr:uid="{00000000-0005-0000-0000-0000121E0000}"/>
    <cellStyle name="Normal 8 4 5 2 2 2" xfId="17165" xr:uid="{DB2F89A5-C676-47DD-8005-574B53A983B4}"/>
    <cellStyle name="Normal 8 4 5 2 3" xfId="12948" xr:uid="{0CD7E89A-4163-4567-BED8-DB32AB005837}"/>
    <cellStyle name="Normal 8 4 5 3" xfId="5694" xr:uid="{00000000-0005-0000-0000-0000131E0000}"/>
    <cellStyle name="Normal 8 4 5 3 2" xfId="15020" xr:uid="{28EF9F12-BFA3-46E3-94DB-5B913B1B796B}"/>
    <cellStyle name="Normal 8 4 5 4" xfId="10803" xr:uid="{B812A170-1DDA-4AFE-8AFF-3E76A2828238}"/>
    <cellStyle name="Normal 8 4 6" xfId="1800" xr:uid="{00000000-0005-0000-0000-0000141E0000}"/>
    <cellStyle name="Normal 8 4 6 2" xfId="4030" xr:uid="{00000000-0005-0000-0000-0000151E0000}"/>
    <cellStyle name="Normal 8 4 6 2 2" xfId="8252" xr:uid="{00000000-0005-0000-0000-0000161E0000}"/>
    <cellStyle name="Normal 8 4 6 2 2 2" xfId="17578" xr:uid="{439769F2-6DA9-4C90-B114-BBA3610FDE75}"/>
    <cellStyle name="Normal 8 4 6 2 3" xfId="13361" xr:uid="{ED4327FF-D64C-48EB-978E-7C68C219555C}"/>
    <cellStyle name="Normal 8 4 6 3" xfId="6107" xr:uid="{00000000-0005-0000-0000-0000171E0000}"/>
    <cellStyle name="Normal 8 4 6 3 2" xfId="15433" xr:uid="{A9280398-F148-4B48-BE07-7F3AD19D487D}"/>
    <cellStyle name="Normal 8 4 6 4" xfId="11216" xr:uid="{10D536BF-8CF1-4137-903C-7F612CA2B8D2}"/>
    <cellStyle name="Normal 8 4 7" xfId="2214" xr:uid="{00000000-0005-0000-0000-0000181E0000}"/>
    <cellStyle name="Normal 8 4 7 2" xfId="4443" xr:uid="{00000000-0005-0000-0000-0000191E0000}"/>
    <cellStyle name="Normal 8 4 7 2 2" xfId="8665" xr:uid="{00000000-0005-0000-0000-00001A1E0000}"/>
    <cellStyle name="Normal 8 4 7 2 2 2" xfId="17991" xr:uid="{8124C711-7003-4F5F-94B5-F2EF37763D7B}"/>
    <cellStyle name="Normal 8 4 7 2 3" xfId="13774" xr:uid="{34584262-7936-44E1-8E96-B2A673D1F247}"/>
    <cellStyle name="Normal 8 4 7 3" xfId="6520" xr:uid="{00000000-0005-0000-0000-00001B1E0000}"/>
    <cellStyle name="Normal 8 4 7 3 2" xfId="15846" xr:uid="{AB5AD50E-BAEC-423F-B2FE-8C6B9C11EB7B}"/>
    <cellStyle name="Normal 8 4 7 4" xfId="11629" xr:uid="{8FA47CCD-F78A-47FA-A898-5E5EC605613C}"/>
    <cellStyle name="Normal 8 4 8" xfId="2650" xr:uid="{00000000-0005-0000-0000-00001C1E0000}"/>
    <cellStyle name="Normal 8 4 8 2" xfId="6933" xr:uid="{00000000-0005-0000-0000-00001D1E0000}"/>
    <cellStyle name="Normal 8 4 8 2 2" xfId="16259" xr:uid="{A50161F0-1354-483B-9EA1-A55DE0611B9F}"/>
    <cellStyle name="Normal 8 4 8 3" xfId="12042" xr:uid="{E6520D75-A940-4104-8211-32AD23EFA1B4}"/>
    <cellStyle name="Normal 8 4 9" xfId="4868" xr:uid="{00000000-0005-0000-0000-00001E1E0000}"/>
    <cellStyle name="Normal 8 4 9 2" xfId="14194" xr:uid="{460D899E-D300-444A-9675-BC54E0522B20}"/>
    <cellStyle name="Normal 8 5" xfId="507" xr:uid="{00000000-0005-0000-0000-00001F1E0000}"/>
    <cellStyle name="Normal 8 5 10" xfId="9981" xr:uid="{5C7C58BB-7A5C-4FEE-B28F-75436AD4D6B5}"/>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A1212BE7-7077-4B3F-83EB-75F5B55727E1}"/>
    <cellStyle name="Normal 8 5 2 2 2 3" xfId="12540" xr:uid="{8453D204-E950-478F-9AFF-FE881FE3721E}"/>
    <cellStyle name="Normal 8 5 2 2 3" xfId="5286" xr:uid="{00000000-0005-0000-0000-0000241E0000}"/>
    <cellStyle name="Normal 8 5 2 2 3 2" xfId="14612" xr:uid="{6EC0FB9F-E9BB-41E0-9561-E83362D04867}"/>
    <cellStyle name="Normal 8 5 2 2 4" xfId="9477" xr:uid="{62ED1F43-6081-4B0B-94C3-5999D37D11C7}"/>
    <cellStyle name="Normal 8 5 2 2 4 2" xfId="18792" xr:uid="{22C0DC7A-338D-438C-A990-DDD305FEF441}"/>
    <cellStyle name="Normal 8 5 2 2 5" xfId="10395" xr:uid="{50FDD7B5-7649-48F0-BF38-3CC4188020D0}"/>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8A67AD30-3FE2-4436-9EC6-B1B7D0104955}"/>
    <cellStyle name="Normal 8 5 2 3 2 3" xfId="12953" xr:uid="{DA8873CE-CA0B-4AC2-8D16-104E2F94077B}"/>
    <cellStyle name="Normal 8 5 2 3 3" xfId="5699" xr:uid="{00000000-0005-0000-0000-0000281E0000}"/>
    <cellStyle name="Normal 8 5 2 3 3 2" xfId="15025" xr:uid="{010BA8EE-36D0-4BF1-9228-A2B9EE4C2E51}"/>
    <cellStyle name="Normal 8 5 2 3 4" xfId="10808" xr:uid="{78F233C2-A232-472E-8082-0220FA6172E1}"/>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4D30DE25-3289-4EE2-8F87-76AB4E5D66DC}"/>
    <cellStyle name="Normal 8 5 2 4 2 3" xfId="13366" xr:uid="{5C6CD9C1-BABE-4ED9-B247-310C99D28B14}"/>
    <cellStyle name="Normal 8 5 2 4 3" xfId="6112" xr:uid="{00000000-0005-0000-0000-00002C1E0000}"/>
    <cellStyle name="Normal 8 5 2 4 3 2" xfId="15438" xr:uid="{5BFFB686-60B4-4B6D-934E-C7B5DA3F54D6}"/>
    <cellStyle name="Normal 8 5 2 4 4" xfId="11221" xr:uid="{2F640CC9-2C72-48F7-AA78-75643905486F}"/>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067DEDCB-5F5F-4B94-B291-502FFA678AE3}"/>
    <cellStyle name="Normal 8 5 2 5 2 3" xfId="13779" xr:uid="{B180C0B5-0772-4BC4-9D42-1D3F8D67BA86}"/>
    <cellStyle name="Normal 8 5 2 5 3" xfId="6525" xr:uid="{00000000-0005-0000-0000-0000301E0000}"/>
    <cellStyle name="Normal 8 5 2 5 3 2" xfId="15851" xr:uid="{213670EF-D8FD-4063-A956-B1C950A4AEE9}"/>
    <cellStyle name="Normal 8 5 2 5 4" xfId="11634" xr:uid="{8F1C07CD-44C9-42FA-A75D-EAA36A75706D}"/>
    <cellStyle name="Normal 8 5 2 6" xfId="2655" xr:uid="{00000000-0005-0000-0000-0000311E0000}"/>
    <cellStyle name="Normal 8 5 2 6 2" xfId="6938" xr:uid="{00000000-0005-0000-0000-0000321E0000}"/>
    <cellStyle name="Normal 8 5 2 6 2 2" xfId="16264" xr:uid="{3E116AE2-A8D7-4FE1-A8D7-5AA363AD325A}"/>
    <cellStyle name="Normal 8 5 2 6 3" xfId="12047" xr:uid="{87F71B5C-7891-4930-AD33-529CAFD2EF9C}"/>
    <cellStyle name="Normal 8 5 2 7" xfId="4873" xr:uid="{00000000-0005-0000-0000-0000331E0000}"/>
    <cellStyle name="Normal 8 5 2 7 2" xfId="14199" xr:uid="{CC49EF79-E9CD-4823-A0A6-A3680CDA115F}"/>
    <cellStyle name="Normal 8 5 2 8" xfId="9052" xr:uid="{D754D15A-EECE-4975-9542-AF3C340304E3}"/>
    <cellStyle name="Normal 8 5 2 8 2" xfId="18376" xr:uid="{46820FFD-CF0D-41BC-888C-21092037F73E}"/>
    <cellStyle name="Normal 8 5 2 9" xfId="9982" xr:uid="{3BDB797D-B58A-44E5-A8B8-1E02B4BCD48A}"/>
    <cellStyle name="Normal 8 5 3" xfId="974" xr:uid="{00000000-0005-0000-0000-0000341E0000}"/>
    <cellStyle name="Normal 8 5 3 2" xfId="3208" xr:uid="{00000000-0005-0000-0000-0000351E0000}"/>
    <cellStyle name="Normal 8 5 3 2 2" xfId="7430" xr:uid="{00000000-0005-0000-0000-0000361E0000}"/>
    <cellStyle name="Normal 8 5 3 2 2 2" xfId="16756" xr:uid="{E2577A0A-14DA-468E-8445-2615CCF73E4F}"/>
    <cellStyle name="Normal 8 5 3 2 3" xfId="12539" xr:uid="{B746C952-2E08-420A-AFE1-8A0832FE3130}"/>
    <cellStyle name="Normal 8 5 3 3" xfId="5285" xr:uid="{00000000-0005-0000-0000-0000371E0000}"/>
    <cellStyle name="Normal 8 5 3 3 2" xfId="14611" xr:uid="{B0044D3B-7384-410A-BA6A-5E3AD59E111E}"/>
    <cellStyle name="Normal 8 5 3 4" xfId="9270" xr:uid="{88F9D262-71F2-4DD2-A7F6-B0DCE74ABD45}"/>
    <cellStyle name="Normal 8 5 3 4 2" xfId="18585" xr:uid="{2AF20933-5AA5-474F-BFAD-BFA316E6744E}"/>
    <cellStyle name="Normal 8 5 3 5" xfId="10394" xr:uid="{ABB408EA-EDB9-49F7-AA18-72E8FDBB0AB2}"/>
    <cellStyle name="Normal 8 5 4" xfId="1391" xr:uid="{00000000-0005-0000-0000-0000381E0000}"/>
    <cellStyle name="Normal 8 5 4 2" xfId="3621" xr:uid="{00000000-0005-0000-0000-0000391E0000}"/>
    <cellStyle name="Normal 8 5 4 2 2" xfId="7843" xr:uid="{00000000-0005-0000-0000-00003A1E0000}"/>
    <cellStyle name="Normal 8 5 4 2 2 2" xfId="17169" xr:uid="{14E937A2-D6B3-40DE-A7D0-8A21CB3C7237}"/>
    <cellStyle name="Normal 8 5 4 2 3" xfId="12952" xr:uid="{DE3A1F4F-952E-4B92-9567-312A61C9872F}"/>
    <cellStyle name="Normal 8 5 4 3" xfId="5698" xr:uid="{00000000-0005-0000-0000-00003B1E0000}"/>
    <cellStyle name="Normal 8 5 4 3 2" xfId="15024" xr:uid="{0AEBE7CC-72EB-482A-A8C5-A49D4BA42A94}"/>
    <cellStyle name="Normal 8 5 4 4" xfId="10807" xr:uid="{0D27F56D-CFBE-4BED-9680-2AE0F96DF981}"/>
    <cellStyle name="Normal 8 5 5" xfId="1804" xr:uid="{00000000-0005-0000-0000-00003C1E0000}"/>
    <cellStyle name="Normal 8 5 5 2" xfId="4034" xr:uid="{00000000-0005-0000-0000-00003D1E0000}"/>
    <cellStyle name="Normal 8 5 5 2 2" xfId="8256" xr:uid="{00000000-0005-0000-0000-00003E1E0000}"/>
    <cellStyle name="Normal 8 5 5 2 2 2" xfId="17582" xr:uid="{0D56E4E8-8F4D-413A-86D1-208D003679EE}"/>
    <cellStyle name="Normal 8 5 5 2 3" xfId="13365" xr:uid="{4E770B3C-B175-40ED-AA2E-3BDA11F7DBA0}"/>
    <cellStyle name="Normal 8 5 5 3" xfId="6111" xr:uid="{00000000-0005-0000-0000-00003F1E0000}"/>
    <cellStyle name="Normal 8 5 5 3 2" xfId="15437" xr:uid="{5D01AD15-E31F-4648-A601-042357CBF1EF}"/>
    <cellStyle name="Normal 8 5 5 4" xfId="11220" xr:uid="{91CA8085-D4AB-453B-AF39-3CB30B41E722}"/>
    <cellStyle name="Normal 8 5 6" xfId="2218" xr:uid="{00000000-0005-0000-0000-0000401E0000}"/>
    <cellStyle name="Normal 8 5 6 2" xfId="4447" xr:uid="{00000000-0005-0000-0000-0000411E0000}"/>
    <cellStyle name="Normal 8 5 6 2 2" xfId="8669" xr:uid="{00000000-0005-0000-0000-0000421E0000}"/>
    <cellStyle name="Normal 8 5 6 2 2 2" xfId="17995" xr:uid="{AF5F3039-761A-40EC-8841-93415EE90C81}"/>
    <cellStyle name="Normal 8 5 6 2 3" xfId="13778" xr:uid="{C09C8D01-D285-4F6B-B448-E320430170DB}"/>
    <cellStyle name="Normal 8 5 6 3" xfId="6524" xr:uid="{00000000-0005-0000-0000-0000431E0000}"/>
    <cellStyle name="Normal 8 5 6 3 2" xfId="15850" xr:uid="{D50D90B2-DF81-438A-975C-653A68BD8ECF}"/>
    <cellStyle name="Normal 8 5 6 4" xfId="11633" xr:uid="{F268F73C-9D9D-4BA1-A8B9-8EDE0A62E20A}"/>
    <cellStyle name="Normal 8 5 7" xfId="2654" xr:uid="{00000000-0005-0000-0000-0000441E0000}"/>
    <cellStyle name="Normal 8 5 7 2" xfId="6937" xr:uid="{00000000-0005-0000-0000-0000451E0000}"/>
    <cellStyle name="Normal 8 5 7 2 2" xfId="16263" xr:uid="{BD643BD5-0899-4113-B245-8A3B573C7A20}"/>
    <cellStyle name="Normal 8 5 7 3" xfId="12046" xr:uid="{7F05D08B-55DC-494B-BA27-D636951100D3}"/>
    <cellStyle name="Normal 8 5 8" xfId="4872" xr:uid="{00000000-0005-0000-0000-0000461E0000}"/>
    <cellStyle name="Normal 8 5 8 2" xfId="14198" xr:uid="{6D892C21-EF94-46C4-A2C2-9963CBC01A65}"/>
    <cellStyle name="Normal 8 5 9" xfId="8845" xr:uid="{C8167C67-59BC-42DE-816D-718433EFB28C}"/>
    <cellStyle name="Normal 8 5 9 2" xfId="18169" xr:uid="{915D65B7-79B4-4AA5-9DBA-2C37E863A1C6}"/>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58" xr:uid="{8F465E58-894D-49F8-988E-1A8D6AB5E252}"/>
    <cellStyle name="Normal 8 6 2 2 3" xfId="12541" xr:uid="{0BB7E05F-3C2A-443C-A3BC-D6746B5852CC}"/>
    <cellStyle name="Normal 8 6 2 3" xfId="5287" xr:uid="{00000000-0005-0000-0000-00004B1E0000}"/>
    <cellStyle name="Normal 8 6 2 3 2" xfId="14613" xr:uid="{5895A481-BCCB-4B41-8E51-A3395015E416}"/>
    <cellStyle name="Normal 8 6 2 4" xfId="9386" xr:uid="{45A5CE0D-B006-45BB-A53E-22B23F4367E3}"/>
    <cellStyle name="Normal 8 6 2 4 2" xfId="18701" xr:uid="{B073EAFB-0959-41B5-AD06-9CA8DC0DCC3E}"/>
    <cellStyle name="Normal 8 6 2 5" xfId="10396" xr:uid="{7117CC2B-5A39-46E0-A5E8-A9CA079F0554}"/>
    <cellStyle name="Normal 8 6 3" xfId="1393" xr:uid="{00000000-0005-0000-0000-00004C1E0000}"/>
    <cellStyle name="Normal 8 6 3 2" xfId="3623" xr:uid="{00000000-0005-0000-0000-00004D1E0000}"/>
    <cellStyle name="Normal 8 6 3 2 2" xfId="7845" xr:uid="{00000000-0005-0000-0000-00004E1E0000}"/>
    <cellStyle name="Normal 8 6 3 2 2 2" xfId="17171" xr:uid="{6C5B8228-B7D5-4741-B537-1514A43D0131}"/>
    <cellStyle name="Normal 8 6 3 2 3" xfId="12954" xr:uid="{F78968D2-115E-4D7E-BC99-5DF26635881A}"/>
    <cellStyle name="Normal 8 6 3 3" xfId="5700" xr:uid="{00000000-0005-0000-0000-00004F1E0000}"/>
    <cellStyle name="Normal 8 6 3 3 2" xfId="15026" xr:uid="{5FB8FCCD-5E83-46D1-87EA-EA82D689EDDA}"/>
    <cellStyle name="Normal 8 6 3 4" xfId="10809" xr:uid="{5ADBA9BF-6CE7-4223-84DE-071456E681CF}"/>
    <cellStyle name="Normal 8 6 4" xfId="1806" xr:uid="{00000000-0005-0000-0000-0000501E0000}"/>
    <cellStyle name="Normal 8 6 4 2" xfId="4036" xr:uid="{00000000-0005-0000-0000-0000511E0000}"/>
    <cellStyle name="Normal 8 6 4 2 2" xfId="8258" xr:uid="{00000000-0005-0000-0000-0000521E0000}"/>
    <cellStyle name="Normal 8 6 4 2 2 2" xfId="17584" xr:uid="{14800765-7A46-4CBD-9047-FE6FCACCB631}"/>
    <cellStyle name="Normal 8 6 4 2 3" xfId="13367" xr:uid="{4B54289D-CD84-414C-BFE6-55B698FED369}"/>
    <cellStyle name="Normal 8 6 4 3" xfId="6113" xr:uid="{00000000-0005-0000-0000-0000531E0000}"/>
    <cellStyle name="Normal 8 6 4 3 2" xfId="15439" xr:uid="{3760E67B-A52B-4906-9541-0F24C782A5F5}"/>
    <cellStyle name="Normal 8 6 4 4" xfId="11222" xr:uid="{AAB18D1C-1083-40EE-BFB4-FD57154498E0}"/>
    <cellStyle name="Normal 8 6 5" xfId="2220" xr:uid="{00000000-0005-0000-0000-0000541E0000}"/>
    <cellStyle name="Normal 8 6 5 2" xfId="4449" xr:uid="{00000000-0005-0000-0000-0000551E0000}"/>
    <cellStyle name="Normal 8 6 5 2 2" xfId="8671" xr:uid="{00000000-0005-0000-0000-0000561E0000}"/>
    <cellStyle name="Normal 8 6 5 2 2 2" xfId="17997" xr:uid="{5524BD84-D9D8-40FC-8674-3B51DECEF18F}"/>
    <cellStyle name="Normal 8 6 5 2 3" xfId="13780" xr:uid="{62A6D60B-D7BA-4A02-8CFB-6276BD711F45}"/>
    <cellStyle name="Normal 8 6 5 3" xfId="6526" xr:uid="{00000000-0005-0000-0000-0000571E0000}"/>
    <cellStyle name="Normal 8 6 5 3 2" xfId="15852" xr:uid="{28C7FFE8-D9FC-48FB-B4CC-7E53E4616DA8}"/>
    <cellStyle name="Normal 8 6 5 4" xfId="11635" xr:uid="{F02D4B7B-5AB9-472A-9B2F-08C45A4695DE}"/>
    <cellStyle name="Normal 8 6 6" xfId="2656" xr:uid="{00000000-0005-0000-0000-0000581E0000}"/>
    <cellStyle name="Normal 8 6 6 2" xfId="6939" xr:uid="{00000000-0005-0000-0000-0000591E0000}"/>
    <cellStyle name="Normal 8 6 6 2 2" xfId="16265" xr:uid="{FEBC2774-B23B-4E60-BDE2-917137CA5909}"/>
    <cellStyle name="Normal 8 6 6 3" xfId="12048" xr:uid="{1BCEC66E-31A4-4208-8548-2B7CEA61AD34}"/>
    <cellStyle name="Normal 8 6 7" xfId="4874" xr:uid="{00000000-0005-0000-0000-00005A1E0000}"/>
    <cellStyle name="Normal 8 6 7 2" xfId="14200" xr:uid="{2302CA9C-4D71-4DB7-98E1-9B27437F8262}"/>
    <cellStyle name="Normal 8 6 8" xfId="8961" xr:uid="{36060843-7B38-46C3-B2F1-7172ECB11EEE}"/>
    <cellStyle name="Normal 8 6 8 2" xfId="18285" xr:uid="{F3C611E3-498A-468E-B9B2-87AEDF41A308}"/>
    <cellStyle name="Normal 8 6 9" xfId="9983" xr:uid="{C7990008-EF85-4AD2-98F4-28C44F5EE524}"/>
    <cellStyle name="Normal 8 7" xfId="945" xr:uid="{00000000-0005-0000-0000-00005B1E0000}"/>
    <cellStyle name="Normal 8 7 2" xfId="3179" xr:uid="{00000000-0005-0000-0000-00005C1E0000}"/>
    <cellStyle name="Normal 8 7 2 2" xfId="7401" xr:uid="{00000000-0005-0000-0000-00005D1E0000}"/>
    <cellStyle name="Normal 8 7 2 2 2" xfId="16727" xr:uid="{12510054-DCEE-4B0E-BAA5-70C1D77CE300}"/>
    <cellStyle name="Normal 8 7 2 3" xfId="12510" xr:uid="{EAA2B17F-A467-4739-9D17-077BC665859A}"/>
    <cellStyle name="Normal 8 7 3" xfId="5256" xr:uid="{00000000-0005-0000-0000-00005E1E0000}"/>
    <cellStyle name="Normal 8 7 3 2" xfId="14582" xr:uid="{9376F2DB-4762-4D24-A75E-DE4EF485F4E9}"/>
    <cellStyle name="Normal 8 7 4" xfId="9164" xr:uid="{EA2ADDDA-E9AC-4FF8-B08B-61B1D6489A46}"/>
    <cellStyle name="Normal 8 7 4 2" xfId="18482" xr:uid="{BBF797F3-AECB-4D9A-8D80-EF722D1212BD}"/>
    <cellStyle name="Normal 8 7 5" xfId="10365" xr:uid="{71E0F620-2199-483C-B034-344B813EC4C0}"/>
    <cellStyle name="Normal 8 8" xfId="1362" xr:uid="{00000000-0005-0000-0000-00005F1E0000}"/>
    <cellStyle name="Normal 8 8 2" xfId="3592" xr:uid="{00000000-0005-0000-0000-0000601E0000}"/>
    <cellStyle name="Normal 8 8 2 2" xfId="7814" xr:uid="{00000000-0005-0000-0000-0000611E0000}"/>
    <cellStyle name="Normal 8 8 2 2 2" xfId="17140" xr:uid="{70B67F37-1E03-4EC1-BB32-792283751691}"/>
    <cellStyle name="Normal 8 8 2 3" xfId="12923" xr:uid="{25B64711-F80A-46B1-B8BE-5DCD46246E7D}"/>
    <cellStyle name="Normal 8 8 3" xfId="5669" xr:uid="{00000000-0005-0000-0000-0000621E0000}"/>
    <cellStyle name="Normal 8 8 3 2" xfId="14995" xr:uid="{1902F8FD-1B88-41C3-BE84-05AD5130483E}"/>
    <cellStyle name="Normal 8 8 4" xfId="10778" xr:uid="{14690104-3BE8-4A80-A318-8408F765504C}"/>
    <cellStyle name="Normal 8 9" xfId="1775" xr:uid="{00000000-0005-0000-0000-0000631E0000}"/>
    <cellStyle name="Normal 8 9 2" xfId="4005" xr:uid="{00000000-0005-0000-0000-0000641E0000}"/>
    <cellStyle name="Normal 8 9 2 2" xfId="8227" xr:uid="{00000000-0005-0000-0000-0000651E0000}"/>
    <cellStyle name="Normal 8 9 2 2 2" xfId="17553" xr:uid="{C1C473CF-AE36-45B0-B902-51C476D899D3}"/>
    <cellStyle name="Normal 8 9 2 3" xfId="13336" xr:uid="{67B51107-A4CA-4007-90C7-AB561A64E93E}"/>
    <cellStyle name="Normal 8 9 3" xfId="6082" xr:uid="{00000000-0005-0000-0000-0000661E0000}"/>
    <cellStyle name="Normal 8 9 3 2" xfId="15408" xr:uid="{9EFBCF7C-E0D7-427E-AACF-55650BDB74E2}"/>
    <cellStyle name="Normal 8 9 4" xfId="11191" xr:uid="{5A9D461E-9D6B-4507-8B99-E4AE3D30F33D}"/>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6119BB65-F5BE-4FEE-9F33-43F6B72896CC}"/>
    <cellStyle name="Normal 9 2 10 3" xfId="12049" xr:uid="{A3CA6E53-E312-4501-93F7-988505EA34B9}"/>
    <cellStyle name="Normal 9 2 11" xfId="4875" xr:uid="{00000000-0005-0000-0000-00006B1E0000}"/>
    <cellStyle name="Normal 9 2 11 2" xfId="14201" xr:uid="{AC68A53A-D1B7-40A3-A59B-BDE23FA4E058}"/>
    <cellStyle name="Normal 9 2 12" xfId="8754" xr:uid="{9024D06A-4C5F-4C89-BCDB-29B8C924FF52}"/>
    <cellStyle name="Normal 9 2 12 2" xfId="18078" xr:uid="{02D0F88B-A039-4B32-A724-25497F4498EB}"/>
    <cellStyle name="Normal 9 2 13" xfId="9984" xr:uid="{9AE2943C-0533-4E2B-9E50-9C8F72786DDA}"/>
    <cellStyle name="Normal 9 2 2" xfId="512" xr:uid="{00000000-0005-0000-0000-00006C1E0000}"/>
    <cellStyle name="Normal 9 2 2 10" xfId="4876" xr:uid="{00000000-0005-0000-0000-00006D1E0000}"/>
    <cellStyle name="Normal 9 2 2 10 2" xfId="14202" xr:uid="{A086AB29-79F4-4FF8-A49B-A1B0751E7F41}"/>
    <cellStyle name="Normal 9 2 2 11" xfId="8785" xr:uid="{3048542E-ED39-45ED-9C91-0140D2CF60D9}"/>
    <cellStyle name="Normal 9 2 2 11 2" xfId="18109" xr:uid="{551E422A-41A6-4FE1-979F-9F3E38D6C18A}"/>
    <cellStyle name="Normal 9 2 2 12" xfId="9985" xr:uid="{1C2E2DC8-6FFA-4F8A-94D2-14F656644CD3}"/>
    <cellStyle name="Normal 9 2 2 2" xfId="513" xr:uid="{00000000-0005-0000-0000-00006E1E0000}"/>
    <cellStyle name="Normal 9 2 2 2 10" xfId="8839" xr:uid="{3B2DC7F4-4F49-4AE2-9279-EFD4857A149B}"/>
    <cellStyle name="Normal 9 2 2 2 10 2" xfId="18163" xr:uid="{7E1F22CF-27D2-46EC-BE78-2BBDC2F50D36}"/>
    <cellStyle name="Normal 9 2 2 2 11" xfId="9986" xr:uid="{6886B318-CC09-438A-A8B1-3073C92CE0E2}"/>
    <cellStyle name="Normal 9 2 2 2 2" xfId="514" xr:uid="{00000000-0005-0000-0000-00006F1E0000}"/>
    <cellStyle name="Normal 9 2 2 2 2 10" xfId="9987" xr:uid="{847DE3B8-3373-41F7-A83E-7FB41B350E38}"/>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6A178EAE-DEF1-4BE1-AD31-C3BDCF1AE6AE}"/>
    <cellStyle name="Normal 9 2 2 2 2 2 2 2 3" xfId="12546" xr:uid="{B49F9B9F-43F4-41C8-98C7-6026F72D3B67}"/>
    <cellStyle name="Normal 9 2 2 2 2 2 2 3" xfId="5292" xr:uid="{00000000-0005-0000-0000-0000741E0000}"/>
    <cellStyle name="Normal 9 2 2 2 2 2 2 3 2" xfId="14618" xr:uid="{A26A293C-8F56-419F-8F5B-9609541A308F}"/>
    <cellStyle name="Normal 9 2 2 2 2 2 2 4" xfId="9574" xr:uid="{00EB170D-8A20-4280-B781-E452C3590555}"/>
    <cellStyle name="Normal 9 2 2 2 2 2 2 4 2" xfId="18889" xr:uid="{7AB854F8-764B-4F87-AD74-3AA411B03F03}"/>
    <cellStyle name="Normal 9 2 2 2 2 2 2 5" xfId="10401" xr:uid="{6DE2BDB8-3900-41F1-90E3-23A742961E96}"/>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A8205452-4DBD-4971-AFC5-838CE3EFDE65}"/>
    <cellStyle name="Normal 9 2 2 2 2 2 3 2 3" xfId="12959" xr:uid="{12288AE4-0612-4BE6-A141-6CC4E2C0450A}"/>
    <cellStyle name="Normal 9 2 2 2 2 2 3 3" xfId="5705" xr:uid="{00000000-0005-0000-0000-0000781E0000}"/>
    <cellStyle name="Normal 9 2 2 2 2 2 3 3 2" xfId="15031" xr:uid="{C3827A8B-7C85-4791-BFB7-DABDAFCEBA0B}"/>
    <cellStyle name="Normal 9 2 2 2 2 2 3 4" xfId="10814" xr:uid="{962E0DA6-7D55-4EE5-A68E-D8150DAD79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7352FBB8-3E8C-4554-938F-F6A6A4C6DE12}"/>
    <cellStyle name="Normal 9 2 2 2 2 2 4 2 3" xfId="13372" xr:uid="{16D0BF55-0815-49CA-9229-7AFEB8F7CD57}"/>
    <cellStyle name="Normal 9 2 2 2 2 2 4 3" xfId="6118" xr:uid="{00000000-0005-0000-0000-00007C1E0000}"/>
    <cellStyle name="Normal 9 2 2 2 2 2 4 3 2" xfId="15444" xr:uid="{46666380-C977-4919-ACE9-D1EBE367D8C3}"/>
    <cellStyle name="Normal 9 2 2 2 2 2 4 4" xfId="11227" xr:uid="{EF853C8F-71BC-4672-B6AB-4505985D3B63}"/>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CC913134-3F7E-4376-87CE-48AE2D29D9D7}"/>
    <cellStyle name="Normal 9 2 2 2 2 2 5 2 3" xfId="13785" xr:uid="{B61E7044-FDB5-4250-AA60-4DF910FE51ED}"/>
    <cellStyle name="Normal 9 2 2 2 2 2 5 3" xfId="6531" xr:uid="{00000000-0005-0000-0000-0000801E0000}"/>
    <cellStyle name="Normal 9 2 2 2 2 2 5 3 2" xfId="15857" xr:uid="{27C9DEAF-E893-47BC-86F7-FB9BD0B64028}"/>
    <cellStyle name="Normal 9 2 2 2 2 2 5 4" xfId="11640" xr:uid="{C421FDF6-DBCC-4D20-83FC-94EFB9D2B1A2}"/>
    <cellStyle name="Normal 9 2 2 2 2 2 6" xfId="2661" xr:uid="{00000000-0005-0000-0000-0000811E0000}"/>
    <cellStyle name="Normal 9 2 2 2 2 2 6 2" xfId="6944" xr:uid="{00000000-0005-0000-0000-0000821E0000}"/>
    <cellStyle name="Normal 9 2 2 2 2 2 6 2 2" xfId="16270" xr:uid="{39A8F824-DF72-41BD-B3D5-BEA20B4A6F1A}"/>
    <cellStyle name="Normal 9 2 2 2 2 2 6 3" xfId="12053" xr:uid="{6BB64988-C591-43FD-B2A9-4F1DF9B586EC}"/>
    <cellStyle name="Normal 9 2 2 2 2 2 7" xfId="4879" xr:uid="{00000000-0005-0000-0000-0000831E0000}"/>
    <cellStyle name="Normal 9 2 2 2 2 2 7 2" xfId="14205" xr:uid="{4ED25736-6094-446F-BC4B-A4570A278804}"/>
    <cellStyle name="Normal 9 2 2 2 2 2 8" xfId="9149" xr:uid="{6C0BEC1E-EE3B-4956-830C-8775C93DB46A}"/>
    <cellStyle name="Normal 9 2 2 2 2 2 8 2" xfId="18473" xr:uid="{B6C7A30C-DE21-4F09-B774-7ECECBD4B00C}"/>
    <cellStyle name="Normal 9 2 2 2 2 2 9" xfId="9988" xr:uid="{7459F33E-3B4E-4264-AA19-E3149C7C32BF}"/>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D8091B5A-68C1-409D-BBE0-B112268D7A61}"/>
    <cellStyle name="Normal 9 2 2 2 2 3 2 3" xfId="12545" xr:uid="{05ED51B9-B6A4-4786-94D9-E10F6B171FCD}"/>
    <cellStyle name="Normal 9 2 2 2 2 3 3" xfId="5291" xr:uid="{00000000-0005-0000-0000-0000871E0000}"/>
    <cellStyle name="Normal 9 2 2 2 2 3 3 2" xfId="14617" xr:uid="{72E7327F-E08F-4764-9BB4-542BF5DA9C02}"/>
    <cellStyle name="Normal 9 2 2 2 2 3 4" xfId="9367" xr:uid="{4A654E22-020A-4B0F-8753-639C44EA908A}"/>
    <cellStyle name="Normal 9 2 2 2 2 3 4 2" xfId="18682" xr:uid="{C7E1C23C-2B37-473A-8D74-E38A1E5C4464}"/>
    <cellStyle name="Normal 9 2 2 2 2 3 5" xfId="10400" xr:uid="{2414E814-9B8B-46CB-8695-D1AB90BC9942}"/>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74684E79-FFAC-4A1F-BF21-FADA6465AA7E}"/>
    <cellStyle name="Normal 9 2 2 2 2 4 2 3" xfId="12958" xr:uid="{035F2E3E-4C3B-4A3E-8E32-80976F9A85D8}"/>
    <cellStyle name="Normal 9 2 2 2 2 4 3" xfId="5704" xr:uid="{00000000-0005-0000-0000-00008B1E0000}"/>
    <cellStyle name="Normal 9 2 2 2 2 4 3 2" xfId="15030" xr:uid="{0DCEE4B9-198E-42E7-9B91-10A3A3436F52}"/>
    <cellStyle name="Normal 9 2 2 2 2 4 4" xfId="10813" xr:uid="{EFDB3DB2-976D-4C8C-BA3B-06BCBFDBD59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C5A83697-61FF-49E1-B134-292E7222BE57}"/>
    <cellStyle name="Normal 9 2 2 2 2 5 2 3" xfId="13371" xr:uid="{24A712BC-CC0C-4FD8-A0D0-9AF359BDC12A}"/>
    <cellStyle name="Normal 9 2 2 2 2 5 3" xfId="6117" xr:uid="{00000000-0005-0000-0000-00008F1E0000}"/>
    <cellStyle name="Normal 9 2 2 2 2 5 3 2" xfId="15443" xr:uid="{7C0755EF-F1B5-489A-90FE-EA0761B64405}"/>
    <cellStyle name="Normal 9 2 2 2 2 5 4" xfId="11226" xr:uid="{950C2A55-A63D-4B4F-AB1F-8604C701E2E2}"/>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48F2E1DB-8DC8-4082-A50E-B5E6EC77D401}"/>
    <cellStyle name="Normal 9 2 2 2 2 6 2 3" xfId="13784" xr:uid="{A41E27DF-7E51-4A01-BEB9-B33F72E8E71A}"/>
    <cellStyle name="Normal 9 2 2 2 2 6 3" xfId="6530" xr:uid="{00000000-0005-0000-0000-0000931E0000}"/>
    <cellStyle name="Normal 9 2 2 2 2 6 3 2" xfId="15856" xr:uid="{062DC37B-75FB-4474-AA60-47242EAD5A80}"/>
    <cellStyle name="Normal 9 2 2 2 2 6 4" xfId="11639" xr:uid="{CC3ECA4A-7FF1-4E8D-BDA8-369188D9196E}"/>
    <cellStyle name="Normal 9 2 2 2 2 7" xfId="2660" xr:uid="{00000000-0005-0000-0000-0000941E0000}"/>
    <cellStyle name="Normal 9 2 2 2 2 7 2" xfId="6943" xr:uid="{00000000-0005-0000-0000-0000951E0000}"/>
    <cellStyle name="Normal 9 2 2 2 2 7 2 2" xfId="16269" xr:uid="{1EA59E2C-D139-4A15-BC9B-B54AC189C51F}"/>
    <cellStyle name="Normal 9 2 2 2 2 7 3" xfId="12052" xr:uid="{64D51522-87AE-4E6D-93B2-7F89129B881D}"/>
    <cellStyle name="Normal 9 2 2 2 2 8" xfId="4878" xr:uid="{00000000-0005-0000-0000-0000961E0000}"/>
    <cellStyle name="Normal 9 2 2 2 2 8 2" xfId="14204" xr:uid="{BC977AC6-6BC9-4E5D-81D2-E4EE817455EA}"/>
    <cellStyle name="Normal 9 2 2 2 2 9" xfId="8942" xr:uid="{0DE8A022-819C-4D6A-B102-31C1C7F429A5}"/>
    <cellStyle name="Normal 9 2 2 2 2 9 2" xfId="18266" xr:uid="{D8C23CF3-B325-49E5-8B79-66CAC65D76FB}"/>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1CC058BD-91EE-4808-9775-7017237ED56D}"/>
    <cellStyle name="Normal 9 2 2 2 3 2 2 3" xfId="12547" xr:uid="{C7C74344-9B31-408A-83E5-98899669C113}"/>
    <cellStyle name="Normal 9 2 2 2 3 2 3" xfId="5293" xr:uid="{00000000-0005-0000-0000-00009B1E0000}"/>
    <cellStyle name="Normal 9 2 2 2 3 2 3 2" xfId="14619" xr:uid="{08650CD1-B465-4EB2-9768-166BC2434C1C}"/>
    <cellStyle name="Normal 9 2 2 2 3 2 4" xfId="9471" xr:uid="{E472D827-532E-42C0-B781-9E63FEBCFCF5}"/>
    <cellStyle name="Normal 9 2 2 2 3 2 4 2" xfId="18786" xr:uid="{00813260-8BDF-48B5-A592-E3402FFBD728}"/>
    <cellStyle name="Normal 9 2 2 2 3 2 5" xfId="10402" xr:uid="{A1C5568D-8F85-420A-A4B0-D042CD08F7C2}"/>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920C6628-93AA-4D46-9E65-B60682F1462F}"/>
    <cellStyle name="Normal 9 2 2 2 3 3 2 3" xfId="12960" xr:uid="{DFC31D42-9F69-433C-B9DC-6856F50AE7BC}"/>
    <cellStyle name="Normal 9 2 2 2 3 3 3" xfId="5706" xr:uid="{00000000-0005-0000-0000-00009F1E0000}"/>
    <cellStyle name="Normal 9 2 2 2 3 3 3 2" xfId="15032" xr:uid="{7C078D23-D613-4A63-A62E-B5066B18A9D2}"/>
    <cellStyle name="Normal 9 2 2 2 3 3 4" xfId="10815" xr:uid="{E4112ED3-88A5-495C-8F1A-0E65682909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2F31BE62-CB99-436F-B298-F02D1148BBAA}"/>
    <cellStyle name="Normal 9 2 2 2 3 4 2 3" xfId="13373" xr:uid="{56CC92D8-995B-4C30-95DB-AD54FDB5B8A0}"/>
    <cellStyle name="Normal 9 2 2 2 3 4 3" xfId="6119" xr:uid="{00000000-0005-0000-0000-0000A31E0000}"/>
    <cellStyle name="Normal 9 2 2 2 3 4 3 2" xfId="15445" xr:uid="{2F03A099-B869-42A4-BDDC-1E457A92732E}"/>
    <cellStyle name="Normal 9 2 2 2 3 4 4" xfId="11228" xr:uid="{5596C5C0-F82B-49B2-BAC7-D1F3C0F1C9BE}"/>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DB73FD85-EFE6-4BA3-91A1-0C6EED64430A}"/>
    <cellStyle name="Normal 9 2 2 2 3 5 2 3" xfId="13786" xr:uid="{F7562C19-FB51-4DDB-BF8F-72781258412A}"/>
    <cellStyle name="Normal 9 2 2 2 3 5 3" xfId="6532" xr:uid="{00000000-0005-0000-0000-0000A71E0000}"/>
    <cellStyle name="Normal 9 2 2 2 3 5 3 2" xfId="15858" xr:uid="{6FBD4C7F-A6FE-4EA5-B71C-CFF77A662B5D}"/>
    <cellStyle name="Normal 9 2 2 2 3 5 4" xfId="11641" xr:uid="{8226521C-3CE3-4E0D-9FB4-24A6A609A5B6}"/>
    <cellStyle name="Normal 9 2 2 2 3 6" xfId="2662" xr:uid="{00000000-0005-0000-0000-0000A81E0000}"/>
    <cellStyle name="Normal 9 2 2 2 3 6 2" xfId="6945" xr:uid="{00000000-0005-0000-0000-0000A91E0000}"/>
    <cellStyle name="Normal 9 2 2 2 3 6 2 2" xfId="16271" xr:uid="{DA4A3590-E716-460E-A7FE-A12CD4ADE8F3}"/>
    <cellStyle name="Normal 9 2 2 2 3 6 3" xfId="12054" xr:uid="{1D1689FB-C2BF-4894-9991-3D15A90C347C}"/>
    <cellStyle name="Normal 9 2 2 2 3 7" xfId="4880" xr:uid="{00000000-0005-0000-0000-0000AA1E0000}"/>
    <cellStyle name="Normal 9 2 2 2 3 7 2" xfId="14206" xr:uid="{857A79B6-9F6A-4E46-9A67-F916F8AB92D1}"/>
    <cellStyle name="Normal 9 2 2 2 3 8" xfId="9046" xr:uid="{6B7E07C7-E90B-4AE9-8FE8-76EF28E8FC85}"/>
    <cellStyle name="Normal 9 2 2 2 3 8 2" xfId="18370" xr:uid="{BD9F798F-90A4-41A8-A132-97B6615A49F8}"/>
    <cellStyle name="Normal 9 2 2 2 3 9" xfId="9989" xr:uid="{CCFC8FBA-2552-40DB-A960-8E68A5854A34}"/>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C3A8D1A4-9ECB-4B52-846D-33FE873F864E}"/>
    <cellStyle name="Normal 9 2 2 2 4 2 3" xfId="12544" xr:uid="{484FF183-CACE-4709-860D-394574626347}"/>
    <cellStyle name="Normal 9 2 2 2 4 3" xfId="5290" xr:uid="{00000000-0005-0000-0000-0000AE1E0000}"/>
    <cellStyle name="Normal 9 2 2 2 4 3 2" xfId="14616" xr:uid="{DE512DB6-B304-4379-8ADF-43FB9A930C26}"/>
    <cellStyle name="Normal 9 2 2 2 4 4" xfId="9264" xr:uid="{0137E036-48D9-4B3B-9B73-0002A19DDE9E}"/>
    <cellStyle name="Normal 9 2 2 2 4 4 2" xfId="18579" xr:uid="{98504A7B-37EB-419A-B4F6-B9089AF78E93}"/>
    <cellStyle name="Normal 9 2 2 2 4 5" xfId="10399" xr:uid="{F2AABDF2-E2F4-4636-953F-7157CA59D417}"/>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B3B32D2C-9DBB-4C11-A431-0056E859D359}"/>
    <cellStyle name="Normal 9 2 2 2 5 2 3" xfId="12957" xr:uid="{9B3D1B80-CE34-4CE5-8728-3A3F43569B89}"/>
    <cellStyle name="Normal 9 2 2 2 5 3" xfId="5703" xr:uid="{00000000-0005-0000-0000-0000B21E0000}"/>
    <cellStyle name="Normal 9 2 2 2 5 3 2" xfId="15029" xr:uid="{BB648B19-548E-4961-9414-4269F31EAD03}"/>
    <cellStyle name="Normal 9 2 2 2 5 4" xfId="10812" xr:uid="{C46A6CC0-96F8-49BE-B108-DD84BBF61900}"/>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962390F0-1EF3-4BD7-8547-5CF018F80E76}"/>
    <cellStyle name="Normal 9 2 2 2 6 2 3" xfId="13370" xr:uid="{D38C9719-44B0-40DC-9046-6A7A9AA51FF9}"/>
    <cellStyle name="Normal 9 2 2 2 6 3" xfId="6116" xr:uid="{00000000-0005-0000-0000-0000B61E0000}"/>
    <cellStyle name="Normal 9 2 2 2 6 3 2" xfId="15442" xr:uid="{D873B550-1EE0-4F98-AE96-E105965450A5}"/>
    <cellStyle name="Normal 9 2 2 2 6 4" xfId="11225" xr:uid="{A683BF36-0183-42DD-BF96-7D7E1CAD0D21}"/>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5FD07EF3-C651-4B94-B645-B6AED1388280}"/>
    <cellStyle name="Normal 9 2 2 2 7 2 3" xfId="13783" xr:uid="{1610F716-10A6-4D69-B126-A016406432B1}"/>
    <cellStyle name="Normal 9 2 2 2 7 3" xfId="6529" xr:uid="{00000000-0005-0000-0000-0000BA1E0000}"/>
    <cellStyle name="Normal 9 2 2 2 7 3 2" xfId="15855" xr:uid="{2DC20408-9C94-4672-832B-7A075E6A3D11}"/>
    <cellStyle name="Normal 9 2 2 2 7 4" xfId="11638" xr:uid="{46534172-7676-4987-BD67-7F55075A6624}"/>
    <cellStyle name="Normal 9 2 2 2 8" xfId="2659" xr:uid="{00000000-0005-0000-0000-0000BB1E0000}"/>
    <cellStyle name="Normal 9 2 2 2 8 2" xfId="6942" xr:uid="{00000000-0005-0000-0000-0000BC1E0000}"/>
    <cellStyle name="Normal 9 2 2 2 8 2 2" xfId="16268" xr:uid="{C6E37056-F28E-44C9-B851-8068821CBC29}"/>
    <cellStyle name="Normal 9 2 2 2 8 3" xfId="12051" xr:uid="{39BDF1BF-D93E-4A97-80EF-185A08ECF7DB}"/>
    <cellStyle name="Normal 9 2 2 2 9" xfId="4877" xr:uid="{00000000-0005-0000-0000-0000BD1E0000}"/>
    <cellStyle name="Normal 9 2 2 2 9 2" xfId="14203" xr:uid="{8C1FF5C9-6475-422E-9BE6-E867D2E4EB70}"/>
    <cellStyle name="Normal 9 2 2 3" xfId="517" xr:uid="{00000000-0005-0000-0000-0000BE1E0000}"/>
    <cellStyle name="Normal 9 2 2 3 10" xfId="9990" xr:uid="{336B3699-0752-4C4C-8004-5EE6EF680F21}"/>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3D7193AE-FC20-4170-AF32-405245D4A309}"/>
    <cellStyle name="Normal 9 2 2 3 2 2 2 3" xfId="12549" xr:uid="{5D93B42A-C535-40C3-A3C0-864327368B3A}"/>
    <cellStyle name="Normal 9 2 2 3 2 2 3" xfId="5295" xr:uid="{00000000-0005-0000-0000-0000C31E0000}"/>
    <cellStyle name="Normal 9 2 2 3 2 2 3 2" xfId="14621" xr:uid="{FC0CB869-E422-407A-B162-08C80062454B}"/>
    <cellStyle name="Normal 9 2 2 3 2 2 4" xfId="9520" xr:uid="{57CFBD10-691F-4DF8-8020-B75E98FF60DD}"/>
    <cellStyle name="Normal 9 2 2 3 2 2 4 2" xfId="18835" xr:uid="{FC09DCE8-84F2-4CE4-9F53-BF106DE84CE7}"/>
    <cellStyle name="Normal 9 2 2 3 2 2 5" xfId="10404" xr:uid="{E78BDD05-6649-48DE-99A2-A0F03096FC5F}"/>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70DAF143-9450-42B9-8AA7-8F8C8856438A}"/>
    <cellStyle name="Normal 9 2 2 3 2 3 2 3" xfId="12962" xr:uid="{854F4F17-69BD-4A47-ACD5-15989DE4BD8C}"/>
    <cellStyle name="Normal 9 2 2 3 2 3 3" xfId="5708" xr:uid="{00000000-0005-0000-0000-0000C71E0000}"/>
    <cellStyle name="Normal 9 2 2 3 2 3 3 2" xfId="15034" xr:uid="{2524D62F-B384-43C4-9D02-3D51E3456476}"/>
    <cellStyle name="Normal 9 2 2 3 2 3 4" xfId="10817" xr:uid="{45C3A9DD-F494-4DA8-9217-CDEDBEB9926D}"/>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C03536C9-3D56-4B1F-AF12-56A03062A1E0}"/>
    <cellStyle name="Normal 9 2 2 3 2 4 2 3" xfId="13375" xr:uid="{526F0E9D-FC75-4D5A-AB97-7AF83EF19DB6}"/>
    <cellStyle name="Normal 9 2 2 3 2 4 3" xfId="6121" xr:uid="{00000000-0005-0000-0000-0000CB1E0000}"/>
    <cellStyle name="Normal 9 2 2 3 2 4 3 2" xfId="15447" xr:uid="{D5714D07-FBFB-48CF-A2D5-7878CECEF4BA}"/>
    <cellStyle name="Normal 9 2 2 3 2 4 4" xfId="11230" xr:uid="{420C9571-7623-4549-9412-55CA66A88F7D}"/>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BCFD0AC6-747E-4F9F-B578-BB1930C0B58D}"/>
    <cellStyle name="Normal 9 2 2 3 2 5 2 3" xfId="13788" xr:uid="{D9D3C1C4-997A-4209-8443-19437C96AE75}"/>
    <cellStyle name="Normal 9 2 2 3 2 5 3" xfId="6534" xr:uid="{00000000-0005-0000-0000-0000CF1E0000}"/>
    <cellStyle name="Normal 9 2 2 3 2 5 3 2" xfId="15860" xr:uid="{D16A9459-B67B-4FE4-96C0-7560489A8A06}"/>
    <cellStyle name="Normal 9 2 2 3 2 5 4" xfId="11643" xr:uid="{DE2F0FC9-8EF1-4FE0-8494-8213F7BDB324}"/>
    <cellStyle name="Normal 9 2 2 3 2 6" xfId="2664" xr:uid="{00000000-0005-0000-0000-0000D01E0000}"/>
    <cellStyle name="Normal 9 2 2 3 2 6 2" xfId="6947" xr:uid="{00000000-0005-0000-0000-0000D11E0000}"/>
    <cellStyle name="Normal 9 2 2 3 2 6 2 2" xfId="16273" xr:uid="{B73ED5B8-DC50-4B2A-BE05-A267927B18CF}"/>
    <cellStyle name="Normal 9 2 2 3 2 6 3" xfId="12056" xr:uid="{023EE668-E2E4-42DE-81F4-F4B1D9AF6882}"/>
    <cellStyle name="Normal 9 2 2 3 2 7" xfId="4882" xr:uid="{00000000-0005-0000-0000-0000D21E0000}"/>
    <cellStyle name="Normal 9 2 2 3 2 7 2" xfId="14208" xr:uid="{CBA130E3-06E8-4AEB-A9B5-B703551468D9}"/>
    <cellStyle name="Normal 9 2 2 3 2 8" xfId="9095" xr:uid="{D95088B7-D227-4E97-A9B9-DA61436DD386}"/>
    <cellStyle name="Normal 9 2 2 3 2 8 2" xfId="18419" xr:uid="{B0F99980-6207-450C-BCD4-40A0773F9D16}"/>
    <cellStyle name="Normal 9 2 2 3 2 9" xfId="9991" xr:uid="{2AD891C8-4583-42B8-A23B-B107CC600AA6}"/>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1902A682-47E1-4A2D-90C5-F7834A91B472}"/>
    <cellStyle name="Normal 9 2 2 3 3 2 3" xfId="12548" xr:uid="{DB01C02E-5941-4732-AB7B-D0B48DDCB217}"/>
    <cellStyle name="Normal 9 2 2 3 3 3" xfId="5294" xr:uid="{00000000-0005-0000-0000-0000D61E0000}"/>
    <cellStyle name="Normal 9 2 2 3 3 3 2" xfId="14620" xr:uid="{7185E39E-011D-4912-94A5-BA3333A067D9}"/>
    <cellStyle name="Normal 9 2 2 3 3 4" xfId="9313" xr:uid="{FDDC600D-FDDD-4FFC-9820-DFD7E0768F33}"/>
    <cellStyle name="Normal 9 2 2 3 3 4 2" xfId="18628" xr:uid="{44A4E88A-C850-46EB-8EC2-FDAD9050EF26}"/>
    <cellStyle name="Normal 9 2 2 3 3 5" xfId="10403" xr:uid="{2004BC44-0BEE-4FEE-B54E-75CD2CCF3E1C}"/>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2B366C61-E9F2-4FC7-B9CF-BD5CAD2F476E}"/>
    <cellStyle name="Normal 9 2 2 3 4 2 3" xfId="12961" xr:uid="{6A4C45E0-C1DD-4753-A243-0029FEEA8F87}"/>
    <cellStyle name="Normal 9 2 2 3 4 3" xfId="5707" xr:uid="{00000000-0005-0000-0000-0000DA1E0000}"/>
    <cellStyle name="Normal 9 2 2 3 4 3 2" xfId="15033" xr:uid="{061824FA-7138-4B40-A2BD-B3A2CC206B6E}"/>
    <cellStyle name="Normal 9 2 2 3 4 4" xfId="10816" xr:uid="{6E8711AD-4924-4642-A929-74DA2F639D37}"/>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F717DA61-15C4-4A94-87A5-1673954013F9}"/>
    <cellStyle name="Normal 9 2 2 3 5 2 3" xfId="13374" xr:uid="{1CB93350-315D-472C-9211-F5ECD7149F7F}"/>
    <cellStyle name="Normal 9 2 2 3 5 3" xfId="6120" xr:uid="{00000000-0005-0000-0000-0000DE1E0000}"/>
    <cellStyle name="Normal 9 2 2 3 5 3 2" xfId="15446" xr:uid="{EF16ED1D-0B88-423C-96AB-BB8A267078E5}"/>
    <cellStyle name="Normal 9 2 2 3 5 4" xfId="11229" xr:uid="{D1B34BE0-5D81-4AAD-8C3B-45EB0BC2200A}"/>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3D4D2F59-AA8E-451E-98A3-3B176C91D56C}"/>
    <cellStyle name="Normal 9 2 2 3 6 2 3" xfId="13787" xr:uid="{953FF141-BC50-423A-803C-1C4978ACDAF9}"/>
    <cellStyle name="Normal 9 2 2 3 6 3" xfId="6533" xr:uid="{00000000-0005-0000-0000-0000E21E0000}"/>
    <cellStyle name="Normal 9 2 2 3 6 3 2" xfId="15859" xr:uid="{41116E58-EC35-42D0-BE54-1EC20239AEA7}"/>
    <cellStyle name="Normal 9 2 2 3 6 4" xfId="11642" xr:uid="{2AD15710-DB90-4EFF-B241-0F969FC63596}"/>
    <cellStyle name="Normal 9 2 2 3 7" xfId="2663" xr:uid="{00000000-0005-0000-0000-0000E31E0000}"/>
    <cellStyle name="Normal 9 2 2 3 7 2" xfId="6946" xr:uid="{00000000-0005-0000-0000-0000E41E0000}"/>
    <cellStyle name="Normal 9 2 2 3 7 2 2" xfId="16272" xr:uid="{588C62CD-658E-46A7-BBEC-974812ED3463}"/>
    <cellStyle name="Normal 9 2 2 3 7 3" xfId="12055" xr:uid="{F43626BE-541D-48CC-853A-AE1BB93994A6}"/>
    <cellStyle name="Normal 9 2 2 3 8" xfId="4881" xr:uid="{00000000-0005-0000-0000-0000E51E0000}"/>
    <cellStyle name="Normal 9 2 2 3 8 2" xfId="14207" xr:uid="{0002E7A0-1BFC-4AE1-AA5A-43D4AEEA1946}"/>
    <cellStyle name="Normal 9 2 2 3 9" xfId="8888" xr:uid="{47457178-62A7-4ACA-95A1-433BF4FD3D65}"/>
    <cellStyle name="Normal 9 2 2 3 9 2" xfId="18212" xr:uid="{FDE709F8-1A1E-4E63-A971-D601384E70B6}"/>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5846E350-3199-409B-9A19-B36D28168681}"/>
    <cellStyle name="Normal 9 2 2 4 2 2 3" xfId="12550" xr:uid="{607C0A40-224B-4D15-957C-ADC418985618}"/>
    <cellStyle name="Normal 9 2 2 4 2 3" xfId="5296" xr:uid="{00000000-0005-0000-0000-0000EA1E0000}"/>
    <cellStyle name="Normal 9 2 2 4 2 3 2" xfId="14622" xr:uid="{4DFA6777-68DB-4D45-AF1B-FB518459AFD9}"/>
    <cellStyle name="Normal 9 2 2 4 2 4" xfId="9417" xr:uid="{FDB8A679-B5B8-4E9B-808D-E68F6CA01958}"/>
    <cellStyle name="Normal 9 2 2 4 2 4 2" xfId="18732" xr:uid="{27968339-1940-45AC-A260-87C235909F4E}"/>
    <cellStyle name="Normal 9 2 2 4 2 5" xfId="10405" xr:uid="{94363ABB-53E8-4E05-BE1B-9917591CDCCD}"/>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E968CCB1-2BE5-4CAD-8211-6D36CF277E61}"/>
    <cellStyle name="Normal 9 2 2 4 3 2 3" xfId="12963" xr:uid="{771D2E7F-40CA-4420-BCB8-D55A1F1F1799}"/>
    <cellStyle name="Normal 9 2 2 4 3 3" xfId="5709" xr:uid="{00000000-0005-0000-0000-0000EE1E0000}"/>
    <cellStyle name="Normal 9 2 2 4 3 3 2" xfId="15035" xr:uid="{96B6ADA9-3840-49AF-9ED6-F898D130E29F}"/>
    <cellStyle name="Normal 9 2 2 4 3 4" xfId="10818" xr:uid="{6E5F98EB-FADD-4D70-BF20-8E3EDD4CF889}"/>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C06CADE7-562E-4A3A-BE39-BF0D2BAA12B7}"/>
    <cellStyle name="Normal 9 2 2 4 4 2 3" xfId="13376" xr:uid="{30A34392-C818-4C20-866A-562D9CE433CD}"/>
    <cellStyle name="Normal 9 2 2 4 4 3" xfId="6122" xr:uid="{00000000-0005-0000-0000-0000F21E0000}"/>
    <cellStyle name="Normal 9 2 2 4 4 3 2" xfId="15448" xr:uid="{A7F2C438-2E08-4B7B-85C2-CC167F790958}"/>
    <cellStyle name="Normal 9 2 2 4 4 4" xfId="11231" xr:uid="{8C95B9A7-7C54-4D94-9191-0E3EDB49DB8A}"/>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4573D4B0-3EF0-4877-AB0C-9DC079B205D3}"/>
    <cellStyle name="Normal 9 2 2 4 5 2 3" xfId="13789" xr:uid="{56943809-BE35-43D3-8CD9-C89DB07E966E}"/>
    <cellStyle name="Normal 9 2 2 4 5 3" xfId="6535" xr:uid="{00000000-0005-0000-0000-0000F61E0000}"/>
    <cellStyle name="Normal 9 2 2 4 5 3 2" xfId="15861" xr:uid="{7A9D13CD-0A0C-4FDB-B466-08B273282851}"/>
    <cellStyle name="Normal 9 2 2 4 5 4" xfId="11644" xr:uid="{88B5B163-08BB-4FE1-96C7-5D4E6A39AE10}"/>
    <cellStyle name="Normal 9 2 2 4 6" xfId="2665" xr:uid="{00000000-0005-0000-0000-0000F71E0000}"/>
    <cellStyle name="Normal 9 2 2 4 6 2" xfId="6948" xr:uid="{00000000-0005-0000-0000-0000F81E0000}"/>
    <cellStyle name="Normal 9 2 2 4 6 2 2" xfId="16274" xr:uid="{2BD25EA5-2C80-4A30-A0C1-DD6F0A377AF1}"/>
    <cellStyle name="Normal 9 2 2 4 6 3" xfId="12057" xr:uid="{07CDFE7A-EE42-450A-BC01-484EB0C265FB}"/>
    <cellStyle name="Normal 9 2 2 4 7" xfId="4883" xr:uid="{00000000-0005-0000-0000-0000F91E0000}"/>
    <cellStyle name="Normal 9 2 2 4 7 2" xfId="14209" xr:uid="{BCED6DA3-927C-4ABC-B6C9-E5B743239F5F}"/>
    <cellStyle name="Normal 9 2 2 4 8" xfId="8992" xr:uid="{8AFFF8AD-8552-4B33-AAFF-7DACAE25085E}"/>
    <cellStyle name="Normal 9 2 2 4 8 2" xfId="18316" xr:uid="{FF5CE7CE-F7C8-4B7D-A727-5943B252DB80}"/>
    <cellStyle name="Normal 9 2 2 4 9" xfId="9992" xr:uid="{A5008622-F6C3-4DE6-9FCB-7CDEE7B23EAE}"/>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761AD6D4-204F-4A05-A510-33C19093327B}"/>
    <cellStyle name="Normal 9 2 2 5 2 3" xfId="12543" xr:uid="{1D1594C3-7B00-43AC-8A70-24EC8E0B0058}"/>
    <cellStyle name="Normal 9 2 2 5 3" xfId="5289" xr:uid="{00000000-0005-0000-0000-0000FD1E0000}"/>
    <cellStyle name="Normal 9 2 2 5 3 2" xfId="14615" xr:uid="{57358880-DBC1-41B7-8552-3AEB2117FE3C}"/>
    <cellStyle name="Normal 9 2 2 5 4" xfId="9209" xr:uid="{66E66B93-842C-41D8-A807-A065C03CFEBD}"/>
    <cellStyle name="Normal 9 2 2 5 4 2" xfId="18525" xr:uid="{B1BDF430-9F4E-4551-8122-516F7A44E0EB}"/>
    <cellStyle name="Normal 9 2 2 5 5" xfId="10398" xr:uid="{9B20CBCB-7703-4A22-9D75-0D33D86F0AB3}"/>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A1256A59-C1D4-4787-9539-466275CCE655}"/>
    <cellStyle name="Normal 9 2 2 6 2 3" xfId="12956" xr:uid="{5024C5FD-509D-4AF1-8137-DC18AD9F9034}"/>
    <cellStyle name="Normal 9 2 2 6 3" xfId="5702" xr:uid="{00000000-0005-0000-0000-0000011F0000}"/>
    <cellStyle name="Normal 9 2 2 6 3 2" xfId="15028" xr:uid="{83DA5A0A-BB20-4405-9F5A-DE235D85DED4}"/>
    <cellStyle name="Normal 9 2 2 6 4" xfId="10811" xr:uid="{6AAA19A6-B915-402F-99C7-859C54BD7676}"/>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FA4D7C38-0198-4FB1-8247-BD9618956BFE}"/>
    <cellStyle name="Normal 9 2 2 7 2 3" xfId="13369" xr:uid="{9A026150-6042-45FB-8E54-25A64EAC5890}"/>
    <cellStyle name="Normal 9 2 2 7 3" xfId="6115" xr:uid="{00000000-0005-0000-0000-0000051F0000}"/>
    <cellStyle name="Normal 9 2 2 7 3 2" xfId="15441" xr:uid="{FFAFE1B3-C139-484F-88E2-F155BD65947A}"/>
    <cellStyle name="Normal 9 2 2 7 4" xfId="11224" xr:uid="{8A92F314-540E-49C6-9FBC-36911298946B}"/>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C1F0AFE5-B2BA-4F61-A267-143DCA03B004}"/>
    <cellStyle name="Normal 9 2 2 8 2 3" xfId="13782" xr:uid="{E3945C76-8F45-4286-B3BC-02430EC250A0}"/>
    <cellStyle name="Normal 9 2 2 8 3" xfId="6528" xr:uid="{00000000-0005-0000-0000-0000091F0000}"/>
    <cellStyle name="Normal 9 2 2 8 3 2" xfId="15854" xr:uid="{0F3B4EC4-7EC7-4CD3-94D5-79E468360650}"/>
    <cellStyle name="Normal 9 2 2 8 4" xfId="11637" xr:uid="{C568652C-5063-4C91-A173-7CED9EDE15CB}"/>
    <cellStyle name="Normal 9 2 2 9" xfId="2658" xr:uid="{00000000-0005-0000-0000-00000A1F0000}"/>
    <cellStyle name="Normal 9 2 2 9 2" xfId="6941" xr:uid="{00000000-0005-0000-0000-00000B1F0000}"/>
    <cellStyle name="Normal 9 2 2 9 2 2" xfId="16267" xr:uid="{238D5D4C-A277-4E1B-A4CE-7C5DB3478CE9}"/>
    <cellStyle name="Normal 9 2 2 9 3" xfId="12050" xr:uid="{C41A4211-0E97-4CE1-AA40-F9E8AD0DF8E9}"/>
    <cellStyle name="Normal 9 2 3" xfId="520" xr:uid="{00000000-0005-0000-0000-00000C1F0000}"/>
    <cellStyle name="Normal 9 2 3 10" xfId="8838" xr:uid="{3F59BADF-95CF-4831-9CE1-8ACBDD585DF1}"/>
    <cellStyle name="Normal 9 2 3 10 2" xfId="18162" xr:uid="{77D84262-5EAE-4004-B32E-88CEBA043ED8}"/>
    <cellStyle name="Normal 9 2 3 11" xfId="9993" xr:uid="{119FDD30-BC31-401B-84A2-BFB9328B8775}"/>
    <cellStyle name="Normal 9 2 3 2" xfId="521" xr:uid="{00000000-0005-0000-0000-00000D1F0000}"/>
    <cellStyle name="Normal 9 2 3 2 10" xfId="9994" xr:uid="{E5146FDB-03A1-40E7-B7A8-410820E315F8}"/>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A3D78729-0521-4977-92D6-F4A6583D6A63}"/>
    <cellStyle name="Normal 9 2 3 2 2 2 2 3" xfId="12553" xr:uid="{E41EB533-3BD7-4C73-9F32-9B1B180232C9}"/>
    <cellStyle name="Normal 9 2 3 2 2 2 3" xfId="5299" xr:uid="{00000000-0005-0000-0000-0000121F0000}"/>
    <cellStyle name="Normal 9 2 3 2 2 2 3 2" xfId="14625" xr:uid="{EBF255FB-37E8-41FF-BEBB-32B4278C2011}"/>
    <cellStyle name="Normal 9 2 3 2 2 2 4" xfId="9573" xr:uid="{376F8566-2407-40B8-9531-D3E757BE7A23}"/>
    <cellStyle name="Normal 9 2 3 2 2 2 4 2" xfId="18888" xr:uid="{86F19D52-BD46-419E-9FF1-9120B92634B9}"/>
    <cellStyle name="Normal 9 2 3 2 2 2 5" xfId="10408" xr:uid="{DC6DD279-D841-4F9C-AD65-312D6BE300F7}"/>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2173CD1E-CF77-4046-ABF5-F3CF30D7BC27}"/>
    <cellStyle name="Normal 9 2 3 2 2 3 2 3" xfId="12966" xr:uid="{E9D7CDCF-CDC1-4CF2-945A-FDDDABEBAA7C}"/>
    <cellStyle name="Normal 9 2 3 2 2 3 3" xfId="5712" xr:uid="{00000000-0005-0000-0000-0000161F0000}"/>
    <cellStyle name="Normal 9 2 3 2 2 3 3 2" xfId="15038" xr:uid="{EB277A2A-599E-4C02-BF17-D87AA4B25500}"/>
    <cellStyle name="Normal 9 2 3 2 2 3 4" xfId="10821" xr:uid="{C92BC4AC-B8EB-483C-B647-B04F0B44F5D6}"/>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D5C61D90-D52C-4E3A-AD97-F4D7A95F772F}"/>
    <cellStyle name="Normal 9 2 3 2 2 4 2 3" xfId="13379" xr:uid="{6D70FC29-729C-460C-8162-6E5599B45CE3}"/>
    <cellStyle name="Normal 9 2 3 2 2 4 3" xfId="6125" xr:uid="{00000000-0005-0000-0000-00001A1F0000}"/>
    <cellStyle name="Normal 9 2 3 2 2 4 3 2" xfId="15451" xr:uid="{92EF062D-E9E0-466E-9811-71BE934BF7F1}"/>
    <cellStyle name="Normal 9 2 3 2 2 4 4" xfId="11234" xr:uid="{37B23161-C615-424E-90C0-81E801E420B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5AE0456F-B2F4-45AB-96B6-3A5B1E461BA8}"/>
    <cellStyle name="Normal 9 2 3 2 2 5 2 3" xfId="13792" xr:uid="{F1A5F916-FDF6-4E15-8D40-675BCD58C44E}"/>
    <cellStyle name="Normal 9 2 3 2 2 5 3" xfId="6538" xr:uid="{00000000-0005-0000-0000-00001E1F0000}"/>
    <cellStyle name="Normal 9 2 3 2 2 5 3 2" xfId="15864" xr:uid="{BF2BAF67-8909-4FAE-BE9C-0BC767FAC56D}"/>
    <cellStyle name="Normal 9 2 3 2 2 5 4" xfId="11647" xr:uid="{D828DC69-7C13-4987-A1DD-43CE2A2B267D}"/>
    <cellStyle name="Normal 9 2 3 2 2 6" xfId="2668" xr:uid="{00000000-0005-0000-0000-00001F1F0000}"/>
    <cellStyle name="Normal 9 2 3 2 2 6 2" xfId="6951" xr:uid="{00000000-0005-0000-0000-0000201F0000}"/>
    <cellStyle name="Normal 9 2 3 2 2 6 2 2" xfId="16277" xr:uid="{515DA922-5AD0-48B9-B0C9-1A54796E945E}"/>
    <cellStyle name="Normal 9 2 3 2 2 6 3" xfId="12060" xr:uid="{DDCBB416-E917-477A-8B81-5731A108E9BC}"/>
    <cellStyle name="Normal 9 2 3 2 2 7" xfId="4886" xr:uid="{00000000-0005-0000-0000-0000211F0000}"/>
    <cellStyle name="Normal 9 2 3 2 2 7 2" xfId="14212" xr:uid="{B175FFFD-2742-46FD-A4C8-C277AD9DD13B}"/>
    <cellStyle name="Normal 9 2 3 2 2 8" xfId="9148" xr:uid="{E1A2F3F0-C8EA-47FA-BB37-18F117041A87}"/>
    <cellStyle name="Normal 9 2 3 2 2 8 2" xfId="18472" xr:uid="{5D6408E5-CCD5-4963-AD45-3C236BBBC172}"/>
    <cellStyle name="Normal 9 2 3 2 2 9" xfId="9995" xr:uid="{A4AA80A8-706A-463E-801D-6FE17B8EA1CD}"/>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C5CA2F68-D455-4370-9FD6-342C53452885}"/>
    <cellStyle name="Normal 9 2 3 2 3 2 3" xfId="12552" xr:uid="{9BCE09A1-27F6-4AC9-9EE2-3D3AC5007076}"/>
    <cellStyle name="Normal 9 2 3 2 3 3" xfId="5298" xr:uid="{00000000-0005-0000-0000-0000251F0000}"/>
    <cellStyle name="Normal 9 2 3 2 3 3 2" xfId="14624" xr:uid="{17BCB2A5-8016-4B47-B325-D64AA9B7F0AC}"/>
    <cellStyle name="Normal 9 2 3 2 3 4" xfId="9366" xr:uid="{136A6B94-9CAA-4F6C-B09D-7385900FCA38}"/>
    <cellStyle name="Normal 9 2 3 2 3 4 2" xfId="18681" xr:uid="{DA0DC3BF-03AA-45B5-B531-D46C663CB505}"/>
    <cellStyle name="Normal 9 2 3 2 3 5" xfId="10407" xr:uid="{F58E789E-FC36-4CB6-9FF0-23DCA2FEEED4}"/>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ED43C3FA-5EC7-46F6-939C-592178369405}"/>
    <cellStyle name="Normal 9 2 3 2 4 2 3" xfId="12965" xr:uid="{B9AEDDFF-973D-440A-843B-34FFB964A22C}"/>
    <cellStyle name="Normal 9 2 3 2 4 3" xfId="5711" xr:uid="{00000000-0005-0000-0000-0000291F0000}"/>
    <cellStyle name="Normal 9 2 3 2 4 3 2" xfId="15037" xr:uid="{18EA37B7-1747-4EEA-876B-515CB49607CA}"/>
    <cellStyle name="Normal 9 2 3 2 4 4" xfId="10820" xr:uid="{DC265811-2BBF-4449-A6AD-72D7741619CF}"/>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48548390-7D10-4BCA-AA2F-BA4B05890CC6}"/>
    <cellStyle name="Normal 9 2 3 2 5 2 3" xfId="13378" xr:uid="{F76BFD52-215D-4A50-833F-0F13233FB12D}"/>
    <cellStyle name="Normal 9 2 3 2 5 3" xfId="6124" xr:uid="{00000000-0005-0000-0000-00002D1F0000}"/>
    <cellStyle name="Normal 9 2 3 2 5 3 2" xfId="15450" xr:uid="{E365F700-8409-49B0-B96D-309A95083474}"/>
    <cellStyle name="Normal 9 2 3 2 5 4" xfId="11233" xr:uid="{7578CF9A-F9E5-4ECA-9C49-D635A1BAD61A}"/>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4D0D3234-0178-4863-A9EB-E5323435F031}"/>
    <cellStyle name="Normal 9 2 3 2 6 2 3" xfId="13791" xr:uid="{56CF1712-7A6C-4DFE-87F9-2F44359B1E62}"/>
    <cellStyle name="Normal 9 2 3 2 6 3" xfId="6537" xr:uid="{00000000-0005-0000-0000-0000311F0000}"/>
    <cellStyle name="Normal 9 2 3 2 6 3 2" xfId="15863" xr:uid="{E7056316-7153-4378-ACA5-C24D9AD4F81D}"/>
    <cellStyle name="Normal 9 2 3 2 6 4" xfId="11646" xr:uid="{A9682CAC-9920-42E8-9E92-96C4233A4AD8}"/>
    <cellStyle name="Normal 9 2 3 2 7" xfId="2667" xr:uid="{00000000-0005-0000-0000-0000321F0000}"/>
    <cellStyle name="Normal 9 2 3 2 7 2" xfId="6950" xr:uid="{00000000-0005-0000-0000-0000331F0000}"/>
    <cellStyle name="Normal 9 2 3 2 7 2 2" xfId="16276" xr:uid="{FC740225-D614-4D20-89C4-F652C36BEB8A}"/>
    <cellStyle name="Normal 9 2 3 2 7 3" xfId="12059" xr:uid="{A6EB91C1-C7FF-41BD-A71B-BF2A21E12F22}"/>
    <cellStyle name="Normal 9 2 3 2 8" xfId="4885" xr:uid="{00000000-0005-0000-0000-0000341F0000}"/>
    <cellStyle name="Normal 9 2 3 2 8 2" xfId="14211" xr:uid="{9E48DADC-2E5E-4240-839C-6C4362D8592E}"/>
    <cellStyle name="Normal 9 2 3 2 9" xfId="8941" xr:uid="{DDA1E375-E708-45D0-9119-207D493A75BA}"/>
    <cellStyle name="Normal 9 2 3 2 9 2" xfId="18265" xr:uid="{C6B2B2ED-2BB6-4849-B9AD-1643289D4E44}"/>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399FDFA3-4691-4EA6-B8D4-351BD6C5BA09}"/>
    <cellStyle name="Normal 9 2 3 3 2 2 3" xfId="12554" xr:uid="{1C7DFA41-5450-4DFD-A2D0-DBF69BB17813}"/>
    <cellStyle name="Normal 9 2 3 3 2 3" xfId="5300" xr:uid="{00000000-0005-0000-0000-0000391F0000}"/>
    <cellStyle name="Normal 9 2 3 3 2 3 2" xfId="14626" xr:uid="{EB477F59-6D12-430F-B279-64EE257E2AD2}"/>
    <cellStyle name="Normal 9 2 3 3 2 4" xfId="9470" xr:uid="{B46EA5E7-4A9D-405A-94B0-2C155F0DE1F1}"/>
    <cellStyle name="Normal 9 2 3 3 2 4 2" xfId="18785" xr:uid="{439C7D2F-3575-47AE-92AA-7D8CCE839C39}"/>
    <cellStyle name="Normal 9 2 3 3 2 5" xfId="10409" xr:uid="{7B7D9F71-C665-4B33-8DFE-09E1876905AA}"/>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4D8A38C3-DFB8-41F8-90D6-FF225AF140B5}"/>
    <cellStyle name="Normal 9 2 3 3 3 2 3" xfId="12967" xr:uid="{32D36077-BF11-440A-B4F9-94F3791BA829}"/>
    <cellStyle name="Normal 9 2 3 3 3 3" xfId="5713" xr:uid="{00000000-0005-0000-0000-00003D1F0000}"/>
    <cellStyle name="Normal 9 2 3 3 3 3 2" xfId="15039" xr:uid="{E205EA61-0F37-443B-AF8A-CA70FFF8C03F}"/>
    <cellStyle name="Normal 9 2 3 3 3 4" xfId="10822" xr:uid="{AD57C830-3CA1-43D7-9C72-FC36143B42E5}"/>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F15ABAD7-0F7D-48C4-8570-369DD4F96F8D}"/>
    <cellStyle name="Normal 9 2 3 3 4 2 3" xfId="13380" xr:uid="{23C32C0A-D39E-44EF-906D-A131E7545392}"/>
    <cellStyle name="Normal 9 2 3 3 4 3" xfId="6126" xr:uid="{00000000-0005-0000-0000-0000411F0000}"/>
    <cellStyle name="Normal 9 2 3 3 4 3 2" xfId="15452" xr:uid="{7828B453-94BD-4C36-AD69-620785ACC3CD}"/>
    <cellStyle name="Normal 9 2 3 3 4 4" xfId="11235" xr:uid="{57543EF3-009C-41A5-8775-01408A88DDF5}"/>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B88609B8-6860-4D65-8FFB-BFB8ACA25842}"/>
    <cellStyle name="Normal 9 2 3 3 5 2 3" xfId="13793" xr:uid="{7DEDB82A-08CE-491F-B4B5-EBFC8B0FF154}"/>
    <cellStyle name="Normal 9 2 3 3 5 3" xfId="6539" xr:uid="{00000000-0005-0000-0000-0000451F0000}"/>
    <cellStyle name="Normal 9 2 3 3 5 3 2" xfId="15865" xr:uid="{042A4EC2-CF53-4B5C-9A01-3FCE572ED350}"/>
    <cellStyle name="Normal 9 2 3 3 5 4" xfId="11648" xr:uid="{4BC423E0-2FD3-4ED8-818C-8391F0C339F5}"/>
    <cellStyle name="Normal 9 2 3 3 6" xfId="2669" xr:uid="{00000000-0005-0000-0000-0000461F0000}"/>
    <cellStyle name="Normal 9 2 3 3 6 2" xfId="6952" xr:uid="{00000000-0005-0000-0000-0000471F0000}"/>
    <cellStyle name="Normal 9 2 3 3 6 2 2" xfId="16278" xr:uid="{636FB496-B723-476E-8552-246E714CCBE6}"/>
    <cellStyle name="Normal 9 2 3 3 6 3" xfId="12061" xr:uid="{98333F50-0C9C-4C88-BB44-A0653B075AE4}"/>
    <cellStyle name="Normal 9 2 3 3 7" xfId="4887" xr:uid="{00000000-0005-0000-0000-0000481F0000}"/>
    <cellStyle name="Normal 9 2 3 3 7 2" xfId="14213" xr:uid="{96D443E2-0EA2-45BB-BF87-9E9F9006E77A}"/>
    <cellStyle name="Normal 9 2 3 3 8" xfId="9045" xr:uid="{CD23D75F-FCE1-471A-A55A-DAC6FB15D069}"/>
    <cellStyle name="Normal 9 2 3 3 8 2" xfId="18369" xr:uid="{4D50F0D3-E795-4B0A-976B-1C75A63E4BB5}"/>
    <cellStyle name="Normal 9 2 3 3 9" xfId="9996" xr:uid="{05FCA00D-59B9-4CF5-856E-C7921246DB0E}"/>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EBE19519-780B-408E-BDAD-0FDAF36E9296}"/>
    <cellStyle name="Normal 9 2 3 4 2 3" xfId="12551" xr:uid="{B41C377E-80F8-4563-AAF8-7E534F213C5A}"/>
    <cellStyle name="Normal 9 2 3 4 3" xfId="5297" xr:uid="{00000000-0005-0000-0000-00004C1F0000}"/>
    <cellStyle name="Normal 9 2 3 4 3 2" xfId="14623" xr:uid="{6B365334-583B-4A1D-A20A-4CC5B00D0AD5}"/>
    <cellStyle name="Normal 9 2 3 4 4" xfId="9263" xr:uid="{8E7B719A-F76B-4A2B-A5A7-1A883FD6976F}"/>
    <cellStyle name="Normal 9 2 3 4 4 2" xfId="18578" xr:uid="{ED0A4B71-FBCF-4495-BBC7-EADE7B61978B}"/>
    <cellStyle name="Normal 9 2 3 4 5" xfId="10406" xr:uid="{596D6414-D504-4E04-B8ED-B8C0C6EA7634}"/>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CE8DAC14-B1FF-4B04-A071-694F6955D41F}"/>
    <cellStyle name="Normal 9 2 3 5 2 3" xfId="12964" xr:uid="{6D56918E-A81C-4448-A41E-80E1F7E541A2}"/>
    <cellStyle name="Normal 9 2 3 5 3" xfId="5710" xr:uid="{00000000-0005-0000-0000-0000501F0000}"/>
    <cellStyle name="Normal 9 2 3 5 3 2" xfId="15036" xr:uid="{945165C6-6272-4BC3-92F2-D097BBDACD50}"/>
    <cellStyle name="Normal 9 2 3 5 4" xfId="10819" xr:uid="{12DB2B9C-72CF-43E9-B0EF-D21B828CB1BF}"/>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55A535D7-A289-4316-917B-89F90A8ECFC4}"/>
    <cellStyle name="Normal 9 2 3 6 2 3" xfId="13377" xr:uid="{699F4FE5-3AFC-4B79-9E73-10D4BD43D3F6}"/>
    <cellStyle name="Normal 9 2 3 6 3" xfId="6123" xr:uid="{00000000-0005-0000-0000-0000541F0000}"/>
    <cellStyle name="Normal 9 2 3 6 3 2" xfId="15449" xr:uid="{28625CAA-CE64-4571-84CE-4D580EF16822}"/>
    <cellStyle name="Normal 9 2 3 6 4" xfId="11232" xr:uid="{A56CEE76-F9A6-451F-B9AD-B4896B90ADED}"/>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04BAAE40-C546-44F3-8FA3-59C306007FD8}"/>
    <cellStyle name="Normal 9 2 3 7 2 3" xfId="13790" xr:uid="{74399A23-A176-4444-ADF0-C0431E8D4B4D}"/>
    <cellStyle name="Normal 9 2 3 7 3" xfId="6536" xr:uid="{00000000-0005-0000-0000-0000581F0000}"/>
    <cellStyle name="Normal 9 2 3 7 3 2" xfId="15862" xr:uid="{7CDCA375-2145-42C6-AAB5-F6E3D728B7CD}"/>
    <cellStyle name="Normal 9 2 3 7 4" xfId="11645" xr:uid="{63518CD5-EF59-4187-BB2D-5230CFD60849}"/>
    <cellStyle name="Normal 9 2 3 8" xfId="2666" xr:uid="{00000000-0005-0000-0000-0000591F0000}"/>
    <cellStyle name="Normal 9 2 3 8 2" xfId="6949" xr:uid="{00000000-0005-0000-0000-00005A1F0000}"/>
    <cellStyle name="Normal 9 2 3 8 2 2" xfId="16275" xr:uid="{5D4872A8-0B5C-40A3-9146-8BA09BAF4B41}"/>
    <cellStyle name="Normal 9 2 3 8 3" xfId="12058" xr:uid="{81D33752-89C7-4BCF-A3D1-ED179F5D2314}"/>
    <cellStyle name="Normal 9 2 3 9" xfId="4884" xr:uid="{00000000-0005-0000-0000-00005B1F0000}"/>
    <cellStyle name="Normal 9 2 3 9 2" xfId="14210" xr:uid="{610E3C43-B885-4850-9198-63EC266D81ED}"/>
    <cellStyle name="Normal 9 2 4" xfId="524" xr:uid="{00000000-0005-0000-0000-00005C1F0000}"/>
    <cellStyle name="Normal 9 2 4 10" xfId="9997" xr:uid="{1177FDC4-A63C-487B-8753-AA0B4183524A}"/>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F5C5BE2A-4C5F-4E0C-95E3-B38F14FE1857}"/>
    <cellStyle name="Normal 9 2 4 2 2 2 3" xfId="12556" xr:uid="{0CA31E38-4A02-4451-AF9C-5D3A1EFE4EE4}"/>
    <cellStyle name="Normal 9 2 4 2 2 3" xfId="5302" xr:uid="{00000000-0005-0000-0000-0000611F0000}"/>
    <cellStyle name="Normal 9 2 4 2 2 3 2" xfId="14628" xr:uid="{F9B4F93E-E04C-4992-BC4E-A883581D56D6}"/>
    <cellStyle name="Normal 9 2 4 2 2 4" xfId="9489" xr:uid="{4BA9DC16-58A7-4D6B-90A6-6BB0C51A0279}"/>
    <cellStyle name="Normal 9 2 4 2 2 4 2" xfId="18804" xr:uid="{C50175A8-E946-425A-A5C9-0089B2F0496E}"/>
    <cellStyle name="Normal 9 2 4 2 2 5" xfId="10411" xr:uid="{8F0DBE70-03F8-46D7-9596-A1D006AF3AEA}"/>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4A9505A8-7BD0-4B70-854B-5701903DC5E0}"/>
    <cellStyle name="Normal 9 2 4 2 3 2 3" xfId="12969" xr:uid="{EAB3D27B-8BEA-4404-945F-50E6473851F8}"/>
    <cellStyle name="Normal 9 2 4 2 3 3" xfId="5715" xr:uid="{00000000-0005-0000-0000-0000651F0000}"/>
    <cellStyle name="Normal 9 2 4 2 3 3 2" xfId="15041" xr:uid="{D4656EA8-2B9C-4F44-9A2A-90FDB9C3833C}"/>
    <cellStyle name="Normal 9 2 4 2 3 4" xfId="10824" xr:uid="{B49FA4D1-071D-4106-9381-79BA2988A862}"/>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BB4603C8-1036-4D79-ACBE-43501F227A0C}"/>
    <cellStyle name="Normal 9 2 4 2 4 2 3" xfId="13382" xr:uid="{1DCE5B85-FE5F-4233-B0A1-107DECAD6A6A}"/>
    <cellStyle name="Normal 9 2 4 2 4 3" xfId="6128" xr:uid="{00000000-0005-0000-0000-0000691F0000}"/>
    <cellStyle name="Normal 9 2 4 2 4 3 2" xfId="15454" xr:uid="{D168517E-29A3-4F56-A80F-7E6EA3CDEA5D}"/>
    <cellStyle name="Normal 9 2 4 2 4 4" xfId="11237" xr:uid="{7E6E5AAC-ECE0-4AA4-AE1D-6044A33F6775}"/>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550D5D14-5832-4981-B545-520C4780D13D}"/>
    <cellStyle name="Normal 9 2 4 2 5 2 3" xfId="13795" xr:uid="{9699F366-5261-4E36-9541-E85A3DD2B66F}"/>
    <cellStyle name="Normal 9 2 4 2 5 3" xfId="6541" xr:uid="{00000000-0005-0000-0000-00006D1F0000}"/>
    <cellStyle name="Normal 9 2 4 2 5 3 2" xfId="15867" xr:uid="{256BF527-6B78-4A54-BD9B-8FFB8780D3CF}"/>
    <cellStyle name="Normal 9 2 4 2 5 4" xfId="11650" xr:uid="{054B7FBD-6BA2-418E-A211-C7E3E11CBC11}"/>
    <cellStyle name="Normal 9 2 4 2 6" xfId="2671" xr:uid="{00000000-0005-0000-0000-00006E1F0000}"/>
    <cellStyle name="Normal 9 2 4 2 6 2" xfId="6954" xr:uid="{00000000-0005-0000-0000-00006F1F0000}"/>
    <cellStyle name="Normal 9 2 4 2 6 2 2" xfId="16280" xr:uid="{48CBE33F-261B-4770-B6EE-6C7AD93BB4E5}"/>
    <cellStyle name="Normal 9 2 4 2 6 3" xfId="12063" xr:uid="{6A4999F5-7163-44A2-B260-79577BAE394A}"/>
    <cellStyle name="Normal 9 2 4 2 7" xfId="4889" xr:uid="{00000000-0005-0000-0000-0000701F0000}"/>
    <cellStyle name="Normal 9 2 4 2 7 2" xfId="14215" xr:uid="{C5C04F66-DEFD-4C21-A06F-F1307CCC7DBD}"/>
    <cellStyle name="Normal 9 2 4 2 8" xfId="9064" xr:uid="{7D4090C3-C767-4FFF-8A1F-282B2C8BAE68}"/>
    <cellStyle name="Normal 9 2 4 2 8 2" xfId="18388" xr:uid="{19071660-785B-480C-8999-E41540662538}"/>
    <cellStyle name="Normal 9 2 4 2 9" xfId="9998" xr:uid="{1594AB9D-8D1C-4F77-9599-21B9EBB6FA50}"/>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BA0124D3-B6A4-4C7D-AF04-C12AAB2026D3}"/>
    <cellStyle name="Normal 9 2 4 3 2 3" xfId="12555" xr:uid="{AE9C8AA2-92F6-4906-B39C-5C87A82B4481}"/>
    <cellStyle name="Normal 9 2 4 3 3" xfId="5301" xr:uid="{00000000-0005-0000-0000-0000741F0000}"/>
    <cellStyle name="Normal 9 2 4 3 3 2" xfId="14627" xr:uid="{ADB93070-9B73-4A9B-AAE3-30947AF97F6E}"/>
    <cellStyle name="Normal 9 2 4 3 4" xfId="9282" xr:uid="{2471E5AC-3D06-4E90-9462-C54FACA9B22B}"/>
    <cellStyle name="Normal 9 2 4 3 4 2" xfId="18597" xr:uid="{2F0BD672-65CA-4B14-A9B7-9F895721FE08}"/>
    <cellStyle name="Normal 9 2 4 3 5" xfId="10410" xr:uid="{F4B12AC6-3D3B-4869-B9D1-1FF825B1EA14}"/>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EA40FD9E-B3FE-4305-917A-0D61C52836B5}"/>
    <cellStyle name="Normal 9 2 4 4 2 3" xfId="12968" xr:uid="{24FAA550-E4EB-4E7B-B03B-934D61856E53}"/>
    <cellStyle name="Normal 9 2 4 4 3" xfId="5714" xr:uid="{00000000-0005-0000-0000-0000781F0000}"/>
    <cellStyle name="Normal 9 2 4 4 3 2" xfId="15040" xr:uid="{E25C1BFE-5D24-4B7A-ADAA-153645699252}"/>
    <cellStyle name="Normal 9 2 4 4 4" xfId="10823" xr:uid="{BAAB0C44-7818-4D1D-A897-8FDE7602C705}"/>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27544307-3F48-4F2F-B220-09CEC735A75C}"/>
    <cellStyle name="Normal 9 2 4 5 2 3" xfId="13381" xr:uid="{A07529B7-E370-4731-AAEA-57D5984A5BAD}"/>
    <cellStyle name="Normal 9 2 4 5 3" xfId="6127" xr:uid="{00000000-0005-0000-0000-00007C1F0000}"/>
    <cellStyle name="Normal 9 2 4 5 3 2" xfId="15453" xr:uid="{AB42CD81-B46A-49B7-BED9-B13138C46D0D}"/>
    <cellStyle name="Normal 9 2 4 5 4" xfId="11236" xr:uid="{69DE843D-AA46-40FD-A543-BFCBC69AB9C5}"/>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1F0C319C-815E-4C82-AB31-A3ACB6EADEF2}"/>
    <cellStyle name="Normal 9 2 4 6 2 3" xfId="13794" xr:uid="{FBFE66CD-E011-49E8-9E99-BE4952DAD0B1}"/>
    <cellStyle name="Normal 9 2 4 6 3" xfId="6540" xr:uid="{00000000-0005-0000-0000-0000801F0000}"/>
    <cellStyle name="Normal 9 2 4 6 3 2" xfId="15866" xr:uid="{4AD0C940-98BC-461F-A1D1-458AC004C228}"/>
    <cellStyle name="Normal 9 2 4 6 4" xfId="11649" xr:uid="{AF00A067-C7EF-4056-AD73-25117F3C327D}"/>
    <cellStyle name="Normal 9 2 4 7" xfId="2670" xr:uid="{00000000-0005-0000-0000-0000811F0000}"/>
    <cellStyle name="Normal 9 2 4 7 2" xfId="6953" xr:uid="{00000000-0005-0000-0000-0000821F0000}"/>
    <cellStyle name="Normal 9 2 4 7 2 2" xfId="16279" xr:uid="{BB696ED5-2697-4EB3-8395-05B0A7A795F1}"/>
    <cellStyle name="Normal 9 2 4 7 3" xfId="12062" xr:uid="{A2761E60-4DBA-4CB4-A919-640E315AEF08}"/>
    <cellStyle name="Normal 9 2 4 8" xfId="4888" xr:uid="{00000000-0005-0000-0000-0000831F0000}"/>
    <cellStyle name="Normal 9 2 4 8 2" xfId="14214" xr:uid="{486B724C-6C20-4A15-A23B-07E369E77334}"/>
    <cellStyle name="Normal 9 2 4 9" xfId="8857" xr:uid="{D785C0E6-B403-4CCC-AB0B-78E822EF1E40}"/>
    <cellStyle name="Normal 9 2 4 9 2" xfId="18181" xr:uid="{F2A0F1CC-3459-40B0-88CE-DE9A295B260D}"/>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1DBD4C69-F4C8-49AA-8909-A4A6CC6B928C}"/>
    <cellStyle name="Normal 9 2 5 2 2 3" xfId="12557" xr:uid="{5BEA9DA8-ACB4-4DFD-B848-1A298CAE32E3}"/>
    <cellStyle name="Normal 9 2 5 2 3" xfId="5303" xr:uid="{00000000-0005-0000-0000-0000881F0000}"/>
    <cellStyle name="Normal 9 2 5 2 3 2" xfId="14629" xr:uid="{8B2DB694-836F-48D5-BC37-FB37B8C6BAB6}"/>
    <cellStyle name="Normal 9 2 5 2 4" xfId="9398" xr:uid="{5B2A416E-986C-4898-8893-9EAFDDDBCDD4}"/>
    <cellStyle name="Normal 9 2 5 2 4 2" xfId="18713" xr:uid="{A99BC862-BCB5-4B2B-9777-1B793CC4E2A1}"/>
    <cellStyle name="Normal 9 2 5 2 5" xfId="10412" xr:uid="{DCE43721-803D-49ED-8AB6-761E4D254D8A}"/>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0E1260FE-5BB3-4D1D-BF4B-DB1F0E712A37}"/>
    <cellStyle name="Normal 9 2 5 3 2 3" xfId="12970" xr:uid="{0CE46BD6-8690-4D56-A30D-6C10F9665382}"/>
    <cellStyle name="Normal 9 2 5 3 3" xfId="5716" xr:uid="{00000000-0005-0000-0000-00008C1F0000}"/>
    <cellStyle name="Normal 9 2 5 3 3 2" xfId="15042" xr:uid="{100D9798-63AB-4E8F-8CD8-C65E2C4AD388}"/>
    <cellStyle name="Normal 9 2 5 3 4" xfId="10825" xr:uid="{5E584808-C64D-4B85-AB27-137DD5E4CC76}"/>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D90CFF85-FE07-4155-B936-E5BA8AFA09C5}"/>
    <cellStyle name="Normal 9 2 5 4 2 3" xfId="13383" xr:uid="{CD100C69-3310-42DF-91E5-DD7667F0B464}"/>
    <cellStyle name="Normal 9 2 5 4 3" xfId="6129" xr:uid="{00000000-0005-0000-0000-0000901F0000}"/>
    <cellStyle name="Normal 9 2 5 4 3 2" xfId="15455" xr:uid="{322A23DC-68BA-4CB2-A612-5640493E0FFB}"/>
    <cellStyle name="Normal 9 2 5 4 4" xfId="11238" xr:uid="{D48D303A-8701-40FD-8909-6B13B803A618}"/>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54A7DB0E-2B65-4AB0-A89A-9D97D0EC6DCA}"/>
    <cellStyle name="Normal 9 2 5 5 2 3" xfId="13796" xr:uid="{BD5A02EC-ECAF-405E-B33D-552170E361AE}"/>
    <cellStyle name="Normal 9 2 5 5 3" xfId="6542" xr:uid="{00000000-0005-0000-0000-0000941F0000}"/>
    <cellStyle name="Normal 9 2 5 5 3 2" xfId="15868" xr:uid="{A91E9164-E72B-44E7-BF86-3237DF3FABB3}"/>
    <cellStyle name="Normal 9 2 5 5 4" xfId="11651" xr:uid="{757F4F7C-3414-4F74-9333-3CBDE5B1C702}"/>
    <cellStyle name="Normal 9 2 5 6" xfId="2672" xr:uid="{00000000-0005-0000-0000-0000951F0000}"/>
    <cellStyle name="Normal 9 2 5 6 2" xfId="6955" xr:uid="{00000000-0005-0000-0000-0000961F0000}"/>
    <cellStyle name="Normal 9 2 5 6 2 2" xfId="16281" xr:uid="{7D42936F-883B-4F42-AE9B-9A8032867ABB}"/>
    <cellStyle name="Normal 9 2 5 6 3" xfId="12064" xr:uid="{96F895BC-CEB1-462B-AE5E-CDD8D4148085}"/>
    <cellStyle name="Normal 9 2 5 7" xfId="4890" xr:uid="{00000000-0005-0000-0000-0000971F0000}"/>
    <cellStyle name="Normal 9 2 5 7 2" xfId="14216" xr:uid="{F242E67E-B7FD-4A80-ACAD-243121B8B692}"/>
    <cellStyle name="Normal 9 2 5 8" xfId="8973" xr:uid="{BA9464C2-72F7-4B38-B1BD-6986FFA433D9}"/>
    <cellStyle name="Normal 9 2 5 8 2" xfId="18297" xr:uid="{A63EC2C5-20BB-4F14-83F0-66925A9A2891}"/>
    <cellStyle name="Normal 9 2 5 9" xfId="9999" xr:uid="{C2B72CFA-1543-4C2D-A2AA-B7B5FB0F170C}"/>
    <cellStyle name="Normal 9 2 6" xfId="978" xr:uid="{00000000-0005-0000-0000-0000981F0000}"/>
    <cellStyle name="Normal 9 2 6 2" xfId="3211" xr:uid="{00000000-0005-0000-0000-0000991F0000}"/>
    <cellStyle name="Normal 9 2 6 2 2" xfId="7433" xr:uid="{00000000-0005-0000-0000-00009A1F0000}"/>
    <cellStyle name="Normal 9 2 6 2 2 2" xfId="16759" xr:uid="{6F1F15A3-9D13-488F-980B-10A6A49B68C7}"/>
    <cellStyle name="Normal 9 2 6 2 3" xfId="12542" xr:uid="{B651D448-922D-4CF1-89B5-8311ECBEC904}"/>
    <cellStyle name="Normal 9 2 6 3" xfId="5288" xr:uid="{00000000-0005-0000-0000-00009B1F0000}"/>
    <cellStyle name="Normal 9 2 6 3 2" xfId="14614" xr:uid="{3DA3057E-3D58-4EF8-8661-7C470D564D7B}"/>
    <cellStyle name="Normal 9 2 6 4" xfId="9176" xr:uid="{F3933A08-5B20-47C9-B0FC-7B73F4B0BA7D}"/>
    <cellStyle name="Normal 9 2 6 4 2" xfId="18494" xr:uid="{1EDDEF71-653D-4DD6-BA7C-B6DADBE66580}"/>
    <cellStyle name="Normal 9 2 6 5" xfId="10397" xr:uid="{B318EC16-D895-4E49-84D5-F862F011EDF1}"/>
    <cellStyle name="Normal 9 2 7" xfId="1394" xr:uid="{00000000-0005-0000-0000-00009C1F0000}"/>
    <cellStyle name="Normal 9 2 7 2" xfId="3624" xr:uid="{00000000-0005-0000-0000-00009D1F0000}"/>
    <cellStyle name="Normal 9 2 7 2 2" xfId="7846" xr:uid="{00000000-0005-0000-0000-00009E1F0000}"/>
    <cellStyle name="Normal 9 2 7 2 2 2" xfId="17172" xr:uid="{030921A8-1176-483B-A8DE-68F7B9786C8B}"/>
    <cellStyle name="Normal 9 2 7 2 3" xfId="12955" xr:uid="{E115ED06-F490-43DD-B713-30B4DC13F45E}"/>
    <cellStyle name="Normal 9 2 7 3" xfId="5701" xr:uid="{00000000-0005-0000-0000-00009F1F0000}"/>
    <cellStyle name="Normal 9 2 7 3 2" xfId="15027" xr:uid="{7D5801F3-EE3A-4C2E-AA3C-E669D0876381}"/>
    <cellStyle name="Normal 9 2 7 4" xfId="10810" xr:uid="{A8BE186E-85A2-4DF2-9DA9-D24C37E1CD15}"/>
    <cellStyle name="Normal 9 2 8" xfId="1807" xr:uid="{00000000-0005-0000-0000-0000A01F0000}"/>
    <cellStyle name="Normal 9 2 8 2" xfId="4037" xr:uid="{00000000-0005-0000-0000-0000A11F0000}"/>
    <cellStyle name="Normal 9 2 8 2 2" xfId="8259" xr:uid="{00000000-0005-0000-0000-0000A21F0000}"/>
    <cellStyle name="Normal 9 2 8 2 2 2" xfId="17585" xr:uid="{1716057D-2EF2-409C-B8DE-E361CA3B892C}"/>
    <cellStyle name="Normal 9 2 8 2 3" xfId="13368" xr:uid="{E5034E0C-BF98-4950-9E28-01CE76D9EF7A}"/>
    <cellStyle name="Normal 9 2 8 3" xfId="6114" xr:uid="{00000000-0005-0000-0000-0000A31F0000}"/>
    <cellStyle name="Normal 9 2 8 3 2" xfId="15440" xr:uid="{E75F582E-1DFB-44C2-AA68-82906168C2CB}"/>
    <cellStyle name="Normal 9 2 8 4" xfId="11223" xr:uid="{E288D086-EC10-4B75-B81F-5F818E7B2BDA}"/>
    <cellStyle name="Normal 9 2 9" xfId="2221" xr:uid="{00000000-0005-0000-0000-0000A41F0000}"/>
    <cellStyle name="Normal 9 2 9 2" xfId="4450" xr:uid="{00000000-0005-0000-0000-0000A51F0000}"/>
    <cellStyle name="Normal 9 2 9 2 2" xfId="8672" xr:uid="{00000000-0005-0000-0000-0000A61F0000}"/>
    <cellStyle name="Normal 9 2 9 2 2 2" xfId="17998" xr:uid="{EF0F2FF6-A4C5-49EC-BCD7-45C361D71874}"/>
    <cellStyle name="Normal 9 2 9 2 3" xfId="13781" xr:uid="{82E68593-E7A5-416C-9127-B641131AB6F5}"/>
    <cellStyle name="Normal 9 2 9 3" xfId="6527" xr:uid="{00000000-0005-0000-0000-0000A71F0000}"/>
    <cellStyle name="Normal 9 2 9 3 2" xfId="15853" xr:uid="{2036ABE0-A3BB-420F-A6F8-20A640ABDA29}"/>
    <cellStyle name="Normal 9 2 9 4" xfId="11636" xr:uid="{2FD53054-C565-4802-94E5-A9B15C5600D8}"/>
    <cellStyle name="Normal 9 3" xfId="527" xr:uid="{00000000-0005-0000-0000-0000A81F0000}"/>
    <cellStyle name="Normal 9 3 10" xfId="4891" xr:uid="{00000000-0005-0000-0000-0000A91F0000}"/>
    <cellStyle name="Normal 9 3 10 2" xfId="14217" xr:uid="{37642733-94DF-4C0F-BD51-3FECC94DD10A}"/>
    <cellStyle name="Normal 9 3 11" xfId="8777" xr:uid="{1F3D7E21-FC22-4F0C-9371-3D8250746BB7}"/>
    <cellStyle name="Normal 9 3 11 2" xfId="18101" xr:uid="{FD405146-E821-4A87-AB0E-4AE3C0342CCD}"/>
    <cellStyle name="Normal 9 3 12" xfId="10000" xr:uid="{F6DE34A5-AAF8-49A0-81B8-2262D2B6B2F6}"/>
    <cellStyle name="Normal 9 3 2" xfId="528" xr:uid="{00000000-0005-0000-0000-0000AA1F0000}"/>
    <cellStyle name="Normal 9 3 2 10" xfId="8840" xr:uid="{94797BE2-1721-4871-A768-79D4D45F48BB}"/>
    <cellStyle name="Normal 9 3 2 10 2" xfId="18164" xr:uid="{A11852C0-88DB-4B7C-8CC5-3768C26F6C6F}"/>
    <cellStyle name="Normal 9 3 2 11" xfId="10001" xr:uid="{46E6D0E4-6FCC-45B3-B8AC-0D18DE5EAE82}"/>
    <cellStyle name="Normal 9 3 2 2" xfId="529" xr:uid="{00000000-0005-0000-0000-0000AB1F0000}"/>
    <cellStyle name="Normal 9 3 2 2 10" xfId="10002" xr:uid="{ECF3F887-EDA1-4B34-ABE7-D74BD185DF4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82BDCA81-AD1A-47D8-8367-AC9AB2569487}"/>
    <cellStyle name="Normal 9 3 2 2 2 2 2 3" xfId="12561" xr:uid="{B6B2AD9B-1543-495B-8A54-64DE9F4A4C9D}"/>
    <cellStyle name="Normal 9 3 2 2 2 2 3" xfId="5307" xr:uid="{00000000-0005-0000-0000-0000B01F0000}"/>
    <cellStyle name="Normal 9 3 2 2 2 2 3 2" xfId="14633" xr:uid="{AA621A47-5EB1-44A5-8DE4-1D218EDBCB12}"/>
    <cellStyle name="Normal 9 3 2 2 2 2 4" xfId="9575" xr:uid="{DA05DE06-1987-4B8E-8439-C692853FF296}"/>
    <cellStyle name="Normal 9 3 2 2 2 2 4 2" xfId="18890" xr:uid="{778C5A3A-3F38-4BEB-8E5A-FC07FF7482AC}"/>
    <cellStyle name="Normal 9 3 2 2 2 2 5" xfId="10416" xr:uid="{F1E62D47-40A4-4217-BCA9-A4C93BA4571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493B350C-B379-4E3B-9AC8-E9E0B3B516DD}"/>
    <cellStyle name="Normal 9 3 2 2 2 3 2 3" xfId="12974" xr:uid="{12FC6DE3-A00B-4262-8D0C-55A9CE783F12}"/>
    <cellStyle name="Normal 9 3 2 2 2 3 3" xfId="5720" xr:uid="{00000000-0005-0000-0000-0000B41F0000}"/>
    <cellStyle name="Normal 9 3 2 2 2 3 3 2" xfId="15046" xr:uid="{C813C1B9-1FF6-4D04-BD92-D61C8AC7DF96}"/>
    <cellStyle name="Normal 9 3 2 2 2 3 4" xfId="10829" xr:uid="{B3D63277-A1BB-4B62-AB74-2BCD2170538D}"/>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874EFD00-35D3-487F-9396-77C002D7DAA6}"/>
    <cellStyle name="Normal 9 3 2 2 2 4 2 3" xfId="13387" xr:uid="{154F7645-DAA7-447A-AFC0-5C48D120FF47}"/>
    <cellStyle name="Normal 9 3 2 2 2 4 3" xfId="6133" xr:uid="{00000000-0005-0000-0000-0000B81F0000}"/>
    <cellStyle name="Normal 9 3 2 2 2 4 3 2" xfId="15459" xr:uid="{2300B4BF-2740-4BAC-8BA0-2500FEE7DBB6}"/>
    <cellStyle name="Normal 9 3 2 2 2 4 4" xfId="11242" xr:uid="{FB371827-A200-4798-8DB9-8FF4A99DD25E}"/>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78F0D35C-F1E1-4C68-AD40-DB0729CA3F6D}"/>
    <cellStyle name="Normal 9 3 2 2 2 5 2 3" xfId="13800" xr:uid="{93F8FB57-2A76-429F-B659-B57FCA37043E}"/>
    <cellStyle name="Normal 9 3 2 2 2 5 3" xfId="6546" xr:uid="{00000000-0005-0000-0000-0000BC1F0000}"/>
    <cellStyle name="Normal 9 3 2 2 2 5 3 2" xfId="15872" xr:uid="{DD4A3A9C-0FA0-4B24-8EBC-27155FBF8F85}"/>
    <cellStyle name="Normal 9 3 2 2 2 5 4" xfId="11655" xr:uid="{52A50183-877D-4A77-89F1-E91DC94B00DD}"/>
    <cellStyle name="Normal 9 3 2 2 2 6" xfId="2676" xr:uid="{00000000-0005-0000-0000-0000BD1F0000}"/>
    <cellStyle name="Normal 9 3 2 2 2 6 2" xfId="6959" xr:uid="{00000000-0005-0000-0000-0000BE1F0000}"/>
    <cellStyle name="Normal 9 3 2 2 2 6 2 2" xfId="16285" xr:uid="{56A00B01-C014-4911-A372-D093D4C07396}"/>
    <cellStyle name="Normal 9 3 2 2 2 6 3" xfId="12068" xr:uid="{A64C047C-3721-472A-8715-14197D833E94}"/>
    <cellStyle name="Normal 9 3 2 2 2 7" xfId="4894" xr:uid="{00000000-0005-0000-0000-0000BF1F0000}"/>
    <cellStyle name="Normal 9 3 2 2 2 7 2" xfId="14220" xr:uid="{5180F4A1-FE76-4617-BC92-703EFA2D93AE}"/>
    <cellStyle name="Normal 9 3 2 2 2 8" xfId="9150" xr:uid="{F54F74BE-A583-4C94-A198-8E0D27AD7F4F}"/>
    <cellStyle name="Normal 9 3 2 2 2 8 2" xfId="18474" xr:uid="{9C8C68F7-A976-41C0-9BEF-581357D47C7F}"/>
    <cellStyle name="Normal 9 3 2 2 2 9" xfId="10003" xr:uid="{A4F6BFB6-9830-41CF-85BD-D2C7ACF7412C}"/>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089D543A-C377-4E98-82FD-3049F9732DD7}"/>
    <cellStyle name="Normal 9 3 2 2 3 2 3" xfId="12560" xr:uid="{43BEBC59-E700-4EEE-B249-56E5066322B8}"/>
    <cellStyle name="Normal 9 3 2 2 3 3" xfId="5306" xr:uid="{00000000-0005-0000-0000-0000C31F0000}"/>
    <cellStyle name="Normal 9 3 2 2 3 3 2" xfId="14632" xr:uid="{37C86DE5-3001-4021-8271-16ED0CCBDFE3}"/>
    <cellStyle name="Normal 9 3 2 2 3 4" xfId="9368" xr:uid="{B3189122-1774-442D-BD5B-8DA329618536}"/>
    <cellStyle name="Normal 9 3 2 2 3 4 2" xfId="18683" xr:uid="{6A9C1E3B-4A86-4D11-B4DE-2329FC119354}"/>
    <cellStyle name="Normal 9 3 2 2 3 5" xfId="10415" xr:uid="{4698D73D-2A3C-402D-968E-72541448A0A3}"/>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72F25E7F-8AAD-45FF-A796-955613AF9429}"/>
    <cellStyle name="Normal 9 3 2 2 4 2 3" xfId="12973" xr:uid="{41D35477-A874-4761-88CD-9CDF56F5EFBE}"/>
    <cellStyle name="Normal 9 3 2 2 4 3" xfId="5719" xr:uid="{00000000-0005-0000-0000-0000C71F0000}"/>
    <cellStyle name="Normal 9 3 2 2 4 3 2" xfId="15045" xr:uid="{A3F3A13E-CAA4-4268-8A3D-4BE25EECE635}"/>
    <cellStyle name="Normal 9 3 2 2 4 4" xfId="10828" xr:uid="{49D14294-A1F8-44E8-ABD9-5924EE934102}"/>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1512881E-5711-4002-9945-B4488D2AD17A}"/>
    <cellStyle name="Normal 9 3 2 2 5 2 3" xfId="13386" xr:uid="{F77D2D86-39E3-4B5B-9C3F-80C8DB15573D}"/>
    <cellStyle name="Normal 9 3 2 2 5 3" xfId="6132" xr:uid="{00000000-0005-0000-0000-0000CB1F0000}"/>
    <cellStyle name="Normal 9 3 2 2 5 3 2" xfId="15458" xr:uid="{B9F64543-C97A-4B48-9DF6-092727D2AC14}"/>
    <cellStyle name="Normal 9 3 2 2 5 4" xfId="11241" xr:uid="{5B188ED4-817F-4555-975E-7638D6075786}"/>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F999FEFF-0AA0-4CC3-A16B-8BC38AD476F0}"/>
    <cellStyle name="Normal 9 3 2 2 6 2 3" xfId="13799" xr:uid="{A6DDE584-5561-4823-AB07-5068470DDD22}"/>
    <cellStyle name="Normal 9 3 2 2 6 3" xfId="6545" xr:uid="{00000000-0005-0000-0000-0000CF1F0000}"/>
    <cellStyle name="Normal 9 3 2 2 6 3 2" xfId="15871" xr:uid="{E1A191A9-615D-450A-9435-BBB19687C85E}"/>
    <cellStyle name="Normal 9 3 2 2 6 4" xfId="11654" xr:uid="{D588183D-065F-48B2-A409-00A3F918C726}"/>
    <cellStyle name="Normal 9 3 2 2 7" xfId="2675" xr:uid="{00000000-0005-0000-0000-0000D01F0000}"/>
    <cellStyle name="Normal 9 3 2 2 7 2" xfId="6958" xr:uid="{00000000-0005-0000-0000-0000D11F0000}"/>
    <cellStyle name="Normal 9 3 2 2 7 2 2" xfId="16284" xr:uid="{35239ABA-BB25-4850-A73C-8F4C8E4566E4}"/>
    <cellStyle name="Normal 9 3 2 2 7 3" xfId="12067" xr:uid="{11CFCCE9-E38C-4A41-8B7E-3EF34D91C520}"/>
    <cellStyle name="Normal 9 3 2 2 8" xfId="4893" xr:uid="{00000000-0005-0000-0000-0000D21F0000}"/>
    <cellStyle name="Normal 9 3 2 2 8 2" xfId="14219" xr:uid="{169328F8-F489-4EBA-BFB5-DB408032FF7A}"/>
    <cellStyle name="Normal 9 3 2 2 9" xfId="8943" xr:uid="{1E59706A-169E-45B8-A6E4-1A0514B9DDBD}"/>
    <cellStyle name="Normal 9 3 2 2 9 2" xfId="18267" xr:uid="{7CD71F97-7BD2-4564-9B5E-7AE190D1FD35}"/>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DD62FDD2-706E-40CD-AA80-F55FEED84131}"/>
    <cellStyle name="Normal 9 3 2 3 2 2 3" xfId="12562" xr:uid="{3B2D2AA7-9BF3-4EAF-88CF-21E6BF09A35B}"/>
    <cellStyle name="Normal 9 3 2 3 2 3" xfId="5308" xr:uid="{00000000-0005-0000-0000-0000D71F0000}"/>
    <cellStyle name="Normal 9 3 2 3 2 3 2" xfId="14634" xr:uid="{0975959A-9DD2-4158-BBF2-B45C8B1840F2}"/>
    <cellStyle name="Normal 9 3 2 3 2 4" xfId="9472" xr:uid="{427A8E71-9BC4-47C0-A855-6886AF96C97E}"/>
    <cellStyle name="Normal 9 3 2 3 2 4 2" xfId="18787" xr:uid="{E4D0BC89-2BFE-4ABF-B106-C467766CBA17}"/>
    <cellStyle name="Normal 9 3 2 3 2 5" xfId="10417" xr:uid="{CD813CC8-68F9-4390-930C-CABD2BAEACC2}"/>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44969565-45A8-4CFD-8B93-087EE03B3E11}"/>
    <cellStyle name="Normal 9 3 2 3 3 2 3" xfId="12975" xr:uid="{8776AFB1-2489-4C4A-B99D-0DED5B1A05FF}"/>
    <cellStyle name="Normal 9 3 2 3 3 3" xfId="5721" xr:uid="{00000000-0005-0000-0000-0000DB1F0000}"/>
    <cellStyle name="Normal 9 3 2 3 3 3 2" xfId="15047" xr:uid="{7BDEDCA2-49AF-42F5-ADEE-E172588BC4F4}"/>
    <cellStyle name="Normal 9 3 2 3 3 4" xfId="10830" xr:uid="{09D5A119-D7F3-4AB7-9B45-8577AD68F356}"/>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2404C5C3-9E0E-46E1-BE38-5E42B7F2FE12}"/>
    <cellStyle name="Normal 9 3 2 3 4 2 3" xfId="13388" xr:uid="{764A9191-E756-4DD8-ABBD-8ADF899543C7}"/>
    <cellStyle name="Normal 9 3 2 3 4 3" xfId="6134" xr:uid="{00000000-0005-0000-0000-0000DF1F0000}"/>
    <cellStyle name="Normal 9 3 2 3 4 3 2" xfId="15460" xr:uid="{FFFFB8FC-8294-45DB-99B5-3720F7F28FB2}"/>
    <cellStyle name="Normal 9 3 2 3 4 4" xfId="11243" xr:uid="{EBD52E9D-B90C-4B6E-AD34-A312B996CE65}"/>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599D8C2B-FA11-4EFA-9496-21254CB05491}"/>
    <cellStyle name="Normal 9 3 2 3 5 2 3" xfId="13801" xr:uid="{FFA76080-2B9E-4168-B8E5-CFF2EE7056D6}"/>
    <cellStyle name="Normal 9 3 2 3 5 3" xfId="6547" xr:uid="{00000000-0005-0000-0000-0000E31F0000}"/>
    <cellStyle name="Normal 9 3 2 3 5 3 2" xfId="15873" xr:uid="{C53AA61E-385F-4BC3-BE23-E0483FFDD642}"/>
    <cellStyle name="Normal 9 3 2 3 5 4" xfId="11656" xr:uid="{D21B3F75-D854-4934-A5A8-8144EB2820FC}"/>
    <cellStyle name="Normal 9 3 2 3 6" xfId="2677" xr:uid="{00000000-0005-0000-0000-0000E41F0000}"/>
    <cellStyle name="Normal 9 3 2 3 6 2" xfId="6960" xr:uid="{00000000-0005-0000-0000-0000E51F0000}"/>
    <cellStyle name="Normal 9 3 2 3 6 2 2" xfId="16286" xr:uid="{DE77EF97-E2DE-4CB8-83D5-55A1B98144D7}"/>
    <cellStyle name="Normal 9 3 2 3 6 3" xfId="12069" xr:uid="{8C6C5E28-22B7-4A59-B921-8030BC4C8731}"/>
    <cellStyle name="Normal 9 3 2 3 7" xfId="4895" xr:uid="{00000000-0005-0000-0000-0000E61F0000}"/>
    <cellStyle name="Normal 9 3 2 3 7 2" xfId="14221" xr:uid="{B6CAE385-4B40-43E7-B420-9B379FA02BB1}"/>
    <cellStyle name="Normal 9 3 2 3 8" xfId="9047" xr:uid="{4CBBBE80-D24B-484D-910E-0072EA0E95DD}"/>
    <cellStyle name="Normal 9 3 2 3 8 2" xfId="18371" xr:uid="{4AAAE19E-50AF-4F50-ABAA-71F70E605D1B}"/>
    <cellStyle name="Normal 9 3 2 3 9" xfId="10004" xr:uid="{ED3D01EC-70F5-4291-923E-D89BEC5FBE11}"/>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9A751970-7C8C-4FB6-9110-BBD3546E4160}"/>
    <cellStyle name="Normal 9 3 2 4 2 3" xfId="12559" xr:uid="{D5DE867B-F697-4341-9AB5-E8B4C158462E}"/>
    <cellStyle name="Normal 9 3 2 4 3" xfId="5305" xr:uid="{00000000-0005-0000-0000-0000EA1F0000}"/>
    <cellStyle name="Normal 9 3 2 4 3 2" xfId="14631" xr:uid="{0A7F6E24-DCBE-4FB8-BCA4-81472BF3FEB8}"/>
    <cellStyle name="Normal 9 3 2 4 4" xfId="9265" xr:uid="{BF00A9B8-67BA-48F6-8D48-0E4380D60577}"/>
    <cellStyle name="Normal 9 3 2 4 4 2" xfId="18580" xr:uid="{E84D8709-F455-4783-90BD-CAFBD0F9AE59}"/>
    <cellStyle name="Normal 9 3 2 4 5" xfId="10414" xr:uid="{AE822805-AD37-42C7-8AA3-F113695BC723}"/>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54198ACC-1C4A-4718-A211-A0555E18E5DD}"/>
    <cellStyle name="Normal 9 3 2 5 2 3" xfId="12972" xr:uid="{5A5BBB36-188E-48C0-AFF1-022D5283AFA8}"/>
    <cellStyle name="Normal 9 3 2 5 3" xfId="5718" xr:uid="{00000000-0005-0000-0000-0000EE1F0000}"/>
    <cellStyle name="Normal 9 3 2 5 3 2" xfId="15044" xr:uid="{2B6DD987-03AC-45B9-8F88-4CD5238A49D1}"/>
    <cellStyle name="Normal 9 3 2 5 4" xfId="10827" xr:uid="{FE58D431-9E84-4155-A81E-BF8808EB625D}"/>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8D4C9355-EFE0-40A9-8406-BC9A72B9925A}"/>
    <cellStyle name="Normal 9 3 2 6 2 3" xfId="13385" xr:uid="{10C0D665-6DA0-4918-B21E-3ED1715545AF}"/>
    <cellStyle name="Normal 9 3 2 6 3" xfId="6131" xr:uid="{00000000-0005-0000-0000-0000F21F0000}"/>
    <cellStyle name="Normal 9 3 2 6 3 2" xfId="15457" xr:uid="{5BFD4EBB-A695-47A2-8C90-51E8A0122D32}"/>
    <cellStyle name="Normal 9 3 2 6 4" xfId="11240" xr:uid="{57700585-89C3-485A-84F9-9982B3608862}"/>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B8125D6C-ED0A-4559-9469-7067BB90D572}"/>
    <cellStyle name="Normal 9 3 2 7 2 3" xfId="13798" xr:uid="{F74BEC28-88E5-436D-BF89-73CC54AE8467}"/>
    <cellStyle name="Normal 9 3 2 7 3" xfId="6544" xr:uid="{00000000-0005-0000-0000-0000F61F0000}"/>
    <cellStyle name="Normal 9 3 2 7 3 2" xfId="15870" xr:uid="{D3C1DDBE-3FE1-4057-9C05-8B08926E4C04}"/>
    <cellStyle name="Normal 9 3 2 7 4" xfId="11653" xr:uid="{309A4364-0684-4669-BCFF-DFCBF898342A}"/>
    <cellStyle name="Normal 9 3 2 8" xfId="2674" xr:uid="{00000000-0005-0000-0000-0000F71F0000}"/>
    <cellStyle name="Normal 9 3 2 8 2" xfId="6957" xr:uid="{00000000-0005-0000-0000-0000F81F0000}"/>
    <cellStyle name="Normal 9 3 2 8 2 2" xfId="16283" xr:uid="{0AFD5A97-388E-4FA1-9903-0A420EEED61A}"/>
    <cellStyle name="Normal 9 3 2 8 3" xfId="12066" xr:uid="{5EA848A0-9529-4A33-A39E-4C0961E30344}"/>
    <cellStyle name="Normal 9 3 2 9" xfId="4892" xr:uid="{00000000-0005-0000-0000-0000F91F0000}"/>
    <cellStyle name="Normal 9 3 2 9 2" xfId="14218" xr:uid="{7A9DBFDE-EDA8-4C74-9ADA-A6DAADC2670B}"/>
    <cellStyle name="Normal 9 3 3" xfId="532" xr:uid="{00000000-0005-0000-0000-0000FA1F0000}"/>
    <cellStyle name="Normal 9 3 3 10" xfId="10005" xr:uid="{6D54C056-72FB-43A5-A216-51D63D6841C1}"/>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D75D34F0-7C9A-4C55-83D2-9DF6F96C8995}"/>
    <cellStyle name="Normal 9 3 3 2 2 2 3" xfId="12564" xr:uid="{725A7DAD-4C5D-4DD5-8AA7-F1100516DB2F}"/>
    <cellStyle name="Normal 9 3 3 2 2 3" xfId="5310" xr:uid="{00000000-0005-0000-0000-0000FF1F0000}"/>
    <cellStyle name="Normal 9 3 3 2 2 3 2" xfId="14636" xr:uid="{8B1DFD59-5DA5-4791-9FC3-1F343B05DCCE}"/>
    <cellStyle name="Normal 9 3 3 2 2 4" xfId="9512" xr:uid="{2D87B26D-94B2-43FF-B3AD-59DF0A117D21}"/>
    <cellStyle name="Normal 9 3 3 2 2 4 2" xfId="18827" xr:uid="{AD77986F-21D0-4B5B-AB18-C860EC79E6F1}"/>
    <cellStyle name="Normal 9 3 3 2 2 5" xfId="10419" xr:uid="{D4045C34-AEFA-45C1-81A1-ACE34918608F}"/>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7ED48D34-3BF1-4186-8E8B-A1965D9630B9}"/>
    <cellStyle name="Normal 9 3 3 2 3 2 3" xfId="12977" xr:uid="{6A5B4A4C-6D6A-4C62-97EA-3E7017B5ED84}"/>
    <cellStyle name="Normal 9 3 3 2 3 3" xfId="5723" xr:uid="{00000000-0005-0000-0000-000003200000}"/>
    <cellStyle name="Normal 9 3 3 2 3 3 2" xfId="15049" xr:uid="{D40E0C02-BC4D-4428-B21E-4EDD42907A93}"/>
    <cellStyle name="Normal 9 3 3 2 3 4" xfId="10832" xr:uid="{B2421869-33E4-4DA9-9DA4-8E9BCC5F01CC}"/>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C7D9530D-E295-4736-BC86-877A9121A49E}"/>
    <cellStyle name="Normal 9 3 3 2 4 2 3" xfId="13390" xr:uid="{1EFC8BE2-B633-4838-9290-678906D6ACF3}"/>
    <cellStyle name="Normal 9 3 3 2 4 3" xfId="6136" xr:uid="{00000000-0005-0000-0000-000007200000}"/>
    <cellStyle name="Normal 9 3 3 2 4 3 2" xfId="15462" xr:uid="{2E5BD8D0-28E6-4861-AC2C-1121B54CDAAD}"/>
    <cellStyle name="Normal 9 3 3 2 4 4" xfId="11245" xr:uid="{8839499E-9DB5-42B1-8E84-2ADA5323A5D5}"/>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711A17C9-399C-4B90-A70B-7A3B3B86FE2D}"/>
    <cellStyle name="Normal 9 3 3 2 5 2 3" xfId="13803" xr:uid="{E1BA7070-B7F1-4754-9FCE-B2D56D4D4593}"/>
    <cellStyle name="Normal 9 3 3 2 5 3" xfId="6549" xr:uid="{00000000-0005-0000-0000-00000B200000}"/>
    <cellStyle name="Normal 9 3 3 2 5 3 2" xfId="15875" xr:uid="{495E50F5-E045-4465-89C9-94080915BEAF}"/>
    <cellStyle name="Normal 9 3 3 2 5 4" xfId="11658" xr:uid="{EAF67643-0A20-47C0-A2DC-095D6A235AF9}"/>
    <cellStyle name="Normal 9 3 3 2 6" xfId="2679" xr:uid="{00000000-0005-0000-0000-00000C200000}"/>
    <cellStyle name="Normal 9 3 3 2 6 2" xfId="6962" xr:uid="{00000000-0005-0000-0000-00000D200000}"/>
    <cellStyle name="Normal 9 3 3 2 6 2 2" xfId="16288" xr:uid="{D3C4A898-56EB-4425-9BFD-618E3F98B915}"/>
    <cellStyle name="Normal 9 3 3 2 6 3" xfId="12071" xr:uid="{56E5D00E-0640-4CB7-A970-1A565A49C5E6}"/>
    <cellStyle name="Normal 9 3 3 2 7" xfId="4897" xr:uid="{00000000-0005-0000-0000-00000E200000}"/>
    <cellStyle name="Normal 9 3 3 2 7 2" xfId="14223" xr:uid="{3215DD1E-277E-4732-AB23-FD3CD588C5EF}"/>
    <cellStyle name="Normal 9 3 3 2 8" xfId="9087" xr:uid="{B1C8DB1F-59B6-4D6A-B3E7-0CFC4D29D9A9}"/>
    <cellStyle name="Normal 9 3 3 2 8 2" xfId="18411" xr:uid="{4D08BA6E-0723-416B-903B-5C538401587D}"/>
    <cellStyle name="Normal 9 3 3 2 9" xfId="10006" xr:uid="{5C654A48-C547-4981-AC08-F2F8DD69AA6F}"/>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2A811C14-D490-4083-863A-8C838856D77D}"/>
    <cellStyle name="Normal 9 3 3 3 2 3" xfId="12563" xr:uid="{C572B7EC-B504-49CE-A83E-06EC8B6B570C}"/>
    <cellStyle name="Normal 9 3 3 3 3" xfId="5309" xr:uid="{00000000-0005-0000-0000-000012200000}"/>
    <cellStyle name="Normal 9 3 3 3 3 2" xfId="14635" xr:uid="{CCCEA953-9C55-47B5-8E0B-752A0930BFCB}"/>
    <cellStyle name="Normal 9 3 3 3 4" xfId="9305" xr:uid="{F54F3A88-B268-4905-B4D1-34B996B920C6}"/>
    <cellStyle name="Normal 9 3 3 3 4 2" xfId="18620" xr:uid="{5853650F-E91E-4C4F-9D8A-EECA979D0093}"/>
    <cellStyle name="Normal 9 3 3 3 5" xfId="10418" xr:uid="{C0022FED-517A-4446-B971-C0A29E674691}"/>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5C76EB51-E2EB-4435-8196-68DC14E4CDC7}"/>
    <cellStyle name="Normal 9 3 3 4 2 3" xfId="12976" xr:uid="{B2FF7A41-27BA-4F44-84B3-0E18F18C41D3}"/>
    <cellStyle name="Normal 9 3 3 4 3" xfId="5722" xr:uid="{00000000-0005-0000-0000-000016200000}"/>
    <cellStyle name="Normal 9 3 3 4 3 2" xfId="15048" xr:uid="{97AB14B0-3537-4E64-BDAC-8F6A27DDBAF0}"/>
    <cellStyle name="Normal 9 3 3 4 4" xfId="10831" xr:uid="{48C80FA0-82FA-4B7D-B751-EE003E3202D9}"/>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78BBBD50-5FCA-45D0-9CAE-EB5018526517}"/>
    <cellStyle name="Normal 9 3 3 5 2 3" xfId="13389" xr:uid="{0D20F71B-A17A-400F-9274-EE39C026356B}"/>
    <cellStyle name="Normal 9 3 3 5 3" xfId="6135" xr:uid="{00000000-0005-0000-0000-00001A200000}"/>
    <cellStyle name="Normal 9 3 3 5 3 2" xfId="15461" xr:uid="{1BFD65E1-7F9B-4528-91CC-4D742EFA6B9C}"/>
    <cellStyle name="Normal 9 3 3 5 4" xfId="11244" xr:uid="{70C44389-412A-4203-B907-114F2830EF0A}"/>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56D67284-95AC-4039-9AC7-6268F0D4BBAB}"/>
    <cellStyle name="Normal 9 3 3 6 2 3" xfId="13802" xr:uid="{9CA43D2D-0D84-4C29-97D3-4563ABC8343B}"/>
    <cellStyle name="Normal 9 3 3 6 3" xfId="6548" xr:uid="{00000000-0005-0000-0000-00001E200000}"/>
    <cellStyle name="Normal 9 3 3 6 3 2" xfId="15874" xr:uid="{63619234-04D5-42E2-832E-C0C1BB9CD13C}"/>
    <cellStyle name="Normal 9 3 3 6 4" xfId="11657" xr:uid="{62185CE9-AE44-4166-963B-6E4F8F586219}"/>
    <cellStyle name="Normal 9 3 3 7" xfId="2678" xr:uid="{00000000-0005-0000-0000-00001F200000}"/>
    <cellStyle name="Normal 9 3 3 7 2" xfId="6961" xr:uid="{00000000-0005-0000-0000-000020200000}"/>
    <cellStyle name="Normal 9 3 3 7 2 2" xfId="16287" xr:uid="{DA0AE29A-1B3D-4ED4-B7F4-7990430B5420}"/>
    <cellStyle name="Normal 9 3 3 7 3" xfId="12070" xr:uid="{00B03272-192E-4A95-8368-A1A0E9181559}"/>
    <cellStyle name="Normal 9 3 3 8" xfId="4896" xr:uid="{00000000-0005-0000-0000-000021200000}"/>
    <cellStyle name="Normal 9 3 3 8 2" xfId="14222" xr:uid="{4062D991-F879-4E72-B424-EEC31CF75B97}"/>
    <cellStyle name="Normal 9 3 3 9" xfId="8880" xr:uid="{36521590-FD5B-45F7-80A9-41BA557EA820}"/>
    <cellStyle name="Normal 9 3 3 9 2" xfId="18204" xr:uid="{0049A30F-54CF-4116-8369-8F4A7D32B672}"/>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C44DC78D-C9D8-4EDF-83B1-038F7B5F5397}"/>
    <cellStyle name="Normal 9 3 4 2 2 3" xfId="12565" xr:uid="{1075EA95-CB8C-4E83-8762-A9A575CD7029}"/>
    <cellStyle name="Normal 9 3 4 2 3" xfId="5311" xr:uid="{00000000-0005-0000-0000-000026200000}"/>
    <cellStyle name="Normal 9 3 4 2 3 2" xfId="14637" xr:uid="{C62E6DC1-60D1-4403-8F2C-D6631515FC4C}"/>
    <cellStyle name="Normal 9 3 4 2 4" xfId="9409" xr:uid="{F8EFC02C-357C-44AD-9BF7-6459F3C595DA}"/>
    <cellStyle name="Normal 9 3 4 2 4 2" xfId="18724" xr:uid="{6A7A8852-C486-4781-AEAD-6221F79A47AC}"/>
    <cellStyle name="Normal 9 3 4 2 5" xfId="10420" xr:uid="{4087EB90-58A8-47BD-B715-C482421F7C4E}"/>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82BE82BB-7439-48B1-B199-39C6DF42511C}"/>
    <cellStyle name="Normal 9 3 4 3 2 3" xfId="12978" xr:uid="{D01B00B0-D8B7-4D7B-8895-6DF08709E1BD}"/>
    <cellStyle name="Normal 9 3 4 3 3" xfId="5724" xr:uid="{00000000-0005-0000-0000-00002A200000}"/>
    <cellStyle name="Normal 9 3 4 3 3 2" xfId="15050" xr:uid="{E97FA71A-94F9-4D7F-AE86-873497F223E8}"/>
    <cellStyle name="Normal 9 3 4 3 4" xfId="10833" xr:uid="{64FD68C2-C613-4CE5-9C34-7D12AA8E72B8}"/>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1EA444D9-58C7-4D0D-A038-25A478544BB8}"/>
    <cellStyle name="Normal 9 3 4 4 2 3" xfId="13391" xr:uid="{64E63FC7-797D-47BA-A18A-C0923EF1581A}"/>
    <cellStyle name="Normal 9 3 4 4 3" xfId="6137" xr:uid="{00000000-0005-0000-0000-00002E200000}"/>
    <cellStyle name="Normal 9 3 4 4 3 2" xfId="15463" xr:uid="{CF2BCB54-EB1D-43E0-A8DD-8DE09AD2C43E}"/>
    <cellStyle name="Normal 9 3 4 4 4" xfId="11246" xr:uid="{4B37D120-CA8D-44F6-8258-F99408CF82B7}"/>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746BCC45-9370-42EE-9478-83F8139ACC4A}"/>
    <cellStyle name="Normal 9 3 4 5 2 3" xfId="13804" xr:uid="{EE079006-1C5E-4FDE-8AC7-0E2CD43E180F}"/>
    <cellStyle name="Normal 9 3 4 5 3" xfId="6550" xr:uid="{00000000-0005-0000-0000-000032200000}"/>
    <cellStyle name="Normal 9 3 4 5 3 2" xfId="15876" xr:uid="{B1D0435C-4356-4D8C-A00B-AB3F9A3D010B}"/>
    <cellStyle name="Normal 9 3 4 5 4" xfId="11659" xr:uid="{4A46A022-B59E-4E9E-AB1C-8069BC9AE195}"/>
    <cellStyle name="Normal 9 3 4 6" xfId="2680" xr:uid="{00000000-0005-0000-0000-000033200000}"/>
    <cellStyle name="Normal 9 3 4 6 2" xfId="6963" xr:uid="{00000000-0005-0000-0000-000034200000}"/>
    <cellStyle name="Normal 9 3 4 6 2 2" xfId="16289" xr:uid="{2A72A0DC-011F-4CFD-8722-E655E77A81E7}"/>
    <cellStyle name="Normal 9 3 4 6 3" xfId="12072" xr:uid="{E24A5E2C-457E-43CF-B891-DC4A559DD541}"/>
    <cellStyle name="Normal 9 3 4 7" xfId="4898" xr:uid="{00000000-0005-0000-0000-000035200000}"/>
    <cellStyle name="Normal 9 3 4 7 2" xfId="14224" xr:uid="{99E533D8-EA15-42F4-988A-129BF3D3B46F}"/>
    <cellStyle name="Normal 9 3 4 8" xfId="8984" xr:uid="{A39B104A-EAEF-4D5B-B504-6104111E924B}"/>
    <cellStyle name="Normal 9 3 4 8 2" xfId="18308" xr:uid="{B309B640-A2E4-4FA1-B268-1F164B86BAB9}"/>
    <cellStyle name="Normal 9 3 4 9" xfId="10007" xr:uid="{56A6DCCE-339F-4CD0-A86C-4B8C664EDA91}"/>
    <cellStyle name="Normal 9 3 5" xfId="994" xr:uid="{00000000-0005-0000-0000-000036200000}"/>
    <cellStyle name="Normal 9 3 5 2" xfId="3227" xr:uid="{00000000-0005-0000-0000-000037200000}"/>
    <cellStyle name="Normal 9 3 5 2 2" xfId="7449" xr:uid="{00000000-0005-0000-0000-000038200000}"/>
    <cellStyle name="Normal 9 3 5 2 2 2" xfId="16775" xr:uid="{8D273AF9-6619-4C36-9145-75FD1E8A9727}"/>
    <cellStyle name="Normal 9 3 5 2 3" xfId="12558" xr:uid="{1DB251E9-84E2-4CB8-A926-72F27599692B}"/>
    <cellStyle name="Normal 9 3 5 3" xfId="5304" xr:uid="{00000000-0005-0000-0000-000039200000}"/>
    <cellStyle name="Normal 9 3 5 3 2" xfId="14630" xr:uid="{5B862690-7C19-4F5C-A34D-C538769B50E0}"/>
    <cellStyle name="Normal 9 3 5 4" xfId="9201" xr:uid="{46D523D7-8DEB-46FB-8F1C-8CE8C2FC3AD3}"/>
    <cellStyle name="Normal 9 3 5 4 2" xfId="18517" xr:uid="{B3674E81-59DA-4DC3-B344-3EB770F4FDB7}"/>
    <cellStyle name="Normal 9 3 5 5" xfId="10413" xr:uid="{233CDBE7-D2DA-4E71-B278-EA2FE7AA8C25}"/>
    <cellStyle name="Normal 9 3 6" xfId="1410" xr:uid="{00000000-0005-0000-0000-00003A200000}"/>
    <cellStyle name="Normal 9 3 6 2" xfId="3640" xr:uid="{00000000-0005-0000-0000-00003B200000}"/>
    <cellStyle name="Normal 9 3 6 2 2" xfId="7862" xr:uid="{00000000-0005-0000-0000-00003C200000}"/>
    <cellStyle name="Normal 9 3 6 2 2 2" xfId="17188" xr:uid="{5DD5EC0F-E562-4DD5-8ABD-2997AEAC0786}"/>
    <cellStyle name="Normal 9 3 6 2 3" xfId="12971" xr:uid="{69E47EEF-E400-4E3C-8569-6A2D70F9237F}"/>
    <cellStyle name="Normal 9 3 6 3" xfId="5717" xr:uid="{00000000-0005-0000-0000-00003D200000}"/>
    <cellStyle name="Normal 9 3 6 3 2" xfId="15043" xr:uid="{E9650198-2C8B-482D-9987-2086198A74F2}"/>
    <cellStyle name="Normal 9 3 6 4" xfId="10826" xr:uid="{2C3E9393-0992-48F8-A926-2D2E95DD4091}"/>
    <cellStyle name="Normal 9 3 7" xfId="1823" xr:uid="{00000000-0005-0000-0000-00003E200000}"/>
    <cellStyle name="Normal 9 3 7 2" xfId="4053" xr:uid="{00000000-0005-0000-0000-00003F200000}"/>
    <cellStyle name="Normal 9 3 7 2 2" xfId="8275" xr:uid="{00000000-0005-0000-0000-000040200000}"/>
    <cellStyle name="Normal 9 3 7 2 2 2" xfId="17601" xr:uid="{E1F7AAD7-8ED8-4C67-90C1-F4042F0ED941}"/>
    <cellStyle name="Normal 9 3 7 2 3" xfId="13384" xr:uid="{1AAB689D-9708-47D2-ADBE-A9473981706E}"/>
    <cellStyle name="Normal 9 3 7 3" xfId="6130" xr:uid="{00000000-0005-0000-0000-000041200000}"/>
    <cellStyle name="Normal 9 3 7 3 2" xfId="15456" xr:uid="{FE6B4364-8CA9-4B0A-BFB4-DAD325A0B332}"/>
    <cellStyle name="Normal 9 3 7 4" xfId="11239" xr:uid="{94AE8B5D-AF8B-4A39-94C6-53DB6C1F07D0}"/>
    <cellStyle name="Normal 9 3 8" xfId="2237" xr:uid="{00000000-0005-0000-0000-000042200000}"/>
    <cellStyle name="Normal 9 3 8 2" xfId="4466" xr:uid="{00000000-0005-0000-0000-000043200000}"/>
    <cellStyle name="Normal 9 3 8 2 2" xfId="8688" xr:uid="{00000000-0005-0000-0000-000044200000}"/>
    <cellStyle name="Normal 9 3 8 2 2 2" xfId="18014" xr:uid="{FF13D3CF-CE87-456F-AAF8-196751784E60}"/>
    <cellStyle name="Normal 9 3 8 2 3" xfId="13797" xr:uid="{C079E37F-AFF6-4D82-9BA5-016D8297C5F7}"/>
    <cellStyle name="Normal 9 3 8 3" xfId="6543" xr:uid="{00000000-0005-0000-0000-000045200000}"/>
    <cellStyle name="Normal 9 3 8 3 2" xfId="15869" xr:uid="{00B28646-7F22-4FDD-81B4-83A22901146E}"/>
    <cellStyle name="Normal 9 3 8 4" xfId="11652" xr:uid="{F27255ED-94A4-4827-B8A2-D6F33BFECE43}"/>
    <cellStyle name="Normal 9 3 9" xfId="2673" xr:uid="{00000000-0005-0000-0000-000046200000}"/>
    <cellStyle name="Normal 9 3 9 2" xfId="6956" xr:uid="{00000000-0005-0000-0000-000047200000}"/>
    <cellStyle name="Normal 9 3 9 2 2" xfId="16282" xr:uid="{BA9E309A-DAED-4E8E-8C48-D55D2E404176}"/>
    <cellStyle name="Normal 9 3 9 3" xfId="12065" xr:uid="{A542A65C-CAFD-4AD0-9372-8EC7635CD305}"/>
    <cellStyle name="Normal 9 4" xfId="535" xr:uid="{00000000-0005-0000-0000-000048200000}"/>
    <cellStyle name="Normal 9 4 2" xfId="1002" xr:uid="{00000000-0005-0000-0000-000049200000}"/>
    <cellStyle name="Normal 9 5" xfId="536" xr:uid="{00000000-0005-0000-0000-00004A200000}"/>
    <cellStyle name="Normal 9 5 10" xfId="10008" xr:uid="{CC4755A3-AB17-4199-BAB2-C29F8F91F4E3}"/>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A7335F63-E358-4B0C-A8A3-240C100E0C00}"/>
    <cellStyle name="Normal 9 5 2 2 2 3" xfId="12567" xr:uid="{0CE6FAC3-C243-44A2-B2B3-1009AABE3CDE}"/>
    <cellStyle name="Normal 9 5 2 2 3" xfId="5313" xr:uid="{00000000-0005-0000-0000-00004F200000}"/>
    <cellStyle name="Normal 9 5 2 2 3 2" xfId="14639" xr:uid="{C9C427CD-A399-4357-877C-69D451ABAD99}"/>
    <cellStyle name="Normal 9 5 2 2 4" xfId="9480" xr:uid="{BC9702BE-C2B3-450A-99DF-6FFE7C7A82FD}"/>
    <cellStyle name="Normal 9 5 2 2 4 2" xfId="18795" xr:uid="{0341D3A6-A3D8-439E-90BD-9D79840027FD}"/>
    <cellStyle name="Normal 9 5 2 2 5" xfId="10422" xr:uid="{8D07CB58-E6C4-4576-BB5F-8852607C31DE}"/>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6FAD0132-9EEF-4CB3-B0BB-DC1C6FB9EFBD}"/>
    <cellStyle name="Normal 9 5 2 3 2 3" xfId="12980" xr:uid="{09AF6069-E7B9-4F63-B6F1-75CCE96D89A0}"/>
    <cellStyle name="Normal 9 5 2 3 3" xfId="5726" xr:uid="{00000000-0005-0000-0000-000053200000}"/>
    <cellStyle name="Normal 9 5 2 3 3 2" xfId="15052" xr:uid="{AA18487F-654B-4F0D-A670-A445F1BC6DEE}"/>
    <cellStyle name="Normal 9 5 2 3 4" xfId="10835" xr:uid="{4BE8EB19-52DD-43B1-9FE5-705CAC87BEA8}"/>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7CE9FFD8-BD96-49DD-8F34-8C603ACF4BF4}"/>
    <cellStyle name="Normal 9 5 2 4 2 3" xfId="13393" xr:uid="{421D71A6-BF34-4462-A235-E8BC742FDF77}"/>
    <cellStyle name="Normal 9 5 2 4 3" xfId="6139" xr:uid="{00000000-0005-0000-0000-000057200000}"/>
    <cellStyle name="Normal 9 5 2 4 3 2" xfId="15465" xr:uid="{09A002B2-7538-4A34-8227-C09E4A434F03}"/>
    <cellStyle name="Normal 9 5 2 4 4" xfId="11248" xr:uid="{EC7C42D9-4677-422C-A39D-E24E07EC4985}"/>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B307CA74-C77B-4077-8E8E-408226D5901E}"/>
    <cellStyle name="Normal 9 5 2 5 2 3" xfId="13806" xr:uid="{A53C74B8-725C-4FF0-956E-F96CB0B9E4D8}"/>
    <cellStyle name="Normal 9 5 2 5 3" xfId="6552" xr:uid="{00000000-0005-0000-0000-00005B200000}"/>
    <cellStyle name="Normal 9 5 2 5 3 2" xfId="15878" xr:uid="{44E1D2AD-5DBC-416F-B7C0-BFFEAA1D7CC1}"/>
    <cellStyle name="Normal 9 5 2 5 4" xfId="11661" xr:uid="{02ED4206-F890-404D-857C-BB33655CAF6F}"/>
    <cellStyle name="Normal 9 5 2 6" xfId="2682" xr:uid="{00000000-0005-0000-0000-00005C200000}"/>
    <cellStyle name="Normal 9 5 2 6 2" xfId="6965" xr:uid="{00000000-0005-0000-0000-00005D200000}"/>
    <cellStyle name="Normal 9 5 2 6 2 2" xfId="16291" xr:uid="{721145B7-1622-4F59-88F2-AF851AE79B27}"/>
    <cellStyle name="Normal 9 5 2 6 3" xfId="12074" xr:uid="{245D057D-E023-4562-A23C-A7637DE4BA1C}"/>
    <cellStyle name="Normal 9 5 2 7" xfId="4900" xr:uid="{00000000-0005-0000-0000-00005E200000}"/>
    <cellStyle name="Normal 9 5 2 7 2" xfId="14226" xr:uid="{4D3E830E-5224-41F4-B86A-210789A53176}"/>
    <cellStyle name="Normal 9 5 2 8" xfId="9055" xr:uid="{3DD071E2-A4B3-45E3-9F20-3C2D5AEE5CB2}"/>
    <cellStyle name="Normal 9 5 2 8 2" xfId="18379" xr:uid="{8A13E9A2-CDBF-4631-B12E-736D12A8A581}"/>
    <cellStyle name="Normal 9 5 2 9" xfId="10009" xr:uid="{7D7C13DC-C40C-4DEA-89D9-9BFEFFA20079}"/>
    <cellStyle name="Normal 9 5 3" xfId="1003" xr:uid="{00000000-0005-0000-0000-00005F200000}"/>
    <cellStyle name="Normal 9 5 3 2" xfId="3235" xr:uid="{00000000-0005-0000-0000-000060200000}"/>
    <cellStyle name="Normal 9 5 3 2 2" xfId="7457" xr:uid="{00000000-0005-0000-0000-000061200000}"/>
    <cellStyle name="Normal 9 5 3 2 2 2" xfId="16783" xr:uid="{0EFFFE26-6D4F-45CB-BD9F-0B4B4595B77A}"/>
    <cellStyle name="Normal 9 5 3 2 3" xfId="12566" xr:uid="{D93BCA5A-3BAA-4309-8EDC-2A7C8FF9E664}"/>
    <cellStyle name="Normal 9 5 3 3" xfId="5312" xr:uid="{00000000-0005-0000-0000-000062200000}"/>
    <cellStyle name="Normal 9 5 3 3 2" xfId="14638" xr:uid="{23B0737E-EACF-433D-9EA1-68FEA0F19C69}"/>
    <cellStyle name="Normal 9 5 3 4" xfId="9273" xr:uid="{AE6CB61B-02C5-436E-A328-3B2AC8AC9E53}"/>
    <cellStyle name="Normal 9 5 3 4 2" xfId="18588" xr:uid="{183F3654-C455-46C3-A6C9-B4B0355B9BC2}"/>
    <cellStyle name="Normal 9 5 3 5" xfId="10421" xr:uid="{A001946E-38B9-41F1-92C0-B0C765174CC0}"/>
    <cellStyle name="Normal 9 5 4" xfId="1418" xr:uid="{00000000-0005-0000-0000-000063200000}"/>
    <cellStyle name="Normal 9 5 4 2" xfId="3648" xr:uid="{00000000-0005-0000-0000-000064200000}"/>
    <cellStyle name="Normal 9 5 4 2 2" xfId="7870" xr:uid="{00000000-0005-0000-0000-000065200000}"/>
    <cellStyle name="Normal 9 5 4 2 2 2" xfId="17196" xr:uid="{8AC526A2-2EC8-4C69-A712-A83C44E3C5D7}"/>
    <cellStyle name="Normal 9 5 4 2 3" xfId="12979" xr:uid="{487B14F4-5C38-4CEA-BD32-F344A267FA34}"/>
    <cellStyle name="Normal 9 5 4 3" xfId="5725" xr:uid="{00000000-0005-0000-0000-000066200000}"/>
    <cellStyle name="Normal 9 5 4 3 2" xfId="15051" xr:uid="{9EBBAA06-6AF3-49B7-A0AC-22F6ADDB9357}"/>
    <cellStyle name="Normal 9 5 4 4" xfId="10834" xr:uid="{AC1DFDB2-D71A-4EAA-92A1-8D3DCE6A903F}"/>
    <cellStyle name="Normal 9 5 5" xfId="1831" xr:uid="{00000000-0005-0000-0000-000067200000}"/>
    <cellStyle name="Normal 9 5 5 2" xfId="4061" xr:uid="{00000000-0005-0000-0000-000068200000}"/>
    <cellStyle name="Normal 9 5 5 2 2" xfId="8283" xr:uid="{00000000-0005-0000-0000-000069200000}"/>
    <cellStyle name="Normal 9 5 5 2 2 2" xfId="17609" xr:uid="{C72117F8-B1A7-43A8-A2D3-AC8B72848ECE}"/>
    <cellStyle name="Normal 9 5 5 2 3" xfId="13392" xr:uid="{026E4D14-A5CB-4A41-AA46-4E74B2BB9871}"/>
    <cellStyle name="Normal 9 5 5 3" xfId="6138" xr:uid="{00000000-0005-0000-0000-00006A200000}"/>
    <cellStyle name="Normal 9 5 5 3 2" xfId="15464" xr:uid="{BD9346D1-F6BC-4AB9-A7F2-A5CC41BBF3BF}"/>
    <cellStyle name="Normal 9 5 5 4" xfId="11247" xr:uid="{65B8C30E-CCA0-4C9D-AE1B-EC4E251F10AD}"/>
    <cellStyle name="Normal 9 5 6" xfId="2245" xr:uid="{00000000-0005-0000-0000-00006B200000}"/>
    <cellStyle name="Normal 9 5 6 2" xfId="4474" xr:uid="{00000000-0005-0000-0000-00006C200000}"/>
    <cellStyle name="Normal 9 5 6 2 2" xfId="8696" xr:uid="{00000000-0005-0000-0000-00006D200000}"/>
    <cellStyle name="Normal 9 5 6 2 2 2" xfId="18022" xr:uid="{43039D57-1783-483C-85D6-ACC4946A8790}"/>
    <cellStyle name="Normal 9 5 6 2 3" xfId="13805" xr:uid="{7763624A-EE79-4A2D-9C2B-BC672F95A2E5}"/>
    <cellStyle name="Normal 9 5 6 3" xfId="6551" xr:uid="{00000000-0005-0000-0000-00006E200000}"/>
    <cellStyle name="Normal 9 5 6 3 2" xfId="15877" xr:uid="{23A7375A-87F4-4AFD-955D-850B47D944D9}"/>
    <cellStyle name="Normal 9 5 6 4" xfId="11660" xr:uid="{25AE3F25-4EEB-49BF-B19B-C70E188542B8}"/>
    <cellStyle name="Normal 9 5 7" xfId="2681" xr:uid="{00000000-0005-0000-0000-00006F200000}"/>
    <cellStyle name="Normal 9 5 7 2" xfId="6964" xr:uid="{00000000-0005-0000-0000-000070200000}"/>
    <cellStyle name="Normal 9 5 7 2 2" xfId="16290" xr:uid="{9C006117-9F42-4FE7-A8C4-08440C32AA02}"/>
    <cellStyle name="Normal 9 5 7 3" xfId="12073" xr:uid="{0692D215-6CC3-4EC4-A627-695E20609A94}"/>
    <cellStyle name="Normal 9 5 8" xfId="4899" xr:uid="{00000000-0005-0000-0000-000071200000}"/>
    <cellStyle name="Normal 9 5 8 2" xfId="14225" xr:uid="{3ED1CF53-834D-4EE0-839E-136C65CE53EA}"/>
    <cellStyle name="Normal 9 5 9" xfId="8848" xr:uid="{B1BE5F70-14E5-42B6-9EBA-D267F3B60A08}"/>
    <cellStyle name="Normal 9 5 9 2" xfId="18172" xr:uid="{EAC061CA-5103-4D56-905D-7AE6F74F5F6E}"/>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85" xr:uid="{9199901E-14CF-4DC3-A8FB-9CB0C500BE63}"/>
    <cellStyle name="Normal 9 6 2 2 3" xfId="12568" xr:uid="{D017BAAA-756F-4758-B23F-06F3D50455AD}"/>
    <cellStyle name="Normal 9 6 2 3" xfId="5314" xr:uid="{00000000-0005-0000-0000-000076200000}"/>
    <cellStyle name="Normal 9 6 2 3 2" xfId="14640" xr:uid="{7AFE2517-333E-4291-A8B0-13FAD99E3AE0}"/>
    <cellStyle name="Normal 9 6 2 4" xfId="9389" xr:uid="{2A0458F6-466A-4C3B-BA39-FF09FD770FDD}"/>
    <cellStyle name="Normal 9 6 2 4 2" xfId="18704" xr:uid="{462592A8-C351-482B-B2F8-D38C280EB52A}"/>
    <cellStyle name="Normal 9 6 2 5" xfId="10423" xr:uid="{86476A60-64AD-463E-814F-73568C7CA84D}"/>
    <cellStyle name="Normal 9 6 3" xfId="1420" xr:uid="{00000000-0005-0000-0000-000077200000}"/>
    <cellStyle name="Normal 9 6 3 2" xfId="3650" xr:uid="{00000000-0005-0000-0000-000078200000}"/>
    <cellStyle name="Normal 9 6 3 2 2" xfId="7872" xr:uid="{00000000-0005-0000-0000-000079200000}"/>
    <cellStyle name="Normal 9 6 3 2 2 2" xfId="17198" xr:uid="{96B3B4A2-B9E0-4CA4-ABE7-D7007457AE1E}"/>
    <cellStyle name="Normal 9 6 3 2 3" xfId="12981" xr:uid="{41899CF4-CDA4-46EE-9719-6D701B79B99A}"/>
    <cellStyle name="Normal 9 6 3 3" xfId="5727" xr:uid="{00000000-0005-0000-0000-00007A200000}"/>
    <cellStyle name="Normal 9 6 3 3 2" xfId="15053" xr:uid="{958ED78E-C30F-47B9-A419-7EA9CA74EE99}"/>
    <cellStyle name="Normal 9 6 3 4" xfId="10836" xr:uid="{2B26A767-2672-4496-A0E2-62400EBA6D66}"/>
    <cellStyle name="Normal 9 6 4" xfId="1833" xr:uid="{00000000-0005-0000-0000-00007B200000}"/>
    <cellStyle name="Normal 9 6 4 2" xfId="4063" xr:uid="{00000000-0005-0000-0000-00007C200000}"/>
    <cellStyle name="Normal 9 6 4 2 2" xfId="8285" xr:uid="{00000000-0005-0000-0000-00007D200000}"/>
    <cellStyle name="Normal 9 6 4 2 2 2" xfId="17611" xr:uid="{DD55B21C-B848-4A3D-8398-A74B1E465F31}"/>
    <cellStyle name="Normal 9 6 4 2 3" xfId="13394" xr:uid="{E42E06C4-290D-4D19-8303-C0D7485A50B1}"/>
    <cellStyle name="Normal 9 6 4 3" xfId="6140" xr:uid="{00000000-0005-0000-0000-00007E200000}"/>
    <cellStyle name="Normal 9 6 4 3 2" xfId="15466" xr:uid="{22477B8D-7779-41E8-810C-2246BDD9A81C}"/>
    <cellStyle name="Normal 9 6 4 4" xfId="11249" xr:uid="{254A337C-8701-4351-8161-6824C94C51F1}"/>
    <cellStyle name="Normal 9 6 5" xfId="2247" xr:uid="{00000000-0005-0000-0000-00007F200000}"/>
    <cellStyle name="Normal 9 6 5 2" xfId="4476" xr:uid="{00000000-0005-0000-0000-000080200000}"/>
    <cellStyle name="Normal 9 6 5 2 2" xfId="8698" xr:uid="{00000000-0005-0000-0000-000081200000}"/>
    <cellStyle name="Normal 9 6 5 2 2 2" xfId="18024" xr:uid="{5C7089EA-F02B-4277-AFF7-38446FF28482}"/>
    <cellStyle name="Normal 9 6 5 2 3" xfId="13807" xr:uid="{F0B3B122-4389-4B81-A380-4C17F27A21B2}"/>
    <cellStyle name="Normal 9 6 5 3" xfId="6553" xr:uid="{00000000-0005-0000-0000-000082200000}"/>
    <cellStyle name="Normal 9 6 5 3 2" xfId="15879" xr:uid="{8DB4BAF6-D173-432E-8D80-A0BF2B044B09}"/>
    <cellStyle name="Normal 9 6 5 4" xfId="11662" xr:uid="{5D6C9620-F227-444D-A805-4CFD5F1CEA2D}"/>
    <cellStyle name="Normal 9 6 6" xfId="2683" xr:uid="{00000000-0005-0000-0000-000083200000}"/>
    <cellStyle name="Normal 9 6 6 2" xfId="6966" xr:uid="{00000000-0005-0000-0000-000084200000}"/>
    <cellStyle name="Normal 9 6 6 2 2" xfId="16292" xr:uid="{0426562D-F3C9-472E-945F-0F341651A0E8}"/>
    <cellStyle name="Normal 9 6 6 3" xfId="12075" xr:uid="{69B382D1-2AB3-42C4-8A03-A91E7301FBB8}"/>
    <cellStyle name="Normal 9 6 7" xfId="4901" xr:uid="{00000000-0005-0000-0000-000085200000}"/>
    <cellStyle name="Normal 9 6 7 2" xfId="14227" xr:uid="{7FC8614E-D2F0-4D9F-9459-FCF1AE81F018}"/>
    <cellStyle name="Normal 9 6 8" xfId="8964" xr:uid="{9BBC9C46-7A3A-4BC9-9542-DC33DFA165C2}"/>
    <cellStyle name="Normal 9 6 8 2" xfId="18288" xr:uid="{947F4F85-FCD7-4D03-BA54-D17C29777AC1}"/>
    <cellStyle name="Normal 9 6 9" xfId="10010" xr:uid="{937685C0-CA4C-4E7D-8C30-E149860DFB58}"/>
    <cellStyle name="Normal 9 7" xfId="977" xr:uid="{00000000-0005-0000-0000-000086200000}"/>
    <cellStyle name="Normal 9 7 2" xfId="9609" xr:uid="{1246D22D-2382-4FAF-A8D6-CB26E2B9F9CE}"/>
    <cellStyle name="Normal 9 7 3" xfId="9167" xr:uid="{F9EED645-1D44-43CF-99A5-77176BA4CE36}"/>
    <cellStyle name="Normal 9 7 3 2" xfId="18485" xr:uid="{FEA4FC8D-E4F5-4E8E-8FEF-4FA33435C36D}"/>
    <cellStyle name="Normal 9 8" xfId="8745" xr:uid="{C1852A12-4F74-491B-976C-56AD8D4478B4}"/>
    <cellStyle name="Normal 9 8 2" xfId="18069" xr:uid="{5C307718-889E-4AA5-BB71-F8473BA93A01}"/>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98C0D3FF-FECC-480C-9193-0E1FF28596B8}"/>
    <cellStyle name="Note 2 2 10 3" xfId="12156" xr:uid="{B8E77C2E-3746-43E7-A305-A19ADE4DA8D4}"/>
    <cellStyle name="Note 2 2 11" xfId="4902" xr:uid="{00000000-0005-0000-0000-000094200000}"/>
    <cellStyle name="Note 2 2 11 2" xfId="14228" xr:uid="{4053270D-09E9-4B6E-BE2E-982590DAD4C2}"/>
    <cellStyle name="Note 2 2 12" xfId="8841" xr:uid="{E94E1FD8-31C4-4718-9658-C7A587CBF323}"/>
    <cellStyle name="Note 2 2 12 2" xfId="18165" xr:uid="{A95A5219-19BC-4D96-976D-9A10A152873E}"/>
    <cellStyle name="Note 2 2 13" xfId="10011" xr:uid="{E94B3462-E898-476B-951A-2A609206E2AA}"/>
    <cellStyle name="Note 2 2 2" xfId="546" xr:uid="{00000000-0005-0000-0000-000095200000}"/>
    <cellStyle name="Note 2 2 2 10" xfId="4903" xr:uid="{00000000-0005-0000-0000-000096200000}"/>
    <cellStyle name="Note 2 2 2 10 2" xfId="14229" xr:uid="{D71B783E-5EF2-4976-B7C0-2069D38B3D29}"/>
    <cellStyle name="Note 2 2 2 11" xfId="8944" xr:uid="{B75A3404-A4A3-41D6-B6C3-54560C6DD592}"/>
    <cellStyle name="Note 2 2 2 11 2" xfId="18268" xr:uid="{286B8E2A-D795-4B9E-A1F9-3336EB25ADA4}"/>
    <cellStyle name="Note 2 2 2 12" xfId="10012" xr:uid="{88DB37B6-D385-4E73-B4A7-65B235F48EEA}"/>
    <cellStyle name="Note 2 2 2 2" xfId="547" xr:uid="{00000000-0005-0000-0000-000097200000}"/>
    <cellStyle name="Note 2 2 2 2 10" xfId="9151" xr:uid="{DE810DD8-00EC-4339-9CFC-C84D5E182971}"/>
    <cellStyle name="Note 2 2 2 2 10 2" xfId="18475" xr:uid="{33CED039-586A-4B3C-9F70-7534F76BDEDC}"/>
    <cellStyle name="Note 2 2 2 2 11" xfId="10013" xr:uid="{C752A6D1-96E8-4A16-B9EA-9C60FAFB49CB}"/>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04F5DDEF-536C-4467-8CDD-082346CE328F}"/>
    <cellStyle name="Note 2 2 2 2 2 2 3" xfId="12571" xr:uid="{91FE2054-28AF-4248-96FF-211ED3E8284F}"/>
    <cellStyle name="Note 2 2 2 2 2 3" xfId="5317" xr:uid="{00000000-0005-0000-0000-00009B200000}"/>
    <cellStyle name="Note 2 2 2 2 2 3 2" xfId="14643" xr:uid="{0A4E0796-D083-423F-8705-914C9022E681}"/>
    <cellStyle name="Note 2 2 2 2 2 4" xfId="9576" xr:uid="{375E296C-598F-454E-B7C4-9E851CE02ED2}"/>
    <cellStyle name="Note 2 2 2 2 2 4 2" xfId="18891" xr:uid="{AA3E2F3B-C062-42D7-8A46-C47F340835E9}"/>
    <cellStyle name="Note 2 2 2 2 2 5" xfId="10426" xr:uid="{ACB8C6AB-1418-4B49-AFCF-1EFDF3594CE9}"/>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6C4AE88F-0E5D-4C46-A6D7-D7D377F99F7D}"/>
    <cellStyle name="Note 2 2 2 2 3 2 3" xfId="12984" xr:uid="{8487DD69-86F1-4ED1-BDDF-0C51D964F2D8}"/>
    <cellStyle name="Note 2 2 2 2 3 3" xfId="5730" xr:uid="{00000000-0005-0000-0000-00009F200000}"/>
    <cellStyle name="Note 2 2 2 2 3 3 2" xfId="15056" xr:uid="{475DADC4-6576-4AF5-A2DB-40F682DD1D9F}"/>
    <cellStyle name="Note 2 2 2 2 3 4" xfId="10839" xr:uid="{C01C5A13-E08D-4BC4-974A-5A7A30D8A20B}"/>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8386BE03-2E30-4EB5-9FF9-79F1362F2040}"/>
    <cellStyle name="Note 2 2 2 2 4 2 3" xfId="13397" xr:uid="{0C11557C-E4D9-451F-9706-B8137E6B32D1}"/>
    <cellStyle name="Note 2 2 2 2 4 3" xfId="6143" xr:uid="{00000000-0005-0000-0000-0000A3200000}"/>
    <cellStyle name="Note 2 2 2 2 4 3 2" xfId="15469" xr:uid="{509597D8-E43F-44C5-A579-CBB3EB068E60}"/>
    <cellStyle name="Note 2 2 2 2 4 4" xfId="11252" xr:uid="{78137EE2-5D73-40D4-AD47-E4C69F74F57B}"/>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79819A74-235F-4AA8-A229-86D8C96B91FE}"/>
    <cellStyle name="Note 2 2 2 2 5 2 3" xfId="13810" xr:uid="{D8A1F39B-2AE6-4CC3-8901-77A49F7DF712}"/>
    <cellStyle name="Note 2 2 2 2 5 3" xfId="6556" xr:uid="{00000000-0005-0000-0000-0000A7200000}"/>
    <cellStyle name="Note 2 2 2 2 5 3 2" xfId="15882" xr:uid="{02130E27-9D60-4B25-A58B-EEA4735549C2}"/>
    <cellStyle name="Note 2 2 2 2 5 4" xfId="11665" xr:uid="{2E40B225-DE4A-4F67-94A9-B3F68FB88537}"/>
    <cellStyle name="Note 2 2 2 2 6" xfId="2686" xr:uid="{00000000-0005-0000-0000-0000A8200000}"/>
    <cellStyle name="Note 2 2 2 2 6 2" xfId="6969" xr:uid="{00000000-0005-0000-0000-0000A9200000}"/>
    <cellStyle name="Note 2 2 2 2 6 2 2" xfId="16295" xr:uid="{17DFC212-317D-4836-BD33-D1B40F13D4E5}"/>
    <cellStyle name="Note 2 2 2 2 6 3" xfId="12078" xr:uid="{532AC0DE-F177-4908-8520-B82D749296C0}"/>
    <cellStyle name="Note 2 2 2 2 7" xfId="2745" xr:uid="{00000000-0005-0000-0000-0000AA200000}"/>
    <cellStyle name="Note 2 2 2 2 8" xfId="2826" xr:uid="{00000000-0005-0000-0000-0000AB200000}"/>
    <cellStyle name="Note 2 2 2 2 8 2" xfId="7049" xr:uid="{00000000-0005-0000-0000-0000AC200000}"/>
    <cellStyle name="Note 2 2 2 2 8 2 2" xfId="16375" xr:uid="{F6FC69E7-D023-4786-B613-E16E811E0F50}"/>
    <cellStyle name="Note 2 2 2 2 8 3" xfId="12158" xr:uid="{8EC4C34B-4C6A-4998-9919-8AAB2127853C}"/>
    <cellStyle name="Note 2 2 2 2 9" xfId="4904" xr:uid="{00000000-0005-0000-0000-0000AD200000}"/>
    <cellStyle name="Note 2 2 2 2 9 2" xfId="14230" xr:uid="{1B65D78E-815A-4F99-95D4-CDA6486C6FDD}"/>
    <cellStyle name="Note 2 2 2 3" xfId="1007" xr:uid="{00000000-0005-0000-0000-0000AE200000}"/>
    <cellStyle name="Note 2 2 2 3 2" xfId="3239" xr:uid="{00000000-0005-0000-0000-0000AF200000}"/>
    <cellStyle name="Note 2 2 2 3 2 2" xfId="7461" xr:uid="{00000000-0005-0000-0000-0000B0200000}"/>
    <cellStyle name="Note 2 2 2 3 2 2 2" xfId="16787" xr:uid="{6683DF38-1558-45FD-B581-24B76C9186AC}"/>
    <cellStyle name="Note 2 2 2 3 2 3" xfId="12570" xr:uid="{3C9A816B-97C5-462A-A4B4-D543CE1B29B5}"/>
    <cellStyle name="Note 2 2 2 3 3" xfId="5316" xr:uid="{00000000-0005-0000-0000-0000B1200000}"/>
    <cellStyle name="Note 2 2 2 3 3 2" xfId="14642" xr:uid="{F190C02C-4BC0-44D0-A2E4-316CCCC65C13}"/>
    <cellStyle name="Note 2 2 2 3 4" xfId="9369" xr:uid="{37FCA23B-964B-404F-A343-B489211FDCDC}"/>
    <cellStyle name="Note 2 2 2 3 4 2" xfId="18684" xr:uid="{98AC4031-DC25-41AE-BCE9-21E0655AF63F}"/>
    <cellStyle name="Note 2 2 2 3 5" xfId="10425" xr:uid="{1A10C484-54A9-48EB-91FD-E46B26BD85F7}"/>
    <cellStyle name="Note 2 2 2 4" xfId="1422" xr:uid="{00000000-0005-0000-0000-0000B2200000}"/>
    <cellStyle name="Note 2 2 2 4 2" xfId="3652" xr:uid="{00000000-0005-0000-0000-0000B3200000}"/>
    <cellStyle name="Note 2 2 2 4 2 2" xfId="7874" xr:uid="{00000000-0005-0000-0000-0000B4200000}"/>
    <cellStyle name="Note 2 2 2 4 2 2 2" xfId="17200" xr:uid="{767038D2-5297-46F4-B54C-74029BECE9CC}"/>
    <cellStyle name="Note 2 2 2 4 2 3" xfId="12983" xr:uid="{C7C7BBC7-9E17-49FF-9EE5-5A594A111E9B}"/>
    <cellStyle name="Note 2 2 2 4 3" xfId="5729" xr:uid="{00000000-0005-0000-0000-0000B5200000}"/>
    <cellStyle name="Note 2 2 2 4 3 2" xfId="15055" xr:uid="{346F8ADA-7E05-4892-AEE4-7E268DE7A39B}"/>
    <cellStyle name="Note 2 2 2 4 4" xfId="10838" xr:uid="{85A69696-1AB0-4048-B650-9F551BE67104}"/>
    <cellStyle name="Note 2 2 2 5" xfId="1836" xr:uid="{00000000-0005-0000-0000-0000B6200000}"/>
    <cellStyle name="Note 2 2 2 5 2" xfId="4065" xr:uid="{00000000-0005-0000-0000-0000B7200000}"/>
    <cellStyle name="Note 2 2 2 5 2 2" xfId="8287" xr:uid="{00000000-0005-0000-0000-0000B8200000}"/>
    <cellStyle name="Note 2 2 2 5 2 2 2" xfId="17613" xr:uid="{BC85E2DC-9A83-40F6-9043-DD4212247746}"/>
    <cellStyle name="Note 2 2 2 5 2 3" xfId="13396" xr:uid="{DE666A9F-1B17-450C-992B-E6096237C776}"/>
    <cellStyle name="Note 2 2 2 5 3" xfId="6142" xr:uid="{00000000-0005-0000-0000-0000B9200000}"/>
    <cellStyle name="Note 2 2 2 5 3 2" xfId="15468" xr:uid="{645C2AAE-9FE4-4D97-8261-B1B19015DAB2}"/>
    <cellStyle name="Note 2 2 2 5 4" xfId="11251" xr:uid="{D870D9A2-E00E-4908-A827-4EA356D0B23D}"/>
    <cellStyle name="Note 2 2 2 6" xfId="2249" xr:uid="{00000000-0005-0000-0000-0000BA200000}"/>
    <cellStyle name="Note 2 2 2 6 2" xfId="4478" xr:uid="{00000000-0005-0000-0000-0000BB200000}"/>
    <cellStyle name="Note 2 2 2 6 2 2" xfId="8700" xr:uid="{00000000-0005-0000-0000-0000BC200000}"/>
    <cellStyle name="Note 2 2 2 6 2 2 2" xfId="18026" xr:uid="{1FB86836-552D-4D64-922D-DD5649A545B3}"/>
    <cellStyle name="Note 2 2 2 6 2 3" xfId="13809" xr:uid="{45330676-E85C-4DFD-B8DF-5B3FB08CD08E}"/>
    <cellStyle name="Note 2 2 2 6 3" xfId="6555" xr:uid="{00000000-0005-0000-0000-0000BD200000}"/>
    <cellStyle name="Note 2 2 2 6 3 2" xfId="15881" xr:uid="{CA96D63D-E2E2-4138-BD52-ECCC4D9C56F0}"/>
    <cellStyle name="Note 2 2 2 6 4" xfId="11664" xr:uid="{86BE76AA-BD73-4A0C-9CE0-2E6B561B3DCB}"/>
    <cellStyle name="Note 2 2 2 7" xfId="2685" xr:uid="{00000000-0005-0000-0000-0000BE200000}"/>
    <cellStyle name="Note 2 2 2 7 2" xfId="6968" xr:uid="{00000000-0005-0000-0000-0000BF200000}"/>
    <cellStyle name="Note 2 2 2 7 2 2" xfId="16294" xr:uid="{003B34A0-E7A6-4844-8360-7C8B83B37EF8}"/>
    <cellStyle name="Note 2 2 2 7 3" xfId="12077" xr:uid="{99250E54-A0F3-4E03-9EFB-9AFFFA32BEC1}"/>
    <cellStyle name="Note 2 2 2 8" xfId="2744" xr:uid="{00000000-0005-0000-0000-0000C0200000}"/>
    <cellStyle name="Note 2 2 2 9" xfId="2825" xr:uid="{00000000-0005-0000-0000-0000C1200000}"/>
    <cellStyle name="Note 2 2 2 9 2" xfId="7048" xr:uid="{00000000-0005-0000-0000-0000C2200000}"/>
    <cellStyle name="Note 2 2 2 9 2 2" xfId="16374" xr:uid="{90805CDB-4F3C-4372-AD0C-0A90A279C923}"/>
    <cellStyle name="Note 2 2 2 9 3" xfId="12157" xr:uid="{3B00422F-8744-431F-8780-13D5DCCF3E8D}"/>
    <cellStyle name="Note 2 2 3" xfId="548" xr:uid="{00000000-0005-0000-0000-0000C3200000}"/>
    <cellStyle name="Note 2 2 3 10" xfId="9048" xr:uid="{894401FF-B7D8-49E8-91E6-A1C42DD04D54}"/>
    <cellStyle name="Note 2 2 3 10 2" xfId="18372" xr:uid="{14CAA450-A050-4110-8540-35BD0670D96A}"/>
    <cellStyle name="Note 2 2 3 11" xfId="10014" xr:uid="{F13C8E0F-EFF5-4800-BB50-6FCD5B9E209B}"/>
    <cellStyle name="Note 2 2 3 2" xfId="1009" xr:uid="{00000000-0005-0000-0000-0000C4200000}"/>
    <cellStyle name="Note 2 2 3 2 2" xfId="3241" xr:uid="{00000000-0005-0000-0000-0000C5200000}"/>
    <cellStyle name="Note 2 2 3 2 2 2" xfId="7463" xr:uid="{00000000-0005-0000-0000-0000C6200000}"/>
    <cellStyle name="Note 2 2 3 2 2 2 2" xfId="16789" xr:uid="{C4553D4C-FE32-41A1-8A4E-EF0474C61391}"/>
    <cellStyle name="Note 2 2 3 2 2 3" xfId="12572" xr:uid="{5EDE6E5E-65BD-4E12-8E6E-69D2A3A7D25F}"/>
    <cellStyle name="Note 2 2 3 2 3" xfId="5318" xr:uid="{00000000-0005-0000-0000-0000C7200000}"/>
    <cellStyle name="Note 2 2 3 2 3 2" xfId="14644" xr:uid="{4D87C99D-813D-4309-98FC-24F4BB548282}"/>
    <cellStyle name="Note 2 2 3 2 4" xfId="9473" xr:uid="{7711F4E0-385B-44CD-ACEA-5E9D7E4CD8DC}"/>
    <cellStyle name="Note 2 2 3 2 4 2" xfId="18788" xr:uid="{FCF5C21E-522A-48AE-BEFF-D2716A0108CF}"/>
    <cellStyle name="Note 2 2 3 2 5" xfId="10427" xr:uid="{2D58605E-EA6C-42C8-8E82-14096A87D1EE}"/>
    <cellStyle name="Note 2 2 3 3" xfId="1424" xr:uid="{00000000-0005-0000-0000-0000C8200000}"/>
    <cellStyle name="Note 2 2 3 3 2" xfId="3654" xr:uid="{00000000-0005-0000-0000-0000C9200000}"/>
    <cellStyle name="Note 2 2 3 3 2 2" xfId="7876" xr:uid="{00000000-0005-0000-0000-0000CA200000}"/>
    <cellStyle name="Note 2 2 3 3 2 2 2" xfId="17202" xr:uid="{75B2D8F8-ED2C-4279-9E48-AB316BFF0FAB}"/>
    <cellStyle name="Note 2 2 3 3 2 3" xfId="12985" xr:uid="{85559C8C-7A01-4536-8134-F78231383E34}"/>
    <cellStyle name="Note 2 2 3 3 3" xfId="5731" xr:uid="{00000000-0005-0000-0000-0000CB200000}"/>
    <cellStyle name="Note 2 2 3 3 3 2" xfId="15057" xr:uid="{FBF34B98-E6FC-4F12-AF2D-19D6EC119D5D}"/>
    <cellStyle name="Note 2 2 3 3 4" xfId="10840" xr:uid="{B2C27121-4489-4964-8A15-E6706367156D}"/>
    <cellStyle name="Note 2 2 3 4" xfId="1838" xr:uid="{00000000-0005-0000-0000-0000CC200000}"/>
    <cellStyle name="Note 2 2 3 4 2" xfId="4067" xr:uid="{00000000-0005-0000-0000-0000CD200000}"/>
    <cellStyle name="Note 2 2 3 4 2 2" xfId="8289" xr:uid="{00000000-0005-0000-0000-0000CE200000}"/>
    <cellStyle name="Note 2 2 3 4 2 2 2" xfId="17615" xr:uid="{94B29CEB-A6A1-463F-95AD-F84C4DEDA7D9}"/>
    <cellStyle name="Note 2 2 3 4 2 3" xfId="13398" xr:uid="{C2179EF0-A2CB-427E-9AEC-935D90F804A2}"/>
    <cellStyle name="Note 2 2 3 4 3" xfId="6144" xr:uid="{00000000-0005-0000-0000-0000CF200000}"/>
    <cellStyle name="Note 2 2 3 4 3 2" xfId="15470" xr:uid="{15D1DACB-2523-4380-BB76-D3347E6CBD55}"/>
    <cellStyle name="Note 2 2 3 4 4" xfId="11253" xr:uid="{779AD4CE-7842-4D7A-AA03-EB7F38EC328F}"/>
    <cellStyle name="Note 2 2 3 5" xfId="2251" xr:uid="{00000000-0005-0000-0000-0000D0200000}"/>
    <cellStyle name="Note 2 2 3 5 2" xfId="4480" xr:uid="{00000000-0005-0000-0000-0000D1200000}"/>
    <cellStyle name="Note 2 2 3 5 2 2" xfId="8702" xr:uid="{00000000-0005-0000-0000-0000D2200000}"/>
    <cellStyle name="Note 2 2 3 5 2 2 2" xfId="18028" xr:uid="{A6D5B1EA-2820-47A9-992A-700B1F10806B}"/>
    <cellStyle name="Note 2 2 3 5 2 3" xfId="13811" xr:uid="{17E5303E-A871-43E1-B3D0-D18B14318B7B}"/>
    <cellStyle name="Note 2 2 3 5 3" xfId="6557" xr:uid="{00000000-0005-0000-0000-0000D3200000}"/>
    <cellStyle name="Note 2 2 3 5 3 2" xfId="15883" xr:uid="{9343AD71-610E-454B-9708-31C8473D6E2C}"/>
    <cellStyle name="Note 2 2 3 5 4" xfId="11666" xr:uid="{E95908EB-9DF9-4F7C-8679-258487FA451D}"/>
    <cellStyle name="Note 2 2 3 6" xfId="2687" xr:uid="{00000000-0005-0000-0000-0000D4200000}"/>
    <cellStyle name="Note 2 2 3 6 2" xfId="6970" xr:uid="{00000000-0005-0000-0000-0000D5200000}"/>
    <cellStyle name="Note 2 2 3 6 2 2" xfId="16296" xr:uid="{0E7824B9-48A4-479B-B08F-F6142E445B29}"/>
    <cellStyle name="Note 2 2 3 6 3" xfId="12079" xr:uid="{9EE5061C-A763-4BAD-BD0B-9575F67E54B5}"/>
    <cellStyle name="Note 2 2 3 7" xfId="2746" xr:uid="{00000000-0005-0000-0000-0000D6200000}"/>
    <cellStyle name="Note 2 2 3 8" xfId="2827" xr:uid="{00000000-0005-0000-0000-0000D7200000}"/>
    <cellStyle name="Note 2 2 3 8 2" xfId="7050" xr:uid="{00000000-0005-0000-0000-0000D8200000}"/>
    <cellStyle name="Note 2 2 3 8 2 2" xfId="16376" xr:uid="{6859F8B8-B081-4729-9EAE-A5055879A9BB}"/>
    <cellStyle name="Note 2 2 3 8 3" xfId="12159" xr:uid="{E0E27BAF-6C17-4378-80CE-6646ECB7DDA9}"/>
    <cellStyle name="Note 2 2 3 9" xfId="4905" xr:uid="{00000000-0005-0000-0000-0000D9200000}"/>
    <cellStyle name="Note 2 2 3 9 2" xfId="14231" xr:uid="{C695E23B-92F0-435F-9C27-F57C8FB5A76B}"/>
    <cellStyle name="Note 2 2 4" xfId="1006" xr:uid="{00000000-0005-0000-0000-0000DA200000}"/>
    <cellStyle name="Note 2 2 4 2" xfId="3238" xr:uid="{00000000-0005-0000-0000-0000DB200000}"/>
    <cellStyle name="Note 2 2 4 2 2" xfId="7460" xr:uid="{00000000-0005-0000-0000-0000DC200000}"/>
    <cellStyle name="Note 2 2 4 2 2 2" xfId="16786" xr:uid="{072A7AAA-8C0D-4E86-824E-D99DE5592996}"/>
    <cellStyle name="Note 2 2 4 2 3" xfId="12569" xr:uid="{DA0BEA9D-C6BF-41EC-8EAF-C0195A422EF7}"/>
    <cellStyle name="Note 2 2 4 3" xfId="5315" xr:uid="{00000000-0005-0000-0000-0000DD200000}"/>
    <cellStyle name="Note 2 2 4 3 2" xfId="14641" xr:uid="{8FFCB958-41C8-49A3-9CD3-B277076E5C5E}"/>
    <cellStyle name="Note 2 2 4 4" xfId="9266" xr:uid="{8B6F7B8D-50FA-47DA-836F-17B0F9492E54}"/>
    <cellStyle name="Note 2 2 4 4 2" xfId="18581" xr:uid="{08AD5C87-F1DD-45F9-8D65-A83DBF9B862D}"/>
    <cellStyle name="Note 2 2 4 5" xfId="10424" xr:uid="{9E276580-816C-46BB-932A-DD9895C68DB3}"/>
    <cellStyle name="Note 2 2 5" xfId="1421" xr:uid="{00000000-0005-0000-0000-0000DE200000}"/>
    <cellStyle name="Note 2 2 5 2" xfId="3651" xr:uid="{00000000-0005-0000-0000-0000DF200000}"/>
    <cellStyle name="Note 2 2 5 2 2" xfId="7873" xr:uid="{00000000-0005-0000-0000-0000E0200000}"/>
    <cellStyle name="Note 2 2 5 2 2 2" xfId="17199" xr:uid="{987136DD-97BA-4342-B79D-EBF80A23ACA5}"/>
    <cellStyle name="Note 2 2 5 2 3" xfId="12982" xr:uid="{782EC58F-CDEA-4183-BC1E-B9612E202EFA}"/>
    <cellStyle name="Note 2 2 5 3" xfId="5728" xr:uid="{00000000-0005-0000-0000-0000E1200000}"/>
    <cellStyle name="Note 2 2 5 3 2" xfId="15054" xr:uid="{4DF1F6C9-194D-48F2-A54B-A2624173B098}"/>
    <cellStyle name="Note 2 2 5 4" xfId="10837" xr:uid="{20C25D4A-985D-47B5-82C2-4994259689F7}"/>
    <cellStyle name="Note 2 2 6" xfId="1835" xr:uid="{00000000-0005-0000-0000-0000E2200000}"/>
    <cellStyle name="Note 2 2 6 2" xfId="4064" xr:uid="{00000000-0005-0000-0000-0000E3200000}"/>
    <cellStyle name="Note 2 2 6 2 2" xfId="8286" xr:uid="{00000000-0005-0000-0000-0000E4200000}"/>
    <cellStyle name="Note 2 2 6 2 2 2" xfId="17612" xr:uid="{A6581FCC-8CE0-4D18-AA22-09459AD42A0F}"/>
    <cellStyle name="Note 2 2 6 2 3" xfId="13395" xr:uid="{A5FFE97A-6613-46CD-ADCC-2CDFFD785E03}"/>
    <cellStyle name="Note 2 2 6 3" xfId="6141" xr:uid="{00000000-0005-0000-0000-0000E5200000}"/>
    <cellStyle name="Note 2 2 6 3 2" xfId="15467" xr:uid="{8013859E-D315-419D-8E62-130568B90D61}"/>
    <cellStyle name="Note 2 2 6 4" xfId="11250" xr:uid="{41CB6EB3-B4B2-4EF9-8629-A606EEBF13F2}"/>
    <cellStyle name="Note 2 2 7" xfId="2248" xr:uid="{00000000-0005-0000-0000-0000E6200000}"/>
    <cellStyle name="Note 2 2 7 2" xfId="4477" xr:uid="{00000000-0005-0000-0000-0000E7200000}"/>
    <cellStyle name="Note 2 2 7 2 2" xfId="8699" xr:uid="{00000000-0005-0000-0000-0000E8200000}"/>
    <cellStyle name="Note 2 2 7 2 2 2" xfId="18025" xr:uid="{0AF2AE5A-FBDE-453C-9F9F-7FB4F5D2D258}"/>
    <cellStyle name="Note 2 2 7 2 3" xfId="13808" xr:uid="{F22559FE-8ABA-4F35-B4FE-1D4DE90F420F}"/>
    <cellStyle name="Note 2 2 7 3" xfId="6554" xr:uid="{00000000-0005-0000-0000-0000E9200000}"/>
    <cellStyle name="Note 2 2 7 3 2" xfId="15880" xr:uid="{57788314-1709-4420-8E7D-3574D848F339}"/>
    <cellStyle name="Note 2 2 7 4" xfId="11663" xr:uid="{66096445-3508-4E98-A52F-E7A74CB6310A}"/>
    <cellStyle name="Note 2 2 8" xfId="2684" xr:uid="{00000000-0005-0000-0000-0000EA200000}"/>
    <cellStyle name="Note 2 2 8 2" xfId="6967" xr:uid="{00000000-0005-0000-0000-0000EB200000}"/>
    <cellStyle name="Note 2 2 8 2 2" xfId="16293" xr:uid="{FB2A2C1C-7C3F-4B74-B108-8EA3378D7197}"/>
    <cellStyle name="Note 2 2 8 3" xfId="12076" xr:uid="{1EA04C81-18D3-47CB-862D-B0E240F12D3A}"/>
    <cellStyle name="Note 2 2 9" xfId="2743" xr:uid="{00000000-0005-0000-0000-0000EC200000}"/>
    <cellStyle name="Note 2 3" xfId="549" xr:uid="{00000000-0005-0000-0000-0000ED200000}"/>
    <cellStyle name="Note 2 3 10" xfId="4906" xr:uid="{00000000-0005-0000-0000-0000EE200000}"/>
    <cellStyle name="Note 2 3 10 2" xfId="14232" xr:uid="{3E234236-BE5A-47C1-8297-3C365B258A1D}"/>
    <cellStyle name="Note 2 3 11" xfId="8894" xr:uid="{2BFFE8D0-DA42-4876-8895-58F80713E965}"/>
    <cellStyle name="Note 2 3 11 2" xfId="18218" xr:uid="{79D3F7F7-F390-4FB3-B9F9-7B324FB91126}"/>
    <cellStyle name="Note 2 3 12" xfId="10015" xr:uid="{6F828571-A984-4210-B7A8-FA691068FC83}"/>
    <cellStyle name="Note 2 3 2" xfId="550" xr:uid="{00000000-0005-0000-0000-0000EF200000}"/>
    <cellStyle name="Note 2 3 2 10" xfId="9101" xr:uid="{1822EEA2-225E-465E-B4CD-D4615440EC62}"/>
    <cellStyle name="Note 2 3 2 10 2" xfId="18425" xr:uid="{A9DBE123-83A8-4951-84BA-66D8EC8A303B}"/>
    <cellStyle name="Note 2 3 2 11" xfId="10016" xr:uid="{E7C2E4F8-B97B-43B6-A43F-1336C908687B}"/>
    <cellStyle name="Note 2 3 2 2" xfId="1011" xr:uid="{00000000-0005-0000-0000-0000F0200000}"/>
    <cellStyle name="Note 2 3 2 2 2" xfId="3243" xr:uid="{00000000-0005-0000-0000-0000F1200000}"/>
    <cellStyle name="Note 2 3 2 2 2 2" xfId="7465" xr:uid="{00000000-0005-0000-0000-0000F2200000}"/>
    <cellStyle name="Note 2 3 2 2 2 2 2" xfId="16791" xr:uid="{EB8B04B1-D4D1-4E7A-A9A9-F910CF41A51E}"/>
    <cellStyle name="Note 2 3 2 2 2 3" xfId="12574" xr:uid="{C2CC41C1-0D68-4E44-B491-74E2CA5B8F2C}"/>
    <cellStyle name="Note 2 3 2 2 3" xfId="5320" xr:uid="{00000000-0005-0000-0000-0000F3200000}"/>
    <cellStyle name="Note 2 3 2 2 3 2" xfId="14646" xr:uid="{0482D963-687D-44C3-B374-DCE95182A1A1}"/>
    <cellStyle name="Note 2 3 2 2 4" xfId="9526" xr:uid="{1C428179-0C82-4F5D-9FE4-E11D597F9E89}"/>
    <cellStyle name="Note 2 3 2 2 4 2" xfId="18841" xr:uid="{D5F46DBC-0630-417A-984E-6624357E8976}"/>
    <cellStyle name="Note 2 3 2 2 5" xfId="10429" xr:uid="{D1DA2C46-8BE1-48E0-BAB8-ABC69B8EEEAD}"/>
    <cellStyle name="Note 2 3 2 3" xfId="1426" xr:uid="{00000000-0005-0000-0000-0000F4200000}"/>
    <cellStyle name="Note 2 3 2 3 2" xfId="3656" xr:uid="{00000000-0005-0000-0000-0000F5200000}"/>
    <cellStyle name="Note 2 3 2 3 2 2" xfId="7878" xr:uid="{00000000-0005-0000-0000-0000F6200000}"/>
    <cellStyle name="Note 2 3 2 3 2 2 2" xfId="17204" xr:uid="{4334AD64-CF5A-415C-9855-93895AF02092}"/>
    <cellStyle name="Note 2 3 2 3 2 3" xfId="12987" xr:uid="{132751B2-6B42-4EA8-AF42-BB8CD75E1A41}"/>
    <cellStyle name="Note 2 3 2 3 3" xfId="5733" xr:uid="{00000000-0005-0000-0000-0000F7200000}"/>
    <cellStyle name="Note 2 3 2 3 3 2" xfId="15059" xr:uid="{17DD9B1D-A3F4-417E-A7EA-D084AE8275AA}"/>
    <cellStyle name="Note 2 3 2 3 4" xfId="10842" xr:uid="{1D3B9C35-1A25-43C2-BA65-A38B16116523}"/>
    <cellStyle name="Note 2 3 2 4" xfId="1840" xr:uid="{00000000-0005-0000-0000-0000F8200000}"/>
    <cellStyle name="Note 2 3 2 4 2" xfId="4069" xr:uid="{00000000-0005-0000-0000-0000F9200000}"/>
    <cellStyle name="Note 2 3 2 4 2 2" xfId="8291" xr:uid="{00000000-0005-0000-0000-0000FA200000}"/>
    <cellStyle name="Note 2 3 2 4 2 2 2" xfId="17617" xr:uid="{AA9C3742-91DD-41FF-94DC-BAB3C45DC746}"/>
    <cellStyle name="Note 2 3 2 4 2 3" xfId="13400" xr:uid="{9227734E-07C5-48C8-8C25-65CFB53516A9}"/>
    <cellStyle name="Note 2 3 2 4 3" xfId="6146" xr:uid="{00000000-0005-0000-0000-0000FB200000}"/>
    <cellStyle name="Note 2 3 2 4 3 2" xfId="15472" xr:uid="{D64B7F6D-1470-41F5-9DD8-446B2975203A}"/>
    <cellStyle name="Note 2 3 2 4 4" xfId="11255" xr:uid="{5FE9E8DE-3929-436F-BB9F-DD085AB14152}"/>
    <cellStyle name="Note 2 3 2 5" xfId="2253" xr:uid="{00000000-0005-0000-0000-0000FC200000}"/>
    <cellStyle name="Note 2 3 2 5 2" xfId="4482" xr:uid="{00000000-0005-0000-0000-0000FD200000}"/>
    <cellStyle name="Note 2 3 2 5 2 2" xfId="8704" xr:uid="{00000000-0005-0000-0000-0000FE200000}"/>
    <cellStyle name="Note 2 3 2 5 2 2 2" xfId="18030" xr:uid="{28894C64-4F5A-4843-BF68-4960EBAEA567}"/>
    <cellStyle name="Note 2 3 2 5 2 3" xfId="13813" xr:uid="{3E71DF27-C1F9-4C1B-9671-D60BFE34B82B}"/>
    <cellStyle name="Note 2 3 2 5 3" xfId="6559" xr:uid="{00000000-0005-0000-0000-0000FF200000}"/>
    <cellStyle name="Note 2 3 2 5 3 2" xfId="15885" xr:uid="{8B8BB6AD-20F9-47D8-9E37-6BB10CE51F59}"/>
    <cellStyle name="Note 2 3 2 5 4" xfId="11668" xr:uid="{57F8AC7B-0374-42ED-BCEA-41521350AFDC}"/>
    <cellStyle name="Note 2 3 2 6" xfId="2689" xr:uid="{00000000-0005-0000-0000-000000210000}"/>
    <cellStyle name="Note 2 3 2 6 2" xfId="6972" xr:uid="{00000000-0005-0000-0000-000001210000}"/>
    <cellStyle name="Note 2 3 2 6 2 2" xfId="16298" xr:uid="{CBE289FD-2245-4685-9B72-AB3BE60F631A}"/>
    <cellStyle name="Note 2 3 2 6 3" xfId="12081" xr:uid="{72485B84-314F-4AC4-A8EF-5BE205DA324D}"/>
    <cellStyle name="Note 2 3 2 7" xfId="2748" xr:uid="{00000000-0005-0000-0000-000002210000}"/>
    <cellStyle name="Note 2 3 2 8" xfId="2829" xr:uid="{00000000-0005-0000-0000-000003210000}"/>
    <cellStyle name="Note 2 3 2 8 2" xfId="7052" xr:uid="{00000000-0005-0000-0000-000004210000}"/>
    <cellStyle name="Note 2 3 2 8 2 2" xfId="16378" xr:uid="{0CC797F2-3D07-44F0-82C0-797A040F3185}"/>
    <cellStyle name="Note 2 3 2 8 3" xfId="12161" xr:uid="{EDDECFA4-9A1D-41F3-B8A4-D8950F87BFFB}"/>
    <cellStyle name="Note 2 3 2 9" xfId="4907" xr:uid="{00000000-0005-0000-0000-000005210000}"/>
    <cellStyle name="Note 2 3 2 9 2" xfId="14233" xr:uid="{5F78C92C-0A60-4564-9D6F-CC0CAA804265}"/>
    <cellStyle name="Note 2 3 3" xfId="1010" xr:uid="{00000000-0005-0000-0000-000006210000}"/>
    <cellStyle name="Note 2 3 3 2" xfId="3242" xr:uid="{00000000-0005-0000-0000-000007210000}"/>
    <cellStyle name="Note 2 3 3 2 2" xfId="7464" xr:uid="{00000000-0005-0000-0000-000008210000}"/>
    <cellStyle name="Note 2 3 3 2 2 2" xfId="16790" xr:uid="{A51C101C-4C95-4CFA-9AB8-14A887FEA6E8}"/>
    <cellStyle name="Note 2 3 3 2 3" xfId="12573" xr:uid="{BA61B4E3-2F41-44D3-93D1-B332116D3ECC}"/>
    <cellStyle name="Note 2 3 3 3" xfId="5319" xr:uid="{00000000-0005-0000-0000-000009210000}"/>
    <cellStyle name="Note 2 3 3 3 2" xfId="14645" xr:uid="{C7B8A05E-331E-4FEA-8F34-7E124BB8949B}"/>
    <cellStyle name="Note 2 3 3 4" xfId="9319" xr:uid="{06E4A3C6-5CAA-4424-B4C3-41162F21AE7D}"/>
    <cellStyle name="Note 2 3 3 4 2" xfId="18634" xr:uid="{9D37C974-AD65-4BA3-9296-1E852FD01D72}"/>
    <cellStyle name="Note 2 3 3 5" xfId="10428" xr:uid="{CF971F27-837C-4067-A53C-3B16F3683840}"/>
    <cellStyle name="Note 2 3 4" xfId="1425" xr:uid="{00000000-0005-0000-0000-00000A210000}"/>
    <cellStyle name="Note 2 3 4 2" xfId="3655" xr:uid="{00000000-0005-0000-0000-00000B210000}"/>
    <cellStyle name="Note 2 3 4 2 2" xfId="7877" xr:uid="{00000000-0005-0000-0000-00000C210000}"/>
    <cellStyle name="Note 2 3 4 2 2 2" xfId="17203" xr:uid="{A2CF43CB-F1B3-459D-9A19-0181E251C9E3}"/>
    <cellStyle name="Note 2 3 4 2 3" xfId="12986" xr:uid="{BB424A80-CF7D-4270-8AFE-DAD31D2D5131}"/>
    <cellStyle name="Note 2 3 4 3" xfId="5732" xr:uid="{00000000-0005-0000-0000-00000D210000}"/>
    <cellStyle name="Note 2 3 4 3 2" xfId="15058" xr:uid="{FBC26371-D65F-42BC-89F2-E06334FFF979}"/>
    <cellStyle name="Note 2 3 4 4" xfId="10841" xr:uid="{FBF0CCFF-9805-44E8-B3BC-7D72D3DDA381}"/>
    <cellStyle name="Note 2 3 5" xfId="1839" xr:uid="{00000000-0005-0000-0000-00000E210000}"/>
    <cellStyle name="Note 2 3 5 2" xfId="4068" xr:uid="{00000000-0005-0000-0000-00000F210000}"/>
    <cellStyle name="Note 2 3 5 2 2" xfId="8290" xr:uid="{00000000-0005-0000-0000-000010210000}"/>
    <cellStyle name="Note 2 3 5 2 2 2" xfId="17616" xr:uid="{50D146ED-BAB4-4F80-B41B-B76DE241C2FB}"/>
    <cellStyle name="Note 2 3 5 2 3" xfId="13399" xr:uid="{A065DBEC-991C-4864-AF59-2A44C286B389}"/>
    <cellStyle name="Note 2 3 5 3" xfId="6145" xr:uid="{00000000-0005-0000-0000-000011210000}"/>
    <cellStyle name="Note 2 3 5 3 2" xfId="15471" xr:uid="{6B0F4F43-075B-4264-9430-88611F43ACFE}"/>
    <cellStyle name="Note 2 3 5 4" xfId="11254" xr:uid="{1FF1F66A-873B-4A77-9C41-D6DB41354196}"/>
    <cellStyle name="Note 2 3 6" xfId="2252" xr:uid="{00000000-0005-0000-0000-000012210000}"/>
    <cellStyle name="Note 2 3 6 2" xfId="4481" xr:uid="{00000000-0005-0000-0000-000013210000}"/>
    <cellStyle name="Note 2 3 6 2 2" xfId="8703" xr:uid="{00000000-0005-0000-0000-000014210000}"/>
    <cellStyle name="Note 2 3 6 2 2 2" xfId="18029" xr:uid="{F5E149AA-A058-4ABA-8941-BC11CFE2DB24}"/>
    <cellStyle name="Note 2 3 6 2 3" xfId="13812" xr:uid="{A1B184F6-01B5-4965-B85F-BC6195C201B4}"/>
    <cellStyle name="Note 2 3 6 3" xfId="6558" xr:uid="{00000000-0005-0000-0000-000015210000}"/>
    <cellStyle name="Note 2 3 6 3 2" xfId="15884" xr:uid="{DC970498-F104-4FC6-894F-5F016DC35CC0}"/>
    <cellStyle name="Note 2 3 6 4" xfId="11667" xr:uid="{CFD5651A-EADB-4CE0-9200-8EFDF0E92EF6}"/>
    <cellStyle name="Note 2 3 7" xfId="2688" xr:uid="{00000000-0005-0000-0000-000016210000}"/>
    <cellStyle name="Note 2 3 7 2" xfId="6971" xr:uid="{00000000-0005-0000-0000-000017210000}"/>
    <cellStyle name="Note 2 3 7 2 2" xfId="16297" xr:uid="{BDB59305-574B-4420-A196-E08A35C2D617}"/>
    <cellStyle name="Note 2 3 7 3" xfId="12080" xr:uid="{C2CDFF3D-2E31-403C-B6D7-72C5076BA7C7}"/>
    <cellStyle name="Note 2 3 8" xfId="2747" xr:uid="{00000000-0005-0000-0000-000018210000}"/>
    <cellStyle name="Note 2 3 9" xfId="2828" xr:uid="{00000000-0005-0000-0000-000019210000}"/>
    <cellStyle name="Note 2 3 9 2" xfId="7051" xr:uid="{00000000-0005-0000-0000-00001A210000}"/>
    <cellStyle name="Note 2 3 9 2 2" xfId="16377" xr:uid="{E0A72D7B-BDA7-4D90-ADFD-83C320444809}"/>
    <cellStyle name="Note 2 3 9 3" xfId="12160" xr:uid="{55D38F40-2376-464C-85B5-FAB9763702F4}"/>
    <cellStyle name="Note 2 4" xfId="551" xr:uid="{00000000-0005-0000-0000-00001B210000}"/>
    <cellStyle name="Note 2 4 10" xfId="8998" xr:uid="{AC87C288-14A9-4FB3-A26C-1706964E6651}"/>
    <cellStyle name="Note 2 4 10 2" xfId="18322" xr:uid="{D25D716D-C189-4274-AB32-09D1C9F44E7F}"/>
    <cellStyle name="Note 2 4 11" xfId="10017" xr:uid="{C330E74F-D157-4114-99B9-6B588388DE27}"/>
    <cellStyle name="Note 2 4 2" xfId="1012" xr:uid="{00000000-0005-0000-0000-00001C210000}"/>
    <cellStyle name="Note 2 4 2 2" xfId="3244" xr:uid="{00000000-0005-0000-0000-00001D210000}"/>
    <cellStyle name="Note 2 4 2 2 2" xfId="7466" xr:uid="{00000000-0005-0000-0000-00001E210000}"/>
    <cellStyle name="Note 2 4 2 2 2 2" xfId="16792" xr:uid="{7664DA3C-A188-4744-928A-0D0AC68A6050}"/>
    <cellStyle name="Note 2 4 2 2 3" xfId="12575" xr:uid="{0F27B094-EB5F-4008-B2B9-230B7CF4C11E}"/>
    <cellStyle name="Note 2 4 2 3" xfId="5321" xr:uid="{00000000-0005-0000-0000-00001F210000}"/>
    <cellStyle name="Note 2 4 2 3 2" xfId="14647" xr:uid="{9C265778-F7CF-4C3B-BDDA-ABC2BA4206FB}"/>
    <cellStyle name="Note 2 4 2 4" xfId="9423" xr:uid="{43B93802-BE55-43D9-BEBC-4095E3C1FF74}"/>
    <cellStyle name="Note 2 4 2 4 2" xfId="18738" xr:uid="{7A8E8401-4C32-4C6E-A95B-349C903C1B52}"/>
    <cellStyle name="Note 2 4 2 5" xfId="10430" xr:uid="{1ABA225A-BB22-489C-8935-F2C462B68629}"/>
    <cellStyle name="Note 2 4 3" xfId="1427" xr:uid="{00000000-0005-0000-0000-000020210000}"/>
    <cellStyle name="Note 2 4 3 2" xfId="3657" xr:uid="{00000000-0005-0000-0000-000021210000}"/>
    <cellStyle name="Note 2 4 3 2 2" xfId="7879" xr:uid="{00000000-0005-0000-0000-000022210000}"/>
    <cellStyle name="Note 2 4 3 2 2 2" xfId="17205" xr:uid="{2F7F937E-98B5-4D0D-BA6C-0ED255D2CE30}"/>
    <cellStyle name="Note 2 4 3 2 3" xfId="12988" xr:uid="{7D87B15F-7A3F-4E56-BBD9-A57CB77CE5B7}"/>
    <cellStyle name="Note 2 4 3 3" xfId="5734" xr:uid="{00000000-0005-0000-0000-000023210000}"/>
    <cellStyle name="Note 2 4 3 3 2" xfId="15060" xr:uid="{ED44DF88-FAE8-468C-96D0-63432292B365}"/>
    <cellStyle name="Note 2 4 3 4" xfId="10843" xr:uid="{62DBAB17-BF70-4092-9CDF-223C9216B11C}"/>
    <cellStyle name="Note 2 4 4" xfId="1841" xr:uid="{00000000-0005-0000-0000-000024210000}"/>
    <cellStyle name="Note 2 4 4 2" xfId="4070" xr:uid="{00000000-0005-0000-0000-000025210000}"/>
    <cellStyle name="Note 2 4 4 2 2" xfId="8292" xr:uid="{00000000-0005-0000-0000-000026210000}"/>
    <cellStyle name="Note 2 4 4 2 2 2" xfId="17618" xr:uid="{BCEA0385-518E-4712-8F3A-7C59747203D2}"/>
    <cellStyle name="Note 2 4 4 2 3" xfId="13401" xr:uid="{A2EF6164-D072-422E-BEB8-1853A336A732}"/>
    <cellStyle name="Note 2 4 4 3" xfId="6147" xr:uid="{00000000-0005-0000-0000-000027210000}"/>
    <cellStyle name="Note 2 4 4 3 2" xfId="15473" xr:uid="{7DB8E1BB-C05E-474A-B0A1-E352DB0298E9}"/>
    <cellStyle name="Note 2 4 4 4" xfId="11256" xr:uid="{F595865E-7AA6-40A5-9654-5D6BF2E705C9}"/>
    <cellStyle name="Note 2 4 5" xfId="2254" xr:uid="{00000000-0005-0000-0000-000028210000}"/>
    <cellStyle name="Note 2 4 5 2" xfId="4483" xr:uid="{00000000-0005-0000-0000-000029210000}"/>
    <cellStyle name="Note 2 4 5 2 2" xfId="8705" xr:uid="{00000000-0005-0000-0000-00002A210000}"/>
    <cellStyle name="Note 2 4 5 2 2 2" xfId="18031" xr:uid="{2B775F10-CDFD-4FA5-AFC3-BBA799B1DF68}"/>
    <cellStyle name="Note 2 4 5 2 3" xfId="13814" xr:uid="{B09BDD68-8C5B-4E40-985C-ED5BB5F18002}"/>
    <cellStyle name="Note 2 4 5 3" xfId="6560" xr:uid="{00000000-0005-0000-0000-00002B210000}"/>
    <cellStyle name="Note 2 4 5 3 2" xfId="15886" xr:uid="{C16753AA-27E3-48A0-92A0-44A1F8E3D621}"/>
    <cellStyle name="Note 2 4 5 4" xfId="11669" xr:uid="{3A0CC594-AE21-475F-A531-763BD726271C}"/>
    <cellStyle name="Note 2 4 6" xfId="2690" xr:uid="{00000000-0005-0000-0000-00002C210000}"/>
    <cellStyle name="Note 2 4 6 2" xfId="6973" xr:uid="{00000000-0005-0000-0000-00002D210000}"/>
    <cellStyle name="Note 2 4 6 2 2" xfId="16299" xr:uid="{C3142877-AC97-499D-AEAB-B450F41A6FEE}"/>
    <cellStyle name="Note 2 4 6 3" xfId="12082" xr:uid="{B9175908-8483-43C4-9908-F95DD888F274}"/>
    <cellStyle name="Note 2 4 7" xfId="2749" xr:uid="{00000000-0005-0000-0000-00002E210000}"/>
    <cellStyle name="Note 2 4 8" xfId="2830" xr:uid="{00000000-0005-0000-0000-00002F210000}"/>
    <cellStyle name="Note 2 4 8 2" xfId="7053" xr:uid="{00000000-0005-0000-0000-000030210000}"/>
    <cellStyle name="Note 2 4 8 2 2" xfId="16379" xr:uid="{764442EA-9645-44E6-A6F1-824EE7A351AC}"/>
    <cellStyle name="Note 2 4 8 3" xfId="12162" xr:uid="{E8E1029E-0EC1-4540-99F5-1CC52D878003}"/>
    <cellStyle name="Note 2 4 9" xfId="4908" xr:uid="{00000000-0005-0000-0000-000031210000}"/>
    <cellStyle name="Note 2 4 9 2" xfId="14234" xr:uid="{827ABA25-6890-484A-B7C9-225E09931DBF}"/>
    <cellStyle name="Note 2 5" xfId="552" xr:uid="{00000000-0005-0000-0000-000032210000}"/>
    <cellStyle name="Note 2 5 10" xfId="9215" xr:uid="{69947D86-0683-476F-9E74-96CA08091560}"/>
    <cellStyle name="Note 2 5 10 2" xfId="18531" xr:uid="{DF501A3D-9AB8-45C3-96B3-76918588A19F}"/>
    <cellStyle name="Note 2 5 11" xfId="10018" xr:uid="{50864BF5-1734-4465-98F2-76F367621174}"/>
    <cellStyle name="Note 2 5 2" xfId="1013" xr:uid="{00000000-0005-0000-0000-000033210000}"/>
    <cellStyle name="Note 2 5 2 2" xfId="3245" xr:uid="{00000000-0005-0000-0000-000034210000}"/>
    <cellStyle name="Note 2 5 2 2 2" xfId="7467" xr:uid="{00000000-0005-0000-0000-000035210000}"/>
    <cellStyle name="Note 2 5 2 2 2 2" xfId="16793" xr:uid="{843CB3EB-B4C6-4C9A-B5D2-E8D53660792A}"/>
    <cellStyle name="Note 2 5 2 2 3" xfId="12576" xr:uid="{FA5CA4BF-6630-4536-8B4D-0D5FBB3D8FC9}"/>
    <cellStyle name="Note 2 5 2 3" xfId="5322" xr:uid="{00000000-0005-0000-0000-000036210000}"/>
    <cellStyle name="Note 2 5 2 3 2" xfId="14648" xr:uid="{54482C2D-CD14-47B3-A7FC-547E6F15DE77}"/>
    <cellStyle name="Note 2 5 2 4" xfId="9610" xr:uid="{26530D10-1DF8-4FA4-8FC9-4C945AA92A94}"/>
    <cellStyle name="Note 2 5 2 4 2" xfId="18910" xr:uid="{9DBDDB1D-5AF0-4EC6-B4EA-3899BF84203C}"/>
    <cellStyle name="Note 2 5 2 5" xfId="10431" xr:uid="{CC649664-9C2E-4B96-BF32-3B47A37BE978}"/>
    <cellStyle name="Note 2 5 3" xfId="1428" xr:uid="{00000000-0005-0000-0000-000037210000}"/>
    <cellStyle name="Note 2 5 3 2" xfId="3658" xr:uid="{00000000-0005-0000-0000-000038210000}"/>
    <cellStyle name="Note 2 5 3 2 2" xfId="7880" xr:uid="{00000000-0005-0000-0000-000039210000}"/>
    <cellStyle name="Note 2 5 3 2 2 2" xfId="17206" xr:uid="{5EFC255D-31AF-4FEF-9E9C-EA60905BD526}"/>
    <cellStyle name="Note 2 5 3 2 3" xfId="12989" xr:uid="{FA3BAF21-324E-43B7-99A8-E95E386CCA47}"/>
    <cellStyle name="Note 2 5 3 3" xfId="5735" xr:uid="{00000000-0005-0000-0000-00003A210000}"/>
    <cellStyle name="Note 2 5 3 3 2" xfId="15061" xr:uid="{081E0A42-F265-488B-8D8B-E5C29822BF27}"/>
    <cellStyle name="Note 2 5 3 4" xfId="10844" xr:uid="{42706AD1-1536-44AF-BC3D-D7E2866F89F7}"/>
    <cellStyle name="Note 2 5 4" xfId="1842" xr:uid="{00000000-0005-0000-0000-00003B210000}"/>
    <cellStyle name="Note 2 5 4 2" xfId="4071" xr:uid="{00000000-0005-0000-0000-00003C210000}"/>
    <cellStyle name="Note 2 5 4 2 2" xfId="8293" xr:uid="{00000000-0005-0000-0000-00003D210000}"/>
    <cellStyle name="Note 2 5 4 2 2 2" xfId="17619" xr:uid="{88303DE1-92A9-449C-B456-32AA26B8B345}"/>
    <cellStyle name="Note 2 5 4 2 3" xfId="13402" xr:uid="{03D33DEC-92C3-4B65-8005-0BF44E26EF37}"/>
    <cellStyle name="Note 2 5 4 3" xfId="6148" xr:uid="{00000000-0005-0000-0000-00003E210000}"/>
    <cellStyle name="Note 2 5 4 3 2" xfId="15474" xr:uid="{F3D97A31-04B2-405D-B8B3-7C58FECC51A8}"/>
    <cellStyle name="Note 2 5 4 4" xfId="11257" xr:uid="{FB1709B2-FE6A-4E3F-8A6B-6A97CE134807}"/>
    <cellStyle name="Note 2 5 5" xfId="2255" xr:uid="{00000000-0005-0000-0000-00003F210000}"/>
    <cellStyle name="Note 2 5 5 2" xfId="4484" xr:uid="{00000000-0005-0000-0000-000040210000}"/>
    <cellStyle name="Note 2 5 5 2 2" xfId="8706" xr:uid="{00000000-0005-0000-0000-000041210000}"/>
    <cellStyle name="Note 2 5 5 2 2 2" xfId="18032" xr:uid="{F52FC943-2A54-4A4F-A24E-835676B23C2F}"/>
    <cellStyle name="Note 2 5 5 2 3" xfId="13815" xr:uid="{99069D88-A917-41A2-B883-8CAA92D43B02}"/>
    <cellStyle name="Note 2 5 5 3" xfId="6561" xr:uid="{00000000-0005-0000-0000-000042210000}"/>
    <cellStyle name="Note 2 5 5 3 2" xfId="15887" xr:uid="{920CC700-991B-4714-A701-71995DA5166C}"/>
    <cellStyle name="Note 2 5 5 4" xfId="11670" xr:uid="{78CCBD69-49C6-481A-85A4-63DEF2775BCF}"/>
    <cellStyle name="Note 2 5 6" xfId="2691" xr:uid="{00000000-0005-0000-0000-000043210000}"/>
    <cellStyle name="Note 2 5 6 2" xfId="6974" xr:uid="{00000000-0005-0000-0000-000044210000}"/>
    <cellStyle name="Note 2 5 6 2 2" xfId="16300" xr:uid="{A90BFF08-08D0-40C0-8668-805D4FED7841}"/>
    <cellStyle name="Note 2 5 6 3" xfId="12083" xr:uid="{F7DC0985-E748-480A-A5E7-6860CDEB79C3}"/>
    <cellStyle name="Note 2 5 7" xfId="2750" xr:uid="{00000000-0005-0000-0000-000045210000}"/>
    <cellStyle name="Note 2 5 8" xfId="2831" xr:uid="{00000000-0005-0000-0000-000046210000}"/>
    <cellStyle name="Note 2 5 8 2" xfId="7054" xr:uid="{00000000-0005-0000-0000-000047210000}"/>
    <cellStyle name="Note 2 5 8 2 2" xfId="16380" xr:uid="{EECE844C-F6CE-482B-A1AC-50C42026B5A0}"/>
    <cellStyle name="Note 2 5 8 3" xfId="12163" xr:uid="{0BEAC90F-34BB-4523-9D90-37A35E74C287}"/>
    <cellStyle name="Note 2 5 9" xfId="4909" xr:uid="{00000000-0005-0000-0000-000048210000}"/>
    <cellStyle name="Note 2 5 9 2" xfId="14235" xr:uid="{C5870858-0EFB-439E-85F3-4232997C51C4}"/>
    <cellStyle name="Note 2 6" xfId="9587" xr:uid="{DE0DCBC9-1C06-4AD6-BDCF-10B3C6A625B6}"/>
    <cellStyle name="Note 2 7" xfId="8791" xr:uid="{7AC3614D-154D-4BB0-B207-B3151ECF2433}"/>
    <cellStyle name="Note 2 7 2" xfId="18115" xr:uid="{9C8A0146-0DDD-4849-918B-0AAF6F5B43D5}"/>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99026C37-0111-4623-ACED-9175741D58A5}"/>
    <cellStyle name="Note 3 2 10 3" xfId="12164" xr:uid="{B62AEE75-DCE1-4653-8830-D7375047D9B6}"/>
    <cellStyle name="Note 3 2 11" xfId="4910" xr:uid="{00000000-0005-0000-0000-00004D210000}"/>
    <cellStyle name="Note 3 2 11 2" xfId="14236" xr:uid="{3B127AA0-4528-4886-9476-C71230B7E26C}"/>
    <cellStyle name="Note 3 2 12" xfId="8842" xr:uid="{646587AC-B7A9-43E2-AC1E-1B77745805D8}"/>
    <cellStyle name="Note 3 2 12 2" xfId="18166" xr:uid="{394524CA-77EC-479E-9265-A78E5932E0E9}"/>
    <cellStyle name="Note 3 2 13" xfId="10019" xr:uid="{7D8014EA-7E7F-477B-951B-E269FA496117}"/>
    <cellStyle name="Note 3 2 2" xfId="555" xr:uid="{00000000-0005-0000-0000-00004E210000}"/>
    <cellStyle name="Note 3 2 2 10" xfId="4911" xr:uid="{00000000-0005-0000-0000-00004F210000}"/>
    <cellStyle name="Note 3 2 2 10 2" xfId="14237" xr:uid="{C0D6CCED-1793-4C5F-9128-FEDFAD13E86C}"/>
    <cellStyle name="Note 3 2 2 11" xfId="8945" xr:uid="{D320AF38-4F47-4266-9CB9-3BD7E15BFDAE}"/>
    <cellStyle name="Note 3 2 2 11 2" xfId="18269" xr:uid="{BE394CDC-394F-44CB-A97C-59FDECE10D8D}"/>
    <cellStyle name="Note 3 2 2 12" xfId="10020" xr:uid="{CF7DF8E9-A351-4428-A6ED-9A7AB1F70CF4}"/>
    <cellStyle name="Note 3 2 2 2" xfId="556" xr:uid="{00000000-0005-0000-0000-000050210000}"/>
    <cellStyle name="Note 3 2 2 2 10" xfId="9152" xr:uid="{24874F5B-4700-44ED-9556-84C4E89A274D}"/>
    <cellStyle name="Note 3 2 2 2 10 2" xfId="18476" xr:uid="{5DDFCA48-07B7-4F9D-949B-7A7FBBBCE145}"/>
    <cellStyle name="Note 3 2 2 2 11" xfId="10021" xr:uid="{0819E5F4-7646-4A8A-ACA6-AB4A29015811}"/>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AE842E9F-4C49-4779-9CD5-A75F33A212C2}"/>
    <cellStyle name="Note 3 2 2 2 2 2 3" xfId="12579" xr:uid="{0C75AB73-E1F5-4A43-AF4A-DD3153FC7B1C}"/>
    <cellStyle name="Note 3 2 2 2 2 3" xfId="5325" xr:uid="{00000000-0005-0000-0000-000054210000}"/>
    <cellStyle name="Note 3 2 2 2 2 3 2" xfId="14651" xr:uid="{DA56DA4F-BA91-4BC6-8B69-7172BA231156}"/>
    <cellStyle name="Note 3 2 2 2 2 4" xfId="9577" xr:uid="{7C0C89D7-CA14-4942-89B2-D584AC810EDC}"/>
    <cellStyle name="Note 3 2 2 2 2 4 2" xfId="18892" xr:uid="{B399AC2B-3618-4BF9-8CD2-EC2BF82FA236}"/>
    <cellStyle name="Note 3 2 2 2 2 5" xfId="10434" xr:uid="{1C7AD14C-47EB-43E4-9B61-B3E63D6761CF}"/>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BBE5F2C3-C9DC-4ABA-A062-C26D19921B2C}"/>
    <cellStyle name="Note 3 2 2 2 3 2 3" xfId="12992" xr:uid="{D46D4BA7-302A-49E7-89DE-4402CC2914A0}"/>
    <cellStyle name="Note 3 2 2 2 3 3" xfId="5738" xr:uid="{00000000-0005-0000-0000-000058210000}"/>
    <cellStyle name="Note 3 2 2 2 3 3 2" xfId="15064" xr:uid="{E22D0280-63CE-46C8-80C5-7BE79E307975}"/>
    <cellStyle name="Note 3 2 2 2 3 4" xfId="10847" xr:uid="{1618A806-1705-4A2D-BC21-30EDD686D810}"/>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7392B41E-3FA9-4791-B9AC-D9F78BA0C29C}"/>
    <cellStyle name="Note 3 2 2 2 4 2 3" xfId="13405" xr:uid="{50B0E390-2778-40DE-A5C6-64AA860BC02F}"/>
    <cellStyle name="Note 3 2 2 2 4 3" xfId="6151" xr:uid="{00000000-0005-0000-0000-00005C210000}"/>
    <cellStyle name="Note 3 2 2 2 4 3 2" xfId="15477" xr:uid="{6454E3B2-766B-44E6-A901-C421B385E33C}"/>
    <cellStyle name="Note 3 2 2 2 4 4" xfId="11260" xr:uid="{12EF1D16-4544-485C-BAAD-E19027D0AE1B}"/>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53F05E6D-F759-43C2-B074-AA58DFAF92DA}"/>
    <cellStyle name="Note 3 2 2 2 5 2 3" xfId="13818" xr:uid="{6B721C82-7D90-4B27-B51D-A28A6C865A8C}"/>
    <cellStyle name="Note 3 2 2 2 5 3" xfId="6564" xr:uid="{00000000-0005-0000-0000-000060210000}"/>
    <cellStyle name="Note 3 2 2 2 5 3 2" xfId="15890" xr:uid="{5A0F0FBB-2884-446C-B27F-F4C58646FBB3}"/>
    <cellStyle name="Note 3 2 2 2 5 4" xfId="11673" xr:uid="{9BEA04B1-E40E-4517-BE30-08FC504C8943}"/>
    <cellStyle name="Note 3 2 2 2 6" xfId="2694" xr:uid="{00000000-0005-0000-0000-000061210000}"/>
    <cellStyle name="Note 3 2 2 2 6 2" xfId="6977" xr:uid="{00000000-0005-0000-0000-000062210000}"/>
    <cellStyle name="Note 3 2 2 2 6 2 2" xfId="16303" xr:uid="{5EE0D38B-96DA-4851-BC59-F64350420C4C}"/>
    <cellStyle name="Note 3 2 2 2 6 3" xfId="12086" xr:uid="{A41A1F86-4733-46F0-B125-B1FC66EE8F35}"/>
    <cellStyle name="Note 3 2 2 2 7" xfId="2753" xr:uid="{00000000-0005-0000-0000-000063210000}"/>
    <cellStyle name="Note 3 2 2 2 8" xfId="2834" xr:uid="{00000000-0005-0000-0000-000064210000}"/>
    <cellStyle name="Note 3 2 2 2 8 2" xfId="7057" xr:uid="{00000000-0005-0000-0000-000065210000}"/>
    <cellStyle name="Note 3 2 2 2 8 2 2" xfId="16383" xr:uid="{865BD5B2-B97D-49E7-BCBA-7920B798AC9C}"/>
    <cellStyle name="Note 3 2 2 2 8 3" xfId="12166" xr:uid="{44580DAE-5604-494A-A17B-A84A736EA2B1}"/>
    <cellStyle name="Note 3 2 2 2 9" xfId="4912" xr:uid="{00000000-0005-0000-0000-000066210000}"/>
    <cellStyle name="Note 3 2 2 2 9 2" xfId="14238" xr:uid="{CD374F27-6A48-4CD1-8E55-29D810068A56}"/>
    <cellStyle name="Note 3 2 2 3" xfId="1015" xr:uid="{00000000-0005-0000-0000-000067210000}"/>
    <cellStyle name="Note 3 2 2 3 2" xfId="3247" xr:uid="{00000000-0005-0000-0000-000068210000}"/>
    <cellStyle name="Note 3 2 2 3 2 2" xfId="7469" xr:uid="{00000000-0005-0000-0000-000069210000}"/>
    <cellStyle name="Note 3 2 2 3 2 2 2" xfId="16795" xr:uid="{A8AED78A-6EC3-48C3-8AC3-C09080076A17}"/>
    <cellStyle name="Note 3 2 2 3 2 3" xfId="12578" xr:uid="{768AFE09-CE9B-48E3-BA13-05031572B72F}"/>
    <cellStyle name="Note 3 2 2 3 3" xfId="5324" xr:uid="{00000000-0005-0000-0000-00006A210000}"/>
    <cellStyle name="Note 3 2 2 3 3 2" xfId="14650" xr:uid="{401CEA6B-91E7-44C0-ABC9-4FC54306A7AF}"/>
    <cellStyle name="Note 3 2 2 3 4" xfId="9370" xr:uid="{7A803908-679B-4EF0-9BD4-89724B1FB321}"/>
    <cellStyle name="Note 3 2 2 3 4 2" xfId="18685" xr:uid="{B0962378-147D-4CA1-9526-77BBB07914DC}"/>
    <cellStyle name="Note 3 2 2 3 5" xfId="10433" xr:uid="{FFB85685-CBE1-426D-9D4E-48BDD17AA485}"/>
    <cellStyle name="Note 3 2 2 4" xfId="1430" xr:uid="{00000000-0005-0000-0000-00006B210000}"/>
    <cellStyle name="Note 3 2 2 4 2" xfId="3660" xr:uid="{00000000-0005-0000-0000-00006C210000}"/>
    <cellStyle name="Note 3 2 2 4 2 2" xfId="7882" xr:uid="{00000000-0005-0000-0000-00006D210000}"/>
    <cellStyle name="Note 3 2 2 4 2 2 2" xfId="17208" xr:uid="{C21A6C05-230F-460A-877F-11C70F0C5EAE}"/>
    <cellStyle name="Note 3 2 2 4 2 3" xfId="12991" xr:uid="{AA7BB14C-95A3-4461-BA28-155D58076542}"/>
    <cellStyle name="Note 3 2 2 4 3" xfId="5737" xr:uid="{00000000-0005-0000-0000-00006E210000}"/>
    <cellStyle name="Note 3 2 2 4 3 2" xfId="15063" xr:uid="{B5AF1A2D-4E7A-4562-B4CB-0DCC72C64310}"/>
    <cellStyle name="Note 3 2 2 4 4" xfId="10846" xr:uid="{4F5CF0B7-FD91-4ACB-9341-86266D522266}"/>
    <cellStyle name="Note 3 2 2 5" xfId="1844" xr:uid="{00000000-0005-0000-0000-00006F210000}"/>
    <cellStyle name="Note 3 2 2 5 2" xfId="4073" xr:uid="{00000000-0005-0000-0000-000070210000}"/>
    <cellStyle name="Note 3 2 2 5 2 2" xfId="8295" xr:uid="{00000000-0005-0000-0000-000071210000}"/>
    <cellStyle name="Note 3 2 2 5 2 2 2" xfId="17621" xr:uid="{3362F948-152C-454A-8697-1633F56E3F63}"/>
    <cellStyle name="Note 3 2 2 5 2 3" xfId="13404" xr:uid="{78A027B5-22A2-4235-A849-BE3527B0445C}"/>
    <cellStyle name="Note 3 2 2 5 3" xfId="6150" xr:uid="{00000000-0005-0000-0000-000072210000}"/>
    <cellStyle name="Note 3 2 2 5 3 2" xfId="15476" xr:uid="{B7238796-2D9E-447F-8DF1-58AE9C907050}"/>
    <cellStyle name="Note 3 2 2 5 4" xfId="11259" xr:uid="{66F4CFFF-96DC-4C49-AC87-32102DDA2ABB}"/>
    <cellStyle name="Note 3 2 2 6" xfId="2257" xr:uid="{00000000-0005-0000-0000-000073210000}"/>
    <cellStyle name="Note 3 2 2 6 2" xfId="4486" xr:uid="{00000000-0005-0000-0000-000074210000}"/>
    <cellStyle name="Note 3 2 2 6 2 2" xfId="8708" xr:uid="{00000000-0005-0000-0000-000075210000}"/>
    <cellStyle name="Note 3 2 2 6 2 2 2" xfId="18034" xr:uid="{5CD17CE4-47B4-4A95-BADA-551AF4586CDB}"/>
    <cellStyle name="Note 3 2 2 6 2 3" xfId="13817" xr:uid="{A5521B47-AD8D-4212-896A-8F1E4978B525}"/>
    <cellStyle name="Note 3 2 2 6 3" xfId="6563" xr:uid="{00000000-0005-0000-0000-000076210000}"/>
    <cellStyle name="Note 3 2 2 6 3 2" xfId="15889" xr:uid="{3CD9D134-9B69-4EF7-A5E1-273DE270BDE3}"/>
    <cellStyle name="Note 3 2 2 6 4" xfId="11672" xr:uid="{E8288463-07A6-4B6E-BB38-C7839E28F0B3}"/>
    <cellStyle name="Note 3 2 2 7" xfId="2693" xr:uid="{00000000-0005-0000-0000-000077210000}"/>
    <cellStyle name="Note 3 2 2 7 2" xfId="6976" xr:uid="{00000000-0005-0000-0000-000078210000}"/>
    <cellStyle name="Note 3 2 2 7 2 2" xfId="16302" xr:uid="{5F0E3809-18A5-49B0-A5A9-0BC4114DA0DE}"/>
    <cellStyle name="Note 3 2 2 7 3" xfId="12085" xr:uid="{61FBDCDE-3343-4EC8-9F08-C93BD7F170D0}"/>
    <cellStyle name="Note 3 2 2 8" xfId="2752" xr:uid="{00000000-0005-0000-0000-000079210000}"/>
    <cellStyle name="Note 3 2 2 9" xfId="2833" xr:uid="{00000000-0005-0000-0000-00007A210000}"/>
    <cellStyle name="Note 3 2 2 9 2" xfId="7056" xr:uid="{00000000-0005-0000-0000-00007B210000}"/>
    <cellStyle name="Note 3 2 2 9 2 2" xfId="16382" xr:uid="{4AE69562-379F-4B79-8AFB-A99E1FAB76C8}"/>
    <cellStyle name="Note 3 2 2 9 3" xfId="12165" xr:uid="{861387A3-7D4F-4B07-BB4C-34A5EB9DB5D0}"/>
    <cellStyle name="Note 3 2 3" xfId="557" xr:uid="{00000000-0005-0000-0000-00007C210000}"/>
    <cellStyle name="Note 3 2 3 10" xfId="9049" xr:uid="{98DA21AE-8EED-4AF2-A5D5-94394E9C9EFE}"/>
    <cellStyle name="Note 3 2 3 10 2" xfId="18373" xr:uid="{95142A5D-CA8E-4934-AF07-C3AEDE6CAF5C}"/>
    <cellStyle name="Note 3 2 3 11" xfId="10022" xr:uid="{2B06A2D4-C8B4-4E13-87A4-49EA78DA7FD3}"/>
    <cellStyle name="Note 3 2 3 2" xfId="1017" xr:uid="{00000000-0005-0000-0000-00007D210000}"/>
    <cellStyle name="Note 3 2 3 2 2" xfId="3249" xr:uid="{00000000-0005-0000-0000-00007E210000}"/>
    <cellStyle name="Note 3 2 3 2 2 2" xfId="7471" xr:uid="{00000000-0005-0000-0000-00007F210000}"/>
    <cellStyle name="Note 3 2 3 2 2 2 2" xfId="16797" xr:uid="{A2885A9A-D691-419E-A54B-FF7679292EAE}"/>
    <cellStyle name="Note 3 2 3 2 2 3" xfId="12580" xr:uid="{61294ABC-5F89-44B9-922D-087EABC34640}"/>
    <cellStyle name="Note 3 2 3 2 3" xfId="5326" xr:uid="{00000000-0005-0000-0000-000080210000}"/>
    <cellStyle name="Note 3 2 3 2 3 2" xfId="14652" xr:uid="{480CC7BE-416B-49B5-AE2D-03EB877D089D}"/>
    <cellStyle name="Note 3 2 3 2 4" xfId="9474" xr:uid="{8827394E-7DCF-4E58-BF45-94E8587F7D91}"/>
    <cellStyle name="Note 3 2 3 2 4 2" xfId="18789" xr:uid="{49C6A4A8-AFFE-4E38-912F-26BE2DB15165}"/>
    <cellStyle name="Note 3 2 3 2 5" xfId="10435" xr:uid="{18ED7265-147A-406A-B9B0-D2B0AC196A8F}"/>
    <cellStyle name="Note 3 2 3 3" xfId="1432" xr:uid="{00000000-0005-0000-0000-000081210000}"/>
    <cellStyle name="Note 3 2 3 3 2" xfId="3662" xr:uid="{00000000-0005-0000-0000-000082210000}"/>
    <cellStyle name="Note 3 2 3 3 2 2" xfId="7884" xr:uid="{00000000-0005-0000-0000-000083210000}"/>
    <cellStyle name="Note 3 2 3 3 2 2 2" xfId="17210" xr:uid="{B1871EFE-19C3-41AE-AF74-989A1B7C135C}"/>
    <cellStyle name="Note 3 2 3 3 2 3" xfId="12993" xr:uid="{040EB1D5-CBD1-410E-B7FB-B0490DE1DDD1}"/>
    <cellStyle name="Note 3 2 3 3 3" xfId="5739" xr:uid="{00000000-0005-0000-0000-000084210000}"/>
    <cellStyle name="Note 3 2 3 3 3 2" xfId="15065" xr:uid="{60C856D6-DAAB-491A-9D9C-8FA80159AFDB}"/>
    <cellStyle name="Note 3 2 3 3 4" xfId="10848" xr:uid="{88E27E76-4072-4124-B1E7-67D0E66B5EC6}"/>
    <cellStyle name="Note 3 2 3 4" xfId="1846" xr:uid="{00000000-0005-0000-0000-000085210000}"/>
    <cellStyle name="Note 3 2 3 4 2" xfId="4075" xr:uid="{00000000-0005-0000-0000-000086210000}"/>
    <cellStyle name="Note 3 2 3 4 2 2" xfId="8297" xr:uid="{00000000-0005-0000-0000-000087210000}"/>
    <cellStyle name="Note 3 2 3 4 2 2 2" xfId="17623" xr:uid="{F11FB7E4-F39B-4029-93F4-E20951C0A19A}"/>
    <cellStyle name="Note 3 2 3 4 2 3" xfId="13406" xr:uid="{63FD3F66-AB01-4B10-92C9-0A8B31810733}"/>
    <cellStyle name="Note 3 2 3 4 3" xfId="6152" xr:uid="{00000000-0005-0000-0000-000088210000}"/>
    <cellStyle name="Note 3 2 3 4 3 2" xfId="15478" xr:uid="{C23D88F2-61FC-412E-A35E-9186521AEB3A}"/>
    <cellStyle name="Note 3 2 3 4 4" xfId="11261" xr:uid="{A4CEFBFE-AB93-4035-9302-DFE86B11D727}"/>
    <cellStyle name="Note 3 2 3 5" xfId="2259" xr:uid="{00000000-0005-0000-0000-000089210000}"/>
    <cellStyle name="Note 3 2 3 5 2" xfId="4488" xr:uid="{00000000-0005-0000-0000-00008A210000}"/>
    <cellStyle name="Note 3 2 3 5 2 2" xfId="8710" xr:uid="{00000000-0005-0000-0000-00008B210000}"/>
    <cellStyle name="Note 3 2 3 5 2 2 2" xfId="18036" xr:uid="{F80135B7-CA14-4E03-8CB5-28667F186B61}"/>
    <cellStyle name="Note 3 2 3 5 2 3" xfId="13819" xr:uid="{4F87ACFA-1DEB-4CCE-B7BF-13AF029C0747}"/>
    <cellStyle name="Note 3 2 3 5 3" xfId="6565" xr:uid="{00000000-0005-0000-0000-00008C210000}"/>
    <cellStyle name="Note 3 2 3 5 3 2" xfId="15891" xr:uid="{77FE9913-7E2E-4B18-A472-A9CAD6C35C15}"/>
    <cellStyle name="Note 3 2 3 5 4" xfId="11674" xr:uid="{DEE7D08C-48E4-4397-A174-9BF9A466E785}"/>
    <cellStyle name="Note 3 2 3 6" xfId="2695" xr:uid="{00000000-0005-0000-0000-00008D210000}"/>
    <cellStyle name="Note 3 2 3 6 2" xfId="6978" xr:uid="{00000000-0005-0000-0000-00008E210000}"/>
    <cellStyle name="Note 3 2 3 6 2 2" xfId="16304" xr:uid="{DEA69DE4-D32B-4F73-A38F-E3A91ECE9881}"/>
    <cellStyle name="Note 3 2 3 6 3" xfId="12087" xr:uid="{09D2CC1A-2F84-4A6B-A588-FBF9518878EC}"/>
    <cellStyle name="Note 3 2 3 7" xfId="2754" xr:uid="{00000000-0005-0000-0000-00008F210000}"/>
    <cellStyle name="Note 3 2 3 8" xfId="2835" xr:uid="{00000000-0005-0000-0000-000090210000}"/>
    <cellStyle name="Note 3 2 3 8 2" xfId="7058" xr:uid="{00000000-0005-0000-0000-000091210000}"/>
    <cellStyle name="Note 3 2 3 8 2 2" xfId="16384" xr:uid="{B56A5346-797E-4C3A-A5A3-B6DDD5413EBA}"/>
    <cellStyle name="Note 3 2 3 8 3" xfId="12167" xr:uid="{00A4F463-439F-4C1C-845C-EC6A7D1E684E}"/>
    <cellStyle name="Note 3 2 3 9" xfId="4913" xr:uid="{00000000-0005-0000-0000-000092210000}"/>
    <cellStyle name="Note 3 2 3 9 2" xfId="14239" xr:uid="{D76E11A0-74AD-4677-9478-92A84EBAD643}"/>
    <cellStyle name="Note 3 2 4" xfId="1014" xr:uid="{00000000-0005-0000-0000-000093210000}"/>
    <cellStyle name="Note 3 2 4 2" xfId="3246" xr:uid="{00000000-0005-0000-0000-000094210000}"/>
    <cellStyle name="Note 3 2 4 2 2" xfId="7468" xr:uid="{00000000-0005-0000-0000-000095210000}"/>
    <cellStyle name="Note 3 2 4 2 2 2" xfId="16794" xr:uid="{BF4F3231-6B47-44DA-827B-32F4ADC88446}"/>
    <cellStyle name="Note 3 2 4 2 3" xfId="12577" xr:uid="{49146B4F-85E6-44CD-BB60-6F7CE4BE28A2}"/>
    <cellStyle name="Note 3 2 4 3" xfId="5323" xr:uid="{00000000-0005-0000-0000-000096210000}"/>
    <cellStyle name="Note 3 2 4 3 2" xfId="14649" xr:uid="{EEE5D855-DC66-4F28-98B0-7EAF1F7721DA}"/>
    <cellStyle name="Note 3 2 4 4" xfId="9267" xr:uid="{1291CED5-E18E-4F1A-8856-A132B18F5C81}"/>
    <cellStyle name="Note 3 2 4 4 2" xfId="18582" xr:uid="{71E0A04C-B8E9-4F91-A20D-C21F23C36B14}"/>
    <cellStyle name="Note 3 2 4 5" xfId="10432" xr:uid="{39243BB1-60EC-44B3-9D1D-3EE37C0D3DFA}"/>
    <cellStyle name="Note 3 2 5" xfId="1429" xr:uid="{00000000-0005-0000-0000-000097210000}"/>
    <cellStyle name="Note 3 2 5 2" xfId="3659" xr:uid="{00000000-0005-0000-0000-000098210000}"/>
    <cellStyle name="Note 3 2 5 2 2" xfId="7881" xr:uid="{00000000-0005-0000-0000-000099210000}"/>
    <cellStyle name="Note 3 2 5 2 2 2" xfId="17207" xr:uid="{00775DB6-6BA1-476F-847C-D216264716CF}"/>
    <cellStyle name="Note 3 2 5 2 3" xfId="12990" xr:uid="{57EC45B8-B2D7-4BEA-9AC8-983D1EF914A1}"/>
    <cellStyle name="Note 3 2 5 3" xfId="5736" xr:uid="{00000000-0005-0000-0000-00009A210000}"/>
    <cellStyle name="Note 3 2 5 3 2" xfId="15062" xr:uid="{27ED5FFE-73F9-4639-B009-3203D4C386AE}"/>
    <cellStyle name="Note 3 2 5 4" xfId="10845" xr:uid="{248B32E5-9074-462B-9DAB-3F31C0BC960B}"/>
    <cellStyle name="Note 3 2 6" xfId="1843" xr:uid="{00000000-0005-0000-0000-00009B210000}"/>
    <cellStyle name="Note 3 2 6 2" xfId="4072" xr:uid="{00000000-0005-0000-0000-00009C210000}"/>
    <cellStyle name="Note 3 2 6 2 2" xfId="8294" xr:uid="{00000000-0005-0000-0000-00009D210000}"/>
    <cellStyle name="Note 3 2 6 2 2 2" xfId="17620" xr:uid="{E591F649-A2FE-431D-A54F-19F6414624C3}"/>
    <cellStyle name="Note 3 2 6 2 3" xfId="13403" xr:uid="{F10B989F-7990-4795-A64D-76C4C63637E7}"/>
    <cellStyle name="Note 3 2 6 3" xfId="6149" xr:uid="{00000000-0005-0000-0000-00009E210000}"/>
    <cellStyle name="Note 3 2 6 3 2" xfId="15475" xr:uid="{599BA96B-688A-4A93-98CE-1717B72F701B}"/>
    <cellStyle name="Note 3 2 6 4" xfId="11258" xr:uid="{6D64BC1B-D75A-41A6-AA69-5B4464DDDAC3}"/>
    <cellStyle name="Note 3 2 7" xfId="2256" xr:uid="{00000000-0005-0000-0000-00009F210000}"/>
    <cellStyle name="Note 3 2 7 2" xfId="4485" xr:uid="{00000000-0005-0000-0000-0000A0210000}"/>
    <cellStyle name="Note 3 2 7 2 2" xfId="8707" xr:uid="{00000000-0005-0000-0000-0000A1210000}"/>
    <cellStyle name="Note 3 2 7 2 2 2" xfId="18033" xr:uid="{38AFE639-6450-4805-8527-F0C7DC979018}"/>
    <cellStyle name="Note 3 2 7 2 3" xfId="13816" xr:uid="{0CB53B27-C495-4F27-AEB9-06A58058FC3C}"/>
    <cellStyle name="Note 3 2 7 3" xfId="6562" xr:uid="{00000000-0005-0000-0000-0000A2210000}"/>
    <cellStyle name="Note 3 2 7 3 2" xfId="15888" xr:uid="{914F38B8-A6CF-4E0F-ADF1-C5BC384138B6}"/>
    <cellStyle name="Note 3 2 7 4" xfId="11671" xr:uid="{75668184-D615-4E92-B394-AD6B70746B6B}"/>
    <cellStyle name="Note 3 2 8" xfId="2692" xr:uid="{00000000-0005-0000-0000-0000A3210000}"/>
    <cellStyle name="Note 3 2 8 2" xfId="6975" xr:uid="{00000000-0005-0000-0000-0000A4210000}"/>
    <cellStyle name="Note 3 2 8 2 2" xfId="16301" xr:uid="{E72EC09F-70ED-4D3E-AF38-E139D7F43834}"/>
    <cellStyle name="Note 3 2 8 3" xfId="12084" xr:uid="{8946161B-CF0D-48E9-AD54-7A09E25EF443}"/>
    <cellStyle name="Note 3 2 9" xfId="2751" xr:uid="{00000000-0005-0000-0000-0000A5210000}"/>
    <cellStyle name="Note 3 3" xfId="558" xr:uid="{00000000-0005-0000-0000-0000A6210000}"/>
    <cellStyle name="Note 3 3 10" xfId="4914" xr:uid="{00000000-0005-0000-0000-0000A7210000}"/>
    <cellStyle name="Note 3 3 10 2" xfId="14240" xr:uid="{EEDF02D7-D045-4F5B-93DB-3687A33E10EB}"/>
    <cellStyle name="Note 3 3 11" xfId="8892" xr:uid="{8511F94A-7472-4DD0-A9AB-40754FEE5F47}"/>
    <cellStyle name="Note 3 3 11 2" xfId="18216" xr:uid="{2D777EA6-A1E9-4A66-96A1-D40A55D622E1}"/>
    <cellStyle name="Note 3 3 12" xfId="10023" xr:uid="{8CAB590E-0FB1-462D-9ABF-75A0D75117BF}"/>
    <cellStyle name="Note 3 3 2" xfId="559" xr:uid="{00000000-0005-0000-0000-0000A8210000}"/>
    <cellStyle name="Note 3 3 2 10" xfId="9099" xr:uid="{29F3AC20-D296-4B59-BA53-0A5C025B0569}"/>
    <cellStyle name="Note 3 3 2 10 2" xfId="18423" xr:uid="{8BA9B943-CF0E-44EC-8D9A-DD36F0137B25}"/>
    <cellStyle name="Note 3 3 2 11" xfId="10024" xr:uid="{DADB6596-7316-4CA5-84D6-4C66DB5CB6EE}"/>
    <cellStyle name="Note 3 3 2 2" xfId="1019" xr:uid="{00000000-0005-0000-0000-0000A9210000}"/>
    <cellStyle name="Note 3 3 2 2 2" xfId="3251" xr:uid="{00000000-0005-0000-0000-0000AA210000}"/>
    <cellStyle name="Note 3 3 2 2 2 2" xfId="7473" xr:uid="{00000000-0005-0000-0000-0000AB210000}"/>
    <cellStyle name="Note 3 3 2 2 2 2 2" xfId="16799" xr:uid="{DB7CA33A-9778-4860-8A09-BD9BA1CC326B}"/>
    <cellStyle name="Note 3 3 2 2 2 3" xfId="12582" xr:uid="{7C764484-443A-483A-BB39-825F8374DCCC}"/>
    <cellStyle name="Note 3 3 2 2 3" xfId="5328" xr:uid="{00000000-0005-0000-0000-0000AC210000}"/>
    <cellStyle name="Note 3 3 2 2 3 2" xfId="14654" xr:uid="{28743A3E-2765-4356-A49A-22104EE73899}"/>
    <cellStyle name="Note 3 3 2 2 4" xfId="9524" xr:uid="{D03F5DE7-D9AB-48C0-A1E3-0A929D2C18C5}"/>
    <cellStyle name="Note 3 3 2 2 4 2" xfId="18839" xr:uid="{F21CBAAE-9CF3-4138-A359-023FEDAABF81}"/>
    <cellStyle name="Note 3 3 2 2 5" xfId="10437" xr:uid="{0A1A2A65-3032-4DBB-BF35-E30DCAC45B7D}"/>
    <cellStyle name="Note 3 3 2 3" xfId="1434" xr:uid="{00000000-0005-0000-0000-0000AD210000}"/>
    <cellStyle name="Note 3 3 2 3 2" xfId="3664" xr:uid="{00000000-0005-0000-0000-0000AE210000}"/>
    <cellStyle name="Note 3 3 2 3 2 2" xfId="7886" xr:uid="{00000000-0005-0000-0000-0000AF210000}"/>
    <cellStyle name="Note 3 3 2 3 2 2 2" xfId="17212" xr:uid="{DDBC78BF-1BE7-4556-A57D-C9463216EAE6}"/>
    <cellStyle name="Note 3 3 2 3 2 3" xfId="12995" xr:uid="{0E38B28D-AE5D-4AD5-BC0A-A8F415117EB8}"/>
    <cellStyle name="Note 3 3 2 3 3" xfId="5741" xr:uid="{00000000-0005-0000-0000-0000B0210000}"/>
    <cellStyle name="Note 3 3 2 3 3 2" xfId="15067" xr:uid="{F907F241-77AC-48AC-8FF7-EF80F7B97D61}"/>
    <cellStyle name="Note 3 3 2 3 4" xfId="10850" xr:uid="{08B33F5C-2A85-4B7F-B197-11D3DBB8A301}"/>
    <cellStyle name="Note 3 3 2 4" xfId="1848" xr:uid="{00000000-0005-0000-0000-0000B1210000}"/>
    <cellStyle name="Note 3 3 2 4 2" xfId="4077" xr:uid="{00000000-0005-0000-0000-0000B2210000}"/>
    <cellStyle name="Note 3 3 2 4 2 2" xfId="8299" xr:uid="{00000000-0005-0000-0000-0000B3210000}"/>
    <cellStyle name="Note 3 3 2 4 2 2 2" xfId="17625" xr:uid="{428E87E0-1418-496B-9C28-D5F7CC83DBE6}"/>
    <cellStyle name="Note 3 3 2 4 2 3" xfId="13408" xr:uid="{CB871A02-27D3-4831-A7BB-A0CFAFC0B69E}"/>
    <cellStyle name="Note 3 3 2 4 3" xfId="6154" xr:uid="{00000000-0005-0000-0000-0000B4210000}"/>
    <cellStyle name="Note 3 3 2 4 3 2" xfId="15480" xr:uid="{685B1339-B1BC-45D1-BA45-FE6D1E8A3ADD}"/>
    <cellStyle name="Note 3 3 2 4 4" xfId="11263" xr:uid="{4D5667C0-E5B9-4A89-8768-A853D1C47D88}"/>
    <cellStyle name="Note 3 3 2 5" xfId="2261" xr:uid="{00000000-0005-0000-0000-0000B5210000}"/>
    <cellStyle name="Note 3 3 2 5 2" xfId="4490" xr:uid="{00000000-0005-0000-0000-0000B6210000}"/>
    <cellStyle name="Note 3 3 2 5 2 2" xfId="8712" xr:uid="{00000000-0005-0000-0000-0000B7210000}"/>
    <cellStyle name="Note 3 3 2 5 2 2 2" xfId="18038" xr:uid="{735818A8-C3DE-45CF-8839-C3BDCEBD2BA8}"/>
    <cellStyle name="Note 3 3 2 5 2 3" xfId="13821" xr:uid="{796B9E46-5325-4506-95B4-449A963060FF}"/>
    <cellStyle name="Note 3 3 2 5 3" xfId="6567" xr:uid="{00000000-0005-0000-0000-0000B8210000}"/>
    <cellStyle name="Note 3 3 2 5 3 2" xfId="15893" xr:uid="{B79616A3-A5C8-4D42-88C5-81FE20F5716E}"/>
    <cellStyle name="Note 3 3 2 5 4" xfId="11676" xr:uid="{92FD4EBD-956E-4A83-A438-DE0FFAA956CD}"/>
    <cellStyle name="Note 3 3 2 6" xfId="2697" xr:uid="{00000000-0005-0000-0000-0000B9210000}"/>
    <cellStyle name="Note 3 3 2 6 2" xfId="6980" xr:uid="{00000000-0005-0000-0000-0000BA210000}"/>
    <cellStyle name="Note 3 3 2 6 2 2" xfId="16306" xr:uid="{A5A68FB0-8A04-4115-9C24-C63566AA7E71}"/>
    <cellStyle name="Note 3 3 2 6 3" xfId="12089" xr:uid="{47875212-A58A-448D-9698-7157923601A1}"/>
    <cellStyle name="Note 3 3 2 7" xfId="2756" xr:uid="{00000000-0005-0000-0000-0000BB210000}"/>
    <cellStyle name="Note 3 3 2 8" xfId="2837" xr:uid="{00000000-0005-0000-0000-0000BC210000}"/>
    <cellStyle name="Note 3 3 2 8 2" xfId="7060" xr:uid="{00000000-0005-0000-0000-0000BD210000}"/>
    <cellStyle name="Note 3 3 2 8 2 2" xfId="16386" xr:uid="{740EE8C5-0AE9-4254-88EF-7E33C968F9C3}"/>
    <cellStyle name="Note 3 3 2 8 3" xfId="12169" xr:uid="{D697637D-F913-4360-BBE6-961D8CB7563D}"/>
    <cellStyle name="Note 3 3 2 9" xfId="4915" xr:uid="{00000000-0005-0000-0000-0000BE210000}"/>
    <cellStyle name="Note 3 3 2 9 2" xfId="14241" xr:uid="{534A6C5B-2811-472A-8E7C-49D0ABA61F39}"/>
    <cellStyle name="Note 3 3 3" xfId="1018" xr:uid="{00000000-0005-0000-0000-0000BF210000}"/>
    <cellStyle name="Note 3 3 3 2" xfId="3250" xr:uid="{00000000-0005-0000-0000-0000C0210000}"/>
    <cellStyle name="Note 3 3 3 2 2" xfId="7472" xr:uid="{00000000-0005-0000-0000-0000C1210000}"/>
    <cellStyle name="Note 3 3 3 2 2 2" xfId="16798" xr:uid="{626F51E8-D2A1-4049-A2D5-369016F131B1}"/>
    <cellStyle name="Note 3 3 3 2 3" xfId="12581" xr:uid="{E747AD8F-E31F-4827-AF30-4D21D9F7BA8A}"/>
    <cellStyle name="Note 3 3 3 3" xfId="5327" xr:uid="{00000000-0005-0000-0000-0000C2210000}"/>
    <cellStyle name="Note 3 3 3 3 2" xfId="14653" xr:uid="{581A311F-AB02-430F-B7AB-1F425B3C4084}"/>
    <cellStyle name="Note 3 3 3 4" xfId="9317" xr:uid="{171D8024-554D-4F15-BFD3-81CBE1A601EA}"/>
    <cellStyle name="Note 3 3 3 4 2" xfId="18632" xr:uid="{78328BBD-B5E9-4A27-8575-B858147551CF}"/>
    <cellStyle name="Note 3 3 3 5" xfId="10436" xr:uid="{D685A5F3-C9D1-4AC1-A726-F2165666E42C}"/>
    <cellStyle name="Note 3 3 4" xfId="1433" xr:uid="{00000000-0005-0000-0000-0000C3210000}"/>
    <cellStyle name="Note 3 3 4 2" xfId="3663" xr:uid="{00000000-0005-0000-0000-0000C4210000}"/>
    <cellStyle name="Note 3 3 4 2 2" xfId="7885" xr:uid="{00000000-0005-0000-0000-0000C5210000}"/>
    <cellStyle name="Note 3 3 4 2 2 2" xfId="17211" xr:uid="{3AC31819-2FAC-4AE1-8A08-EACB1FF0AD0C}"/>
    <cellStyle name="Note 3 3 4 2 3" xfId="12994" xr:uid="{3115E081-FA09-4A82-8F96-BB3129447320}"/>
    <cellStyle name="Note 3 3 4 3" xfId="5740" xr:uid="{00000000-0005-0000-0000-0000C6210000}"/>
    <cellStyle name="Note 3 3 4 3 2" xfId="15066" xr:uid="{C7005C72-694C-472A-9097-508346CB18BB}"/>
    <cellStyle name="Note 3 3 4 4" xfId="10849" xr:uid="{F85AB0BA-2962-4D6B-8E04-1D603CE030A3}"/>
    <cellStyle name="Note 3 3 5" xfId="1847" xr:uid="{00000000-0005-0000-0000-0000C7210000}"/>
    <cellStyle name="Note 3 3 5 2" xfId="4076" xr:uid="{00000000-0005-0000-0000-0000C8210000}"/>
    <cellStyle name="Note 3 3 5 2 2" xfId="8298" xr:uid="{00000000-0005-0000-0000-0000C9210000}"/>
    <cellStyle name="Note 3 3 5 2 2 2" xfId="17624" xr:uid="{F8E0A0EE-E8BE-44F9-A649-7B4095844DDB}"/>
    <cellStyle name="Note 3 3 5 2 3" xfId="13407" xr:uid="{78A1D9E1-F5B6-4F6A-9372-E74603E084A3}"/>
    <cellStyle name="Note 3 3 5 3" xfId="6153" xr:uid="{00000000-0005-0000-0000-0000CA210000}"/>
    <cellStyle name="Note 3 3 5 3 2" xfId="15479" xr:uid="{F6756F7D-ABAC-4D57-A16F-44C628E2A64E}"/>
    <cellStyle name="Note 3 3 5 4" xfId="11262" xr:uid="{2EDCE671-E792-4AC9-AD58-4004A6E8C5CE}"/>
    <cellStyle name="Note 3 3 6" xfId="2260" xr:uid="{00000000-0005-0000-0000-0000CB210000}"/>
    <cellStyle name="Note 3 3 6 2" xfId="4489" xr:uid="{00000000-0005-0000-0000-0000CC210000}"/>
    <cellStyle name="Note 3 3 6 2 2" xfId="8711" xr:uid="{00000000-0005-0000-0000-0000CD210000}"/>
    <cellStyle name="Note 3 3 6 2 2 2" xfId="18037" xr:uid="{54998748-05AD-4B20-B035-9198ED3F23F9}"/>
    <cellStyle name="Note 3 3 6 2 3" xfId="13820" xr:uid="{9413420E-1710-47A9-BC71-51E5ED7416EC}"/>
    <cellStyle name="Note 3 3 6 3" xfId="6566" xr:uid="{00000000-0005-0000-0000-0000CE210000}"/>
    <cellStyle name="Note 3 3 6 3 2" xfId="15892" xr:uid="{4ACD45E7-E1CC-4DBA-A8F1-A50077F58EF6}"/>
    <cellStyle name="Note 3 3 6 4" xfId="11675" xr:uid="{CC98F44E-1F2D-43F7-843F-2F4C5AA8D06B}"/>
    <cellStyle name="Note 3 3 7" xfId="2696" xr:uid="{00000000-0005-0000-0000-0000CF210000}"/>
    <cellStyle name="Note 3 3 7 2" xfId="6979" xr:uid="{00000000-0005-0000-0000-0000D0210000}"/>
    <cellStyle name="Note 3 3 7 2 2" xfId="16305" xr:uid="{D1882CBC-105C-4092-942F-B6914F021474}"/>
    <cellStyle name="Note 3 3 7 3" xfId="12088" xr:uid="{FD66EA24-ED8E-4213-8C28-CC85C835BDB2}"/>
    <cellStyle name="Note 3 3 8" xfId="2755" xr:uid="{00000000-0005-0000-0000-0000D1210000}"/>
    <cellStyle name="Note 3 3 9" xfId="2836" xr:uid="{00000000-0005-0000-0000-0000D2210000}"/>
    <cellStyle name="Note 3 3 9 2" xfId="7059" xr:uid="{00000000-0005-0000-0000-0000D3210000}"/>
    <cellStyle name="Note 3 3 9 2 2" xfId="16385" xr:uid="{09A7B164-35CE-496E-8654-C0505AAB1FCE}"/>
    <cellStyle name="Note 3 3 9 3" xfId="12168" xr:uid="{DFEEDAA4-D5B9-48A5-A184-ACECEF8CDBA7}"/>
    <cellStyle name="Note 3 4" xfId="560" xr:uid="{00000000-0005-0000-0000-0000D4210000}"/>
    <cellStyle name="Note 3 4 10" xfId="8996" xr:uid="{0D704BEA-0820-4E61-9EA3-F4C1E73C6543}"/>
    <cellStyle name="Note 3 4 10 2" xfId="18320" xr:uid="{8DADF9F1-374D-4AD7-82B5-9A6958A09004}"/>
    <cellStyle name="Note 3 4 11" xfId="10025" xr:uid="{3A603FB0-AE1B-4C16-9C1A-0B4480EBD786}"/>
    <cellStyle name="Note 3 4 2" xfId="1020" xr:uid="{00000000-0005-0000-0000-0000D5210000}"/>
    <cellStyle name="Note 3 4 2 2" xfId="3252" xr:uid="{00000000-0005-0000-0000-0000D6210000}"/>
    <cellStyle name="Note 3 4 2 2 2" xfId="7474" xr:uid="{00000000-0005-0000-0000-0000D7210000}"/>
    <cellStyle name="Note 3 4 2 2 2 2" xfId="16800" xr:uid="{7E65277C-EA0E-4507-AD57-3E1D7C37E3AB}"/>
    <cellStyle name="Note 3 4 2 2 3" xfId="12583" xr:uid="{9C5BABA5-93EE-4437-9661-A778E1CC0D00}"/>
    <cellStyle name="Note 3 4 2 3" xfId="5329" xr:uid="{00000000-0005-0000-0000-0000D8210000}"/>
    <cellStyle name="Note 3 4 2 3 2" xfId="14655" xr:uid="{6D91518C-0B98-426E-B6BA-80D5A54CDF2B}"/>
    <cellStyle name="Note 3 4 2 4" xfId="9421" xr:uid="{EC0A57E0-416C-4EC5-866A-A09E44531CB5}"/>
    <cellStyle name="Note 3 4 2 4 2" xfId="18736" xr:uid="{98491C34-A6CB-418B-BCF0-3CA22EA65EFB}"/>
    <cellStyle name="Note 3 4 2 5" xfId="10438" xr:uid="{ADA8228D-4481-4315-A250-8DE79F314B99}"/>
    <cellStyle name="Note 3 4 3" xfId="1435" xr:uid="{00000000-0005-0000-0000-0000D9210000}"/>
    <cellStyle name="Note 3 4 3 2" xfId="3665" xr:uid="{00000000-0005-0000-0000-0000DA210000}"/>
    <cellStyle name="Note 3 4 3 2 2" xfId="7887" xr:uid="{00000000-0005-0000-0000-0000DB210000}"/>
    <cellStyle name="Note 3 4 3 2 2 2" xfId="17213" xr:uid="{607D73D6-44C2-4662-B960-1119885C003F}"/>
    <cellStyle name="Note 3 4 3 2 3" xfId="12996" xr:uid="{9F97477E-FA12-414D-8A42-FCE6A01FAC7F}"/>
    <cellStyle name="Note 3 4 3 3" xfId="5742" xr:uid="{00000000-0005-0000-0000-0000DC210000}"/>
    <cellStyle name="Note 3 4 3 3 2" xfId="15068" xr:uid="{30DEB7C3-5F44-4C6F-AA67-72B9A3D01DC8}"/>
    <cellStyle name="Note 3 4 3 4" xfId="10851" xr:uid="{5E8E7888-6662-4B6D-BDA5-924EE395AD31}"/>
    <cellStyle name="Note 3 4 4" xfId="1849" xr:uid="{00000000-0005-0000-0000-0000DD210000}"/>
    <cellStyle name="Note 3 4 4 2" xfId="4078" xr:uid="{00000000-0005-0000-0000-0000DE210000}"/>
    <cellStyle name="Note 3 4 4 2 2" xfId="8300" xr:uid="{00000000-0005-0000-0000-0000DF210000}"/>
    <cellStyle name="Note 3 4 4 2 2 2" xfId="17626" xr:uid="{12757B2B-E165-49AE-8354-937E018263F8}"/>
    <cellStyle name="Note 3 4 4 2 3" xfId="13409" xr:uid="{1C5220B5-02BA-44F6-BCA9-5E07844CC968}"/>
    <cellStyle name="Note 3 4 4 3" xfId="6155" xr:uid="{00000000-0005-0000-0000-0000E0210000}"/>
    <cellStyle name="Note 3 4 4 3 2" xfId="15481" xr:uid="{8033902B-34F5-4443-BEB3-7F49AADB77BF}"/>
    <cellStyle name="Note 3 4 4 4" xfId="11264" xr:uid="{6B316C26-FE5B-44FB-B509-5FB7D693ADF9}"/>
    <cellStyle name="Note 3 4 5" xfId="2262" xr:uid="{00000000-0005-0000-0000-0000E1210000}"/>
    <cellStyle name="Note 3 4 5 2" xfId="4491" xr:uid="{00000000-0005-0000-0000-0000E2210000}"/>
    <cellStyle name="Note 3 4 5 2 2" xfId="8713" xr:uid="{00000000-0005-0000-0000-0000E3210000}"/>
    <cellStyle name="Note 3 4 5 2 2 2" xfId="18039" xr:uid="{D5B5B043-5C4D-4AC9-9ABE-430401D94129}"/>
    <cellStyle name="Note 3 4 5 2 3" xfId="13822" xr:uid="{89E04A02-B5E7-421E-95DE-4DE05E0D68AE}"/>
    <cellStyle name="Note 3 4 5 3" xfId="6568" xr:uid="{00000000-0005-0000-0000-0000E4210000}"/>
    <cellStyle name="Note 3 4 5 3 2" xfId="15894" xr:uid="{309FDA7F-5661-400A-906A-11C727EC5A17}"/>
    <cellStyle name="Note 3 4 5 4" xfId="11677" xr:uid="{E4B0E8CB-F88D-4691-881C-DFA9B2ACD08E}"/>
    <cellStyle name="Note 3 4 6" xfId="2698" xr:uid="{00000000-0005-0000-0000-0000E5210000}"/>
    <cellStyle name="Note 3 4 6 2" xfId="6981" xr:uid="{00000000-0005-0000-0000-0000E6210000}"/>
    <cellStyle name="Note 3 4 6 2 2" xfId="16307" xr:uid="{DCEABE5E-D301-41F5-830C-1D6E2F11F207}"/>
    <cellStyle name="Note 3 4 6 3" xfId="12090" xr:uid="{6A620361-D676-4EAB-9844-60A03DF4FE33}"/>
    <cellStyle name="Note 3 4 7" xfId="2757" xr:uid="{00000000-0005-0000-0000-0000E7210000}"/>
    <cellStyle name="Note 3 4 8" xfId="2838" xr:uid="{00000000-0005-0000-0000-0000E8210000}"/>
    <cellStyle name="Note 3 4 8 2" xfId="7061" xr:uid="{00000000-0005-0000-0000-0000E9210000}"/>
    <cellStyle name="Note 3 4 8 2 2" xfId="16387" xr:uid="{30AC4E80-A4DE-4425-8D8D-ED9555F67B2D}"/>
    <cellStyle name="Note 3 4 8 3" xfId="12170" xr:uid="{3B89DEB4-90BD-4EF9-8125-A7B4B33DE03B}"/>
    <cellStyle name="Note 3 4 9" xfId="4916" xr:uid="{00000000-0005-0000-0000-0000EA210000}"/>
    <cellStyle name="Note 3 4 9 2" xfId="14242" xr:uid="{8CA79F31-5404-4A3D-A994-0994409FCFEB}"/>
    <cellStyle name="Note 3 5" xfId="561" xr:uid="{00000000-0005-0000-0000-0000EB210000}"/>
    <cellStyle name="Note 3 5 10" xfId="9213" xr:uid="{D9D7FB9A-B03C-4A97-A778-36731B43DF3F}"/>
    <cellStyle name="Note 3 5 10 2" xfId="18529" xr:uid="{21A7D124-F30A-425C-96F5-1AEEEA441612}"/>
    <cellStyle name="Note 3 5 11" xfId="10026" xr:uid="{7B269172-E522-46F1-AC64-3269E3094B7A}"/>
    <cellStyle name="Note 3 5 2" xfId="1021" xr:uid="{00000000-0005-0000-0000-0000EC210000}"/>
    <cellStyle name="Note 3 5 2 2" xfId="3253" xr:uid="{00000000-0005-0000-0000-0000ED210000}"/>
    <cellStyle name="Note 3 5 2 2 2" xfId="7475" xr:uid="{00000000-0005-0000-0000-0000EE210000}"/>
    <cellStyle name="Note 3 5 2 2 2 2" xfId="16801" xr:uid="{FC34B223-C893-434A-AC72-BB864143839D}"/>
    <cellStyle name="Note 3 5 2 2 3" xfId="12584" xr:uid="{934BF83E-217B-4DCF-BCCB-995D53280405}"/>
    <cellStyle name="Note 3 5 2 3" xfId="5330" xr:uid="{00000000-0005-0000-0000-0000EF210000}"/>
    <cellStyle name="Note 3 5 2 3 2" xfId="14656" xr:uid="{57C0FDB5-680F-4AF8-9FB6-F1DDD2E29669}"/>
    <cellStyle name="Note 3 5 2 4" xfId="9611" xr:uid="{74765414-66B3-4FDA-BA21-3BFFEF98E338}"/>
    <cellStyle name="Note 3 5 2 4 2" xfId="18911" xr:uid="{0669E62B-12E0-444E-9301-86C352BD9A43}"/>
    <cellStyle name="Note 3 5 2 5" xfId="10439" xr:uid="{D89DDF64-9F7C-4E32-A0BC-5C68A6F81711}"/>
    <cellStyle name="Note 3 5 3" xfId="1436" xr:uid="{00000000-0005-0000-0000-0000F0210000}"/>
    <cellStyle name="Note 3 5 3 2" xfId="3666" xr:uid="{00000000-0005-0000-0000-0000F1210000}"/>
    <cellStyle name="Note 3 5 3 2 2" xfId="7888" xr:uid="{00000000-0005-0000-0000-0000F2210000}"/>
    <cellStyle name="Note 3 5 3 2 2 2" xfId="17214" xr:uid="{84C8F5E5-4F7F-4156-A3C7-DF28D3BDE40A}"/>
    <cellStyle name="Note 3 5 3 2 3" xfId="12997" xr:uid="{69E1ADCB-0149-4925-A544-616C9A7B5188}"/>
    <cellStyle name="Note 3 5 3 3" xfId="5743" xr:uid="{00000000-0005-0000-0000-0000F3210000}"/>
    <cellStyle name="Note 3 5 3 3 2" xfId="15069" xr:uid="{D66B2477-3C9F-4059-8624-4892EB458825}"/>
    <cellStyle name="Note 3 5 3 4" xfId="10852" xr:uid="{2749EA96-1306-4C06-B097-A965601CC1F9}"/>
    <cellStyle name="Note 3 5 4" xfId="1850" xr:uid="{00000000-0005-0000-0000-0000F4210000}"/>
    <cellStyle name="Note 3 5 4 2" xfId="4079" xr:uid="{00000000-0005-0000-0000-0000F5210000}"/>
    <cellStyle name="Note 3 5 4 2 2" xfId="8301" xr:uid="{00000000-0005-0000-0000-0000F6210000}"/>
    <cellStyle name="Note 3 5 4 2 2 2" xfId="17627" xr:uid="{4C98298C-C493-45EF-AD3F-4EA0045CED0A}"/>
    <cellStyle name="Note 3 5 4 2 3" xfId="13410" xr:uid="{C13B0D06-22EE-40F4-B35C-26F9DE266719}"/>
    <cellStyle name="Note 3 5 4 3" xfId="6156" xr:uid="{00000000-0005-0000-0000-0000F7210000}"/>
    <cellStyle name="Note 3 5 4 3 2" xfId="15482" xr:uid="{F913D1FD-982A-4870-84AB-7F7A3B5343BF}"/>
    <cellStyle name="Note 3 5 4 4" xfId="11265" xr:uid="{EF2C8D20-B661-443B-860C-2213887F2B1F}"/>
    <cellStyle name="Note 3 5 5" xfId="2263" xr:uid="{00000000-0005-0000-0000-0000F8210000}"/>
    <cellStyle name="Note 3 5 5 2" xfId="4492" xr:uid="{00000000-0005-0000-0000-0000F9210000}"/>
    <cellStyle name="Note 3 5 5 2 2" xfId="8714" xr:uid="{00000000-0005-0000-0000-0000FA210000}"/>
    <cellStyle name="Note 3 5 5 2 2 2" xfId="18040" xr:uid="{5AD507D9-E665-4616-A35A-CF3F9B194750}"/>
    <cellStyle name="Note 3 5 5 2 3" xfId="13823" xr:uid="{EF35C18E-0725-4043-9262-12731287FEA1}"/>
    <cellStyle name="Note 3 5 5 3" xfId="6569" xr:uid="{00000000-0005-0000-0000-0000FB210000}"/>
    <cellStyle name="Note 3 5 5 3 2" xfId="15895" xr:uid="{DB181277-7046-429E-8C0D-899D4FFB2CC9}"/>
    <cellStyle name="Note 3 5 5 4" xfId="11678" xr:uid="{777C4522-32A8-43CE-8378-5B10ED93504F}"/>
    <cellStyle name="Note 3 5 6" xfId="2699" xr:uid="{00000000-0005-0000-0000-0000FC210000}"/>
    <cellStyle name="Note 3 5 6 2" xfId="6982" xr:uid="{00000000-0005-0000-0000-0000FD210000}"/>
    <cellStyle name="Note 3 5 6 2 2" xfId="16308" xr:uid="{56F33D65-423C-4DBE-9828-99F2FD2C512A}"/>
    <cellStyle name="Note 3 5 6 3" xfId="12091" xr:uid="{E3C2AC81-1D7D-4350-9B8D-A4CC38C023DB}"/>
    <cellStyle name="Note 3 5 7" xfId="2758" xr:uid="{00000000-0005-0000-0000-0000FE210000}"/>
    <cellStyle name="Note 3 5 8" xfId="2839" xr:uid="{00000000-0005-0000-0000-0000FF210000}"/>
    <cellStyle name="Note 3 5 8 2" xfId="7062" xr:uid="{00000000-0005-0000-0000-000000220000}"/>
    <cellStyle name="Note 3 5 8 2 2" xfId="16388" xr:uid="{40CB0C00-ACDF-4C82-8740-0C1AB3D2E681}"/>
    <cellStyle name="Note 3 5 8 3" xfId="12171" xr:uid="{EBC8BE3B-9548-456A-BD11-768963B9300D}"/>
    <cellStyle name="Note 3 5 9" xfId="4917" xr:uid="{00000000-0005-0000-0000-000001220000}"/>
    <cellStyle name="Note 3 5 9 2" xfId="14243" xr:uid="{63D47472-4E50-40EF-8C7A-F2259EF35B9F}"/>
    <cellStyle name="Note 3 6" xfId="9588" xr:uid="{4A2A2C5B-BA67-4FBC-A2F1-7546BE1E0E7F}"/>
    <cellStyle name="Note 3 7" xfId="8789" xr:uid="{EE6BC007-A514-4F23-A927-A69B937DFEC6}"/>
    <cellStyle name="Note 3 7 2" xfId="18113" xr:uid="{D4BF08F8-B0E3-4713-BE87-483D1FF390D1}"/>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2 2" xfId="18896" xr:uid="{30A15DD4-ABB6-409C-84C8-B5A3FBE914CE}"/>
    <cellStyle name="Percent 3 3" xfId="13826" xr:uid="{58CBEF5B-4421-47EA-9373-1C5C5EA02B28}"/>
    <cellStyle name="Percent 4" xfId="4502" xr:uid="{00000000-0005-0000-0000-000007220000}"/>
    <cellStyle name="Percent 4 2" xfId="8717" xr:uid="{00000000-0005-0000-0000-000008220000}"/>
    <cellStyle name="Percent 4 2 2" xfId="18043" xr:uid="{FD336BFF-C804-40AA-9AA7-17D2E30AD557}"/>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2 2" xfId="18062" xr:uid="{ADC1EB4C-06E1-4A9F-98BE-11938AC00685}"/>
    <cellStyle name="Percent 4 3 2 2 2 2 3" xfId="18059" xr:uid="{65C5B395-A28F-4015-94C7-0F5E6C4D59D1}"/>
    <cellStyle name="Percent 4 3 2 2 2 3" xfId="18056" xr:uid="{49E1BCC2-AC3D-4FD4-978B-47C025D51DDD}"/>
    <cellStyle name="Percent 4 3 2 2 3" xfId="18052" xr:uid="{BD9D3D47-4CFC-4882-8FEE-B716B5C76D8B}"/>
    <cellStyle name="Percent 4 3 2 3" xfId="18049" xr:uid="{49972BA2-1063-40C0-AC75-F4D076BB3075}"/>
    <cellStyle name="Percent 4 3 3" xfId="18046" xr:uid="{3BD4439D-B7BD-4C4C-8D06-61BDCB32D414}"/>
    <cellStyle name="Percent 4 4" xfId="13829" xr:uid="{749F239B-C36B-4BC6-B1B3-C2A7C3939AE8}"/>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8" t="s">
        <v>0</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row>
    <row r="2" spans="1:38" ht="13.5" thickBot="1">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30" t="s">
        <v>5</v>
      </c>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357"/>
    </row>
    <row r="8" spans="1:38">
      <c r="A8" s="136"/>
      <c r="B8" s="136"/>
      <c r="C8" s="137"/>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357"/>
    </row>
    <row r="9" spans="1:38">
      <c r="A9" s="136"/>
      <c r="B9" s="136"/>
      <c r="C9" s="137"/>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30" t="s">
        <v>6</v>
      </c>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357"/>
    </row>
    <row r="12" spans="1:38">
      <c r="A12" s="136"/>
      <c r="B12" s="136"/>
      <c r="C12" s="137"/>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0"/>
      <c r="AE12" s="1230"/>
      <c r="AF12" s="1230"/>
      <c r="AG12" s="1230"/>
      <c r="AH12" s="1230"/>
      <c r="AI12" s="1230"/>
      <c r="AJ12" s="1230"/>
      <c r="AK12" s="1230"/>
      <c r="AL12" s="357"/>
    </row>
    <row r="13" spans="1:38">
      <c r="A13" s="136"/>
      <c r="B13" s="136"/>
      <c r="C13" s="137"/>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30" t="s">
        <v>7</v>
      </c>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357"/>
    </row>
    <row r="16" spans="1:38" ht="13.15" customHeight="1">
      <c r="A16" s="136"/>
      <c r="B16" s="136"/>
      <c r="C16" s="137"/>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c r="AH16" s="1230"/>
      <c r="AI16" s="1230"/>
      <c r="AJ16" s="1230"/>
      <c r="AK16" s="1230"/>
      <c r="AL16" s="357"/>
    </row>
    <row r="17" spans="1:38">
      <c r="A17" s="136"/>
      <c r="B17" s="136"/>
      <c r="C17" s="137"/>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357"/>
    </row>
    <row r="18" spans="1:38">
      <c r="A18" s="136"/>
      <c r="B18" s="136"/>
      <c r="C18" s="137"/>
      <c r="D18" s="419" t="s">
        <v>8</v>
      </c>
      <c r="E18" s="344"/>
      <c r="G18" s="344"/>
      <c r="H18" s="344"/>
      <c r="I18" s="344"/>
      <c r="J18" s="1232" t="s">
        <v>9</v>
      </c>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c r="AK18" s="1232"/>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30" t="s">
        <v>10</v>
      </c>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36"/>
    </row>
    <row r="21" spans="1:38">
      <c r="A21" s="136"/>
      <c r="B21" s="136"/>
      <c r="C21" s="137"/>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36"/>
    </row>
    <row r="22" spans="1:38">
      <c r="A22" s="136"/>
      <c r="B22" s="136"/>
      <c r="C22" s="137"/>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36"/>
    </row>
    <row r="23" spans="1:38" ht="13.15" customHeight="1">
      <c r="A23" s="136"/>
      <c r="B23" s="136"/>
      <c r="C23" s="137"/>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36"/>
    </row>
    <row r="24" spans="1:38">
      <c r="A24" s="136"/>
      <c r="B24" s="136"/>
      <c r="C24" s="137"/>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36"/>
    </row>
    <row r="25" spans="1:38">
      <c r="A25" s="136"/>
      <c r="B25" s="136"/>
      <c r="C25" s="137"/>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36"/>
    </row>
    <row r="26" spans="1:38">
      <c r="A26" s="136"/>
      <c r="B26" s="136"/>
      <c r="C26" s="137"/>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36"/>
    </row>
    <row r="27" spans="1:38">
      <c r="A27" s="136"/>
      <c r="B27" s="136"/>
      <c r="C27" s="137"/>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36"/>
    </row>
    <row r="28" spans="1:38">
      <c r="A28" s="136"/>
      <c r="B28" s="136"/>
      <c r="C28" s="137"/>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30" t="s">
        <v>11</v>
      </c>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36"/>
    </row>
    <row r="31" spans="1:38">
      <c r="A31" s="136"/>
      <c r="B31" s="136"/>
      <c r="C31" s="137"/>
      <c r="D31" s="357"/>
      <c r="E31" s="1238" t="s">
        <v>12</v>
      </c>
      <c r="F31" s="1239"/>
      <c r="G31" s="1239"/>
      <c r="H31" s="1239"/>
      <c r="I31" s="1239"/>
      <c r="J31" s="1239"/>
      <c r="K31" s="1239"/>
      <c r="L31" s="1239"/>
      <c r="M31" s="1239"/>
      <c r="N31" s="1239"/>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39"/>
      <c r="AL31" s="136"/>
    </row>
    <row r="32" spans="1:38">
      <c r="A32" s="3"/>
      <c r="C32" s="2"/>
    </row>
    <row r="33" spans="1:38">
      <c r="A33" s="3"/>
      <c r="D33" s="1231" t="s">
        <v>13</v>
      </c>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row>
    <row r="34" spans="1:38">
      <c r="A34" s="3"/>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row>
    <row r="35" spans="1:38">
      <c r="A35" s="3"/>
      <c r="D35" s="86"/>
      <c r="E35" s="1237" t="s">
        <v>14</v>
      </c>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row>
    <row r="36" spans="1:38">
      <c r="A36" s="3"/>
      <c r="D36" s="86"/>
      <c r="E36" s="1237" t="s">
        <v>15</v>
      </c>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30" customFormat="1" ht="13.15" customHeight="1">
      <c r="A40" s="3"/>
      <c r="B40"/>
      <c r="C40" s="2"/>
      <c r="D40" s="3"/>
      <c r="E40" s="3" t="s">
        <v>20</v>
      </c>
      <c r="F40" s="1230" t="s">
        <v>21</v>
      </c>
    </row>
    <row r="41" spans="1:38" s="1230"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35" t="s">
        <v>25</v>
      </c>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row>
    <row r="44" spans="1:38" s="84" customFormat="1">
      <c r="A44" s="3"/>
      <c r="B44"/>
      <c r="C44" s="2"/>
      <c r="D44" s="3"/>
      <c r="E44" s="3"/>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row>
    <row r="45" spans="1:38" s="84" customFormat="1" ht="13.15" customHeight="1">
      <c r="A45" s="3"/>
      <c r="B45"/>
      <c r="C45" s="2"/>
      <c r="D45" s="3"/>
      <c r="E45" s="3"/>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30" t="s">
        <v>30</v>
      </c>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row>
    <row r="49" spans="1:38">
      <c r="A49" s="3"/>
      <c r="C49" s="2"/>
      <c r="D49" s="3"/>
      <c r="E49" s="3"/>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row>
    <row r="50" spans="1:38">
      <c r="A50" s="3"/>
      <c r="C50" s="2"/>
      <c r="D50" s="3"/>
      <c r="F50" s="1230"/>
      <c r="G50" s="1230"/>
      <c r="H50" s="1230"/>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30" t="s">
        <v>42</v>
      </c>
      <c r="H64" s="1230"/>
      <c r="I64" s="1230"/>
      <c r="J64" s="1230"/>
      <c r="K64" s="1230"/>
      <c r="L64" s="1230"/>
      <c r="M64" s="1230"/>
      <c r="N64" s="1230"/>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row>
    <row r="65" spans="1:37">
      <c r="A65" s="3"/>
      <c r="C65" s="2"/>
      <c r="D65" s="3"/>
      <c r="E65" s="3"/>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row>
    <row r="66" spans="1:37">
      <c r="A66" s="3"/>
      <c r="C66" s="2"/>
      <c r="D66" s="3"/>
      <c r="E66" s="3"/>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row>
    <row r="67" spans="1:37" ht="13.15" customHeight="1">
      <c r="A67" s="3"/>
      <c r="C67" s="2"/>
      <c r="D67" s="3"/>
      <c r="E67" s="3"/>
      <c r="F67" t="s">
        <v>27</v>
      </c>
      <c r="G67" s="1230" t="s">
        <v>43</v>
      </c>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row>
    <row r="68" spans="1:37">
      <c r="A68" s="3"/>
      <c r="C68" s="2"/>
      <c r="D68" s="3"/>
      <c r="E68" s="3"/>
      <c r="F68" s="23"/>
      <c r="G68" s="1230"/>
      <c r="H68" s="1230"/>
      <c r="I68" s="1230"/>
      <c r="J68" s="1230"/>
      <c r="K68" s="1230"/>
      <c r="L68" s="1230"/>
      <c r="M68" s="1230"/>
      <c r="N68" s="1230"/>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30" t="s">
        <v>45</v>
      </c>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row>
    <row r="71" spans="1:37">
      <c r="A71" s="3"/>
      <c r="C71" s="2"/>
      <c r="D71" s="3"/>
      <c r="E71" s="3"/>
      <c r="F71" s="7"/>
      <c r="G71" s="1230"/>
      <c r="H71" s="1230"/>
      <c r="I71" s="1230"/>
      <c r="J71" s="1230"/>
      <c r="K71" s="1230"/>
      <c r="L71" s="1230"/>
      <c r="M71" s="1230"/>
      <c r="N71" s="1230"/>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row>
    <row r="72" spans="1:37">
      <c r="A72" s="3"/>
      <c r="C72" s="2"/>
      <c r="D72" s="3"/>
      <c r="E72" s="3"/>
      <c r="F72" s="7" t="s">
        <v>27</v>
      </c>
      <c r="G72" s="1230" t="s">
        <v>46</v>
      </c>
      <c r="H72" s="1230"/>
      <c r="I72" s="1230"/>
      <c r="J72" s="1230"/>
      <c r="K72" s="1230"/>
      <c r="L72" s="1230"/>
      <c r="M72" s="1230"/>
      <c r="N72" s="1230"/>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row>
    <row r="73" spans="1:37">
      <c r="A73" s="3"/>
      <c r="C73" s="2"/>
      <c r="D73" s="3"/>
      <c r="E73" s="3"/>
      <c r="F73" s="7"/>
      <c r="G73" s="1230"/>
      <c r="H73" s="1230"/>
      <c r="I73" s="1230"/>
      <c r="J73" s="1230"/>
      <c r="K73" s="1230"/>
      <c r="L73" s="1230"/>
      <c r="M73" s="1230"/>
      <c r="N73" s="1230"/>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30" t="s">
        <v>56</v>
      </c>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row>
    <row r="81" spans="1:37">
      <c r="A81" s="3"/>
      <c r="C81" s="2"/>
      <c r="D81" s="3"/>
      <c r="E81" s="3"/>
      <c r="F81" s="3"/>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row>
    <row r="82" spans="1:37">
      <c r="A82" s="3"/>
      <c r="C82" s="2"/>
      <c r="D82" s="3"/>
      <c r="E82" s="3"/>
      <c r="F82" s="3"/>
      <c r="G82" s="1230"/>
      <c r="H82" s="1230"/>
      <c r="I82" s="1230"/>
      <c r="J82" s="1230"/>
      <c r="K82" s="1230"/>
      <c r="L82" s="1230"/>
      <c r="M82" s="1230"/>
      <c r="N82" s="1230"/>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30" t="s">
        <v>59</v>
      </c>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row>
    <row r="85" spans="1:37">
      <c r="A85" s="3"/>
      <c r="C85" s="2"/>
      <c r="D85" s="3"/>
      <c r="E85" s="3"/>
      <c r="F85" s="3"/>
      <c r="G85" s="1230"/>
      <c r="H85" s="1230"/>
      <c r="I85" s="1230"/>
      <c r="J85" s="1230"/>
      <c r="K85" s="1230"/>
      <c r="L85" s="1230"/>
      <c r="M85" s="1230"/>
      <c r="N85" s="1230"/>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row>
    <row r="86" spans="1:37">
      <c r="A86" s="3"/>
      <c r="C86" s="2"/>
      <c r="D86" s="3"/>
      <c r="E86" s="3"/>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40" t="s">
        <v>62</v>
      </c>
      <c r="H88" s="1240"/>
      <c r="I88" s="1240"/>
      <c r="J88" s="1240"/>
      <c r="K88" s="1240"/>
      <c r="L88" s="1240"/>
      <c r="M88" s="1240"/>
      <c r="N88" s="1240"/>
      <c r="O88" s="1240"/>
      <c r="P88" s="1240"/>
      <c r="Q88" s="1240"/>
      <c r="R88" s="1240"/>
      <c r="S88" s="1240"/>
      <c r="T88" s="1240"/>
      <c r="U88" s="1240"/>
      <c r="V88" s="1240"/>
      <c r="W88" s="1240"/>
      <c r="X88" s="1240"/>
      <c r="Y88" s="1240"/>
      <c r="Z88" s="1240"/>
      <c r="AA88" s="1240"/>
      <c r="AB88" s="1240"/>
      <c r="AC88" s="1240"/>
      <c r="AD88" s="1240"/>
      <c r="AE88" s="1240"/>
      <c r="AF88" s="1240"/>
      <c r="AG88" s="1240"/>
      <c r="AH88" s="1240"/>
      <c r="AI88" s="1240"/>
      <c r="AJ88" s="1240"/>
      <c r="AK88" s="1240"/>
    </row>
    <row r="89" spans="1:37">
      <c r="A89" s="3"/>
      <c r="C89" s="2"/>
      <c r="D89" s="3"/>
      <c r="E89" s="3"/>
      <c r="G89" s="1240"/>
      <c r="H89" s="1240"/>
      <c r="I89" s="1240"/>
      <c r="J89" s="1240"/>
      <c r="K89" s="1240"/>
      <c r="L89" s="1240"/>
      <c r="M89" s="1240"/>
      <c r="N89" s="1240"/>
      <c r="O89" s="1240"/>
      <c r="P89" s="1240"/>
      <c r="Q89" s="1240"/>
      <c r="R89" s="1240"/>
      <c r="S89" s="1240"/>
      <c r="T89" s="1240"/>
      <c r="U89" s="1240"/>
      <c r="V89" s="1240"/>
      <c r="W89" s="1240"/>
      <c r="X89" s="1240"/>
      <c r="Y89" s="1240"/>
      <c r="Z89" s="1240"/>
      <c r="AA89" s="1240"/>
      <c r="AB89" s="1240"/>
      <c r="AC89" s="1240"/>
      <c r="AD89" s="1240"/>
      <c r="AE89" s="1240"/>
      <c r="AF89" s="1240"/>
      <c r="AG89" s="1240"/>
      <c r="AH89" s="1240"/>
      <c r="AI89" s="1240"/>
      <c r="AJ89" s="1240"/>
      <c r="AK89" s="1240"/>
    </row>
    <row r="90" spans="1:37">
      <c r="A90" s="3"/>
      <c r="C90" s="2"/>
      <c r="D90" s="3"/>
      <c r="E90" s="3"/>
      <c r="G90" s="1240"/>
      <c r="H90" s="1240"/>
      <c r="I90" s="1240"/>
      <c r="J90" s="1240"/>
      <c r="K90" s="1240"/>
      <c r="L90" s="1240"/>
      <c r="M90" s="1240"/>
      <c r="N90" s="1240"/>
      <c r="O90" s="1240"/>
      <c r="P90" s="1240"/>
      <c r="Q90" s="1240"/>
      <c r="R90" s="1240"/>
      <c r="S90" s="1240"/>
      <c r="T90" s="1240"/>
      <c r="U90" s="1240"/>
      <c r="V90" s="1240"/>
      <c r="W90" s="1240"/>
      <c r="X90" s="1240"/>
      <c r="Y90" s="1240"/>
      <c r="Z90" s="1240"/>
      <c r="AA90" s="1240"/>
      <c r="AB90" s="1240"/>
      <c r="AC90" s="1240"/>
      <c r="AD90" s="1240"/>
      <c r="AE90" s="1240"/>
      <c r="AF90" s="1240"/>
      <c r="AG90" s="1240"/>
      <c r="AH90" s="1240"/>
      <c r="AI90" s="1240"/>
      <c r="AJ90" s="1240"/>
      <c r="AK90" s="1240"/>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30" t="s">
        <v>65</v>
      </c>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c r="A93" s="3"/>
      <c r="C93" s="2"/>
      <c r="D93" s="3"/>
      <c r="E93" s="3"/>
      <c r="G93" s="1230"/>
      <c r="H93" s="1230"/>
      <c r="I93" s="1230"/>
      <c r="J93" s="1230"/>
      <c r="K93" s="1230"/>
      <c r="L93" s="1230"/>
      <c r="M93" s="1230"/>
      <c r="N93" s="1230"/>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30" t="s">
        <v>68</v>
      </c>
      <c r="H95" s="1230"/>
      <c r="I95" s="1230"/>
      <c r="J95" s="1230"/>
      <c r="K95" s="1230"/>
      <c r="L95" s="1230"/>
      <c r="M95" s="1230"/>
      <c r="N95" s="1230"/>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row>
    <row r="96" spans="1:37">
      <c r="A96" s="3"/>
      <c r="C96" s="2"/>
      <c r="D96" s="3"/>
      <c r="E96" s="3"/>
      <c r="G96" s="1230"/>
      <c r="H96" s="1230"/>
      <c r="I96" s="1230"/>
      <c r="J96" s="1230"/>
      <c r="K96" s="1230"/>
      <c r="L96" s="1230"/>
      <c r="M96" s="1230"/>
      <c r="N96" s="1230"/>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row>
    <row r="97" spans="1:38">
      <c r="A97" s="3"/>
      <c r="C97" s="2"/>
      <c r="D97" s="3"/>
      <c r="E97" s="3"/>
      <c r="G97" s="1230"/>
      <c r="H97" s="1230"/>
      <c r="I97" s="1230"/>
      <c r="J97" s="1230"/>
      <c r="K97" s="1230"/>
      <c r="L97" s="1230"/>
      <c r="M97" s="1230"/>
      <c r="N97" s="1230"/>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row>
    <row r="98" spans="1:38">
      <c r="A98" s="3"/>
      <c r="D98" s="74"/>
      <c r="E98" s="1241" t="s">
        <v>69</v>
      </c>
      <c r="F98" s="1241"/>
      <c r="G98" s="1241"/>
      <c r="H98" s="1241"/>
      <c r="I98" s="1241"/>
      <c r="J98" s="1241"/>
      <c r="K98" s="1241"/>
      <c r="L98" s="1241"/>
      <c r="M98" s="1241"/>
      <c r="N98" s="1241"/>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row>
    <row r="99" spans="1:38">
      <c r="A99" s="3"/>
      <c r="D99" s="74"/>
      <c r="E99" s="1241"/>
      <c r="F99" s="1241"/>
      <c r="G99" s="1241"/>
      <c r="H99" s="1241"/>
      <c r="I99" s="1241"/>
      <c r="J99" s="1241"/>
      <c r="K99" s="1241"/>
      <c r="L99" s="1241"/>
      <c r="M99" s="1241"/>
      <c r="N99" s="1241"/>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30" t="s">
        <v>158</v>
      </c>
      <c r="H205" s="1230"/>
      <c r="I205" s="1230"/>
      <c r="J205" s="1230"/>
      <c r="K205" s="1230"/>
      <c r="L205" s="1230"/>
      <c r="M205" s="1230"/>
      <c r="N205" s="1230"/>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row>
    <row r="206" spans="2:37">
      <c r="B206" s="3"/>
      <c r="C206" s="3"/>
      <c r="D206" s="2"/>
      <c r="G206" s="1230"/>
      <c r="H206" s="1230"/>
      <c r="I206" s="1230"/>
      <c r="J206" s="1230"/>
      <c r="K206" s="1230"/>
      <c r="L206" s="1230"/>
      <c r="M206" s="1230"/>
      <c r="N206" s="1230"/>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30" t="s">
        <v>263</v>
      </c>
      <c r="G336" s="1230"/>
      <c r="H336" s="1230"/>
      <c r="I336" s="1230"/>
      <c r="J336" s="1230"/>
      <c r="K336" s="1230"/>
      <c r="L336" s="1230"/>
      <c r="M336" s="1230"/>
      <c r="N336" s="1230"/>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row>
    <row r="337" spans="2:37">
      <c r="B337" s="2"/>
      <c r="E337" s="3"/>
      <c r="F337" s="1230"/>
      <c r="G337" s="1230"/>
      <c r="H337" s="1230"/>
      <c r="I337" s="1230"/>
      <c r="J337" s="1230"/>
      <c r="K337" s="1230"/>
      <c r="L337" s="1230"/>
      <c r="M337" s="1230"/>
      <c r="N337" s="1230"/>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row>
    <row r="338" spans="2:37">
      <c r="B338" s="2"/>
      <c r="E338" s="3"/>
      <c r="F338" s="1230"/>
      <c r="G338" s="1230"/>
      <c r="H338" s="1230"/>
      <c r="I338" s="1230"/>
      <c r="J338" s="1230"/>
      <c r="K338" s="1230"/>
      <c r="L338" s="1230"/>
      <c r="M338" s="1230"/>
      <c r="N338" s="1230"/>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2"/>
      <c r="E346" s="3" t="s">
        <v>18</v>
      </c>
      <c r="F346" s="1230" t="s">
        <v>266</v>
      </c>
      <c r="G346" s="1230"/>
      <c r="H346" s="1230"/>
      <c r="I346" s="1230"/>
      <c r="J346" s="1230"/>
      <c r="K346" s="1230"/>
      <c r="L346" s="1230"/>
      <c r="M346" s="1230"/>
      <c r="N346" s="1230"/>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row>
    <row r="347" spans="2:37">
      <c r="B347" s="2"/>
      <c r="E347" s="3"/>
      <c r="F347" s="1230"/>
      <c r="G347" s="1230"/>
      <c r="H347" s="1230"/>
      <c r="I347" s="1230"/>
      <c r="J347" s="1230"/>
      <c r="K347" s="1230"/>
      <c r="L347" s="1230"/>
      <c r="M347" s="1230"/>
      <c r="N347" s="1230"/>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row>
    <row r="348" spans="2:37">
      <c r="B348" s="2"/>
      <c r="E348" s="3"/>
      <c r="F348" s="1230"/>
      <c r="G348" s="1230"/>
      <c r="H348" s="1230"/>
      <c r="I348" s="1230"/>
      <c r="J348" s="1230"/>
      <c r="K348" s="1230"/>
      <c r="L348" s="1230"/>
      <c r="M348" s="1230"/>
      <c r="N348" s="1230"/>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row>
    <row r="349" spans="2:37">
      <c r="B349" s="2"/>
      <c r="E349" s="3"/>
      <c r="F349" s="1230"/>
      <c r="G349" s="1230"/>
      <c r="H349" s="1230"/>
      <c r="I349" s="1230"/>
      <c r="J349" s="1230"/>
      <c r="K349" s="1230"/>
      <c r="L349" s="1230"/>
      <c r="M349" s="1230"/>
      <c r="N349" s="1230"/>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row>
    <row r="350" spans="2:37">
      <c r="B350" s="2"/>
      <c r="E350" s="3" t="s">
        <v>31</v>
      </c>
      <c r="F350" s="1230" t="s">
        <v>267</v>
      </c>
      <c r="G350" s="1230"/>
      <c r="H350" s="1230"/>
      <c r="I350" s="1230"/>
      <c r="J350" s="1230"/>
      <c r="K350" s="1230"/>
      <c r="L350" s="1230"/>
      <c r="M350" s="1230"/>
      <c r="N350" s="1230"/>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row>
    <row r="351" spans="2:37">
      <c r="B351" s="2"/>
      <c r="F351" s="1230"/>
      <c r="G351" s="1230"/>
      <c r="H351" s="1230"/>
      <c r="I351" s="1230"/>
      <c r="J351" s="1230"/>
      <c r="K351" s="1230"/>
      <c r="L351" s="1230"/>
      <c r="M351" s="1230"/>
      <c r="N351" s="1230"/>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row>
    <row r="352" spans="2:37">
      <c r="B352" s="2"/>
      <c r="F352" s="1230"/>
      <c r="G352" s="1230"/>
      <c r="H352" s="1230"/>
      <c r="I352" s="1230"/>
      <c r="J352" s="1230"/>
      <c r="K352" s="1230"/>
      <c r="L352" s="1230"/>
      <c r="M352" s="1230"/>
      <c r="N352" s="1230"/>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4" t="s">
        <v>277</v>
      </c>
      <c r="F365" s="1234"/>
      <c r="G365" s="1234"/>
      <c r="H365" s="1234"/>
      <c r="I365" s="1234"/>
      <c r="J365" s="1234"/>
      <c r="K365" s="1234"/>
      <c r="L365" s="1234"/>
      <c r="M365" s="1234"/>
      <c r="N365" s="1234"/>
      <c r="O365" s="1234"/>
      <c r="P365" s="1234"/>
      <c r="Q365" s="1234"/>
      <c r="R365" s="1234"/>
      <c r="S365" s="1234"/>
      <c r="T365" s="1234"/>
      <c r="U365" s="1234"/>
      <c r="V365" s="1234"/>
      <c r="W365" s="1234"/>
      <c r="X365" s="1234"/>
      <c r="Y365" s="1234"/>
      <c r="Z365" s="1234"/>
      <c r="AA365" s="1234"/>
      <c r="AB365" s="1234"/>
      <c r="AC365" s="1234"/>
      <c r="AD365" s="1234"/>
      <c r="AE365" s="1234"/>
      <c r="AF365" s="1234"/>
      <c r="AG365" s="1234"/>
      <c r="AH365" s="1234"/>
      <c r="AI365" s="1234"/>
      <c r="AJ365" s="1234"/>
      <c r="AK365" s="1234"/>
      <c r="AL365" s="1234"/>
    </row>
    <row r="366" spans="1:38">
      <c r="B366" s="2"/>
      <c r="E366" s="1234"/>
      <c r="F366" s="1234"/>
      <c r="G366" s="1234"/>
      <c r="H366" s="1234"/>
      <c r="I366" s="1234"/>
      <c r="J366" s="1234"/>
      <c r="K366" s="1234"/>
      <c r="L366" s="1234"/>
      <c r="M366" s="1234"/>
      <c r="N366" s="1234"/>
      <c r="O366" s="1234"/>
      <c r="P366" s="1234"/>
      <c r="Q366" s="1234"/>
      <c r="R366" s="1234"/>
      <c r="S366" s="1234"/>
      <c r="T366" s="1234"/>
      <c r="U366" s="1234"/>
      <c r="V366" s="1234"/>
      <c r="W366" s="1234"/>
      <c r="X366" s="1234"/>
      <c r="Y366" s="1234"/>
      <c r="Z366" s="1234"/>
      <c r="AA366" s="1234"/>
      <c r="AB366" s="1234"/>
      <c r="AC366" s="1234"/>
      <c r="AD366" s="1234"/>
      <c r="AE366" s="1234"/>
      <c r="AF366" s="1234"/>
      <c r="AG366" s="1234"/>
      <c r="AH366" s="1234"/>
      <c r="AI366" s="1234"/>
      <c r="AJ366" s="1234"/>
      <c r="AK366" s="1234"/>
      <c r="AL366" s="1234"/>
    </row>
    <row r="367" spans="1:38" s="1236" customFormat="1">
      <c r="A367"/>
      <c r="B367" s="2"/>
      <c r="C367"/>
      <c r="D367"/>
      <c r="E367" s="1235" t="s">
        <v>278</v>
      </c>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row>
    <row r="368" spans="1:38" s="1236" customFormat="1">
      <c r="A368"/>
      <c r="B368" s="2"/>
      <c r="C368" s="2"/>
      <c r="D368"/>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30" t="s">
        <v>290</v>
      </c>
      <c r="G386" s="1230"/>
      <c r="H386" s="1230"/>
      <c r="I386" s="1230"/>
      <c r="J386" s="1230"/>
      <c r="K386" s="1230"/>
      <c r="L386" s="1230"/>
      <c r="M386" s="1230"/>
      <c r="N386" s="1230"/>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row>
    <row r="387" spans="1:38">
      <c r="B387" s="2"/>
      <c r="E387" s="3"/>
      <c r="F387" s="1230"/>
      <c r="G387" s="1230"/>
      <c r="H387" s="1230"/>
      <c r="I387" s="1230"/>
      <c r="J387" s="1230"/>
      <c r="K387" s="1230"/>
      <c r="L387" s="1230"/>
      <c r="M387" s="1230"/>
      <c r="N387" s="1230"/>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row>
    <row r="388" spans="1:38">
      <c r="B388" s="2"/>
      <c r="E388" s="3"/>
      <c r="F388" s="1230"/>
      <c r="G388" s="1230"/>
      <c r="H388" s="1230"/>
      <c r="I388" s="1230"/>
      <c r="J388" s="1230"/>
      <c r="K388" s="1230"/>
      <c r="L388" s="1230"/>
      <c r="M388" s="1230"/>
      <c r="N388" s="1230"/>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24" workbookViewId="0">
      <selection activeCell="K144" sqref="K144"/>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87" t="s">
        <v>2573</v>
      </c>
      <c r="B1" s="2587"/>
      <c r="C1" s="2587"/>
      <c r="D1" s="2587"/>
      <c r="E1" s="2587"/>
      <c r="F1" s="2587"/>
      <c r="G1" s="2587"/>
      <c r="H1" s="2587"/>
      <c r="I1" s="2587"/>
      <c r="J1" s="2587"/>
    </row>
    <row r="2" spans="1:13" ht="15" customHeight="1" thickBot="1">
      <c r="A2" s="931"/>
      <c r="B2" s="931"/>
      <c r="I2" s="932"/>
      <c r="K2" s="933"/>
    </row>
    <row r="3" spans="1:13" s="936" customFormat="1" ht="20.100000000000001" customHeight="1">
      <c r="A3" s="983"/>
      <c r="B3" s="984"/>
      <c r="C3" s="985"/>
      <c r="D3" s="990"/>
      <c r="E3" s="985"/>
      <c r="F3" s="986" t="s">
        <v>2574</v>
      </c>
      <c r="G3" s="985"/>
      <c r="H3" s="987">
        <f>E18</f>
        <v>11683010</v>
      </c>
      <c r="I3" s="988"/>
    </row>
    <row r="4" spans="1:13" s="936" customFormat="1" ht="20.100000000000001" customHeight="1">
      <c r="B4" s="977"/>
      <c r="D4" s="991"/>
      <c r="F4" s="976" t="s">
        <v>2575</v>
      </c>
      <c r="G4" s="975" t="s">
        <v>2576</v>
      </c>
      <c r="H4" s="1090">
        <f>I18</f>
        <v>4346428.5714285709</v>
      </c>
      <c r="I4" s="978"/>
      <c r="K4" s="940"/>
    </row>
    <row r="5" spans="1:13" s="936" customFormat="1" ht="20.100000000000001" customHeight="1" thickBot="1">
      <c r="B5" s="979"/>
      <c r="C5" s="980"/>
      <c r="D5" s="992"/>
      <c r="E5" s="981"/>
      <c r="F5" s="992" t="s">
        <v>2577</v>
      </c>
      <c r="G5" s="993"/>
      <c r="H5" s="989">
        <f>IFERROR(H3/H4,0)</f>
        <v>2.6879562859490553</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0" t="s">
        <v>2578</v>
      </c>
      <c r="C8" s="2591"/>
      <c r="D8" s="2591"/>
      <c r="E8" s="2592"/>
      <c r="G8" s="2593" t="s">
        <v>2579</v>
      </c>
      <c r="H8" s="2594"/>
      <c r="I8" s="2595"/>
      <c r="K8" s="942"/>
    </row>
    <row r="9" spans="1:13" ht="15" customHeight="1">
      <c r="A9" s="931"/>
      <c r="B9" s="2588" t="s">
        <v>2580</v>
      </c>
      <c r="C9" s="2588"/>
      <c r="D9" s="2588"/>
      <c r="E9" s="944">
        <f>G33</f>
        <v>2162500</v>
      </c>
      <c r="G9" s="2584" t="s">
        <v>2581</v>
      </c>
      <c r="H9" s="2584"/>
      <c r="I9" s="945">
        <f>MAX(SUMIF(Application!M562:M573,"Loan, Tax-Exempt",Application!AM562:AM573),27.5%*SUM('Sources and Uses Budget'!C8,'Sources and Uses Budget'!S105,'Sources and Uses Budget'!T105))</f>
        <v>5000000</v>
      </c>
      <c r="K9" s="946"/>
      <c r="M9" s="947"/>
    </row>
    <row r="10" spans="1:13" ht="15" customHeight="1" thickBot="1">
      <c r="A10" s="931"/>
      <c r="B10" s="2588" t="s">
        <v>2582</v>
      </c>
      <c r="C10" s="2588"/>
      <c r="D10" s="2588"/>
      <c r="E10" s="945">
        <f>G47</f>
        <v>6130260</v>
      </c>
      <c r="G10" s="2586" t="s">
        <v>2583</v>
      </c>
      <c r="H10" s="2586"/>
      <c r="I10" s="1023">
        <f>IF(OR(Application!Z205="State Farmworker Credit",Application!Z205="$500M (Farmworker Housing)"),0,'Basis &amp; Credits'!AB78)</f>
        <v>0</v>
      </c>
      <c r="M10" s="947"/>
    </row>
    <row r="11" spans="1:13" ht="15" customHeight="1">
      <c r="A11" s="931"/>
      <c r="B11" s="2597" t="s">
        <v>2584</v>
      </c>
      <c r="C11" s="2598"/>
      <c r="D11" s="2599"/>
      <c r="E11" s="945">
        <f>SUM(E13,E12)</f>
        <v>60000</v>
      </c>
      <c r="G11" s="2596" t="s">
        <v>2585</v>
      </c>
      <c r="H11" s="2596"/>
      <c r="I11" s="1022">
        <f>I9+I10</f>
        <v>5000000</v>
      </c>
      <c r="M11" s="947"/>
    </row>
    <row r="12" spans="1:13" ht="15" customHeight="1">
      <c r="A12" s="948"/>
      <c r="B12" s="2589" t="s">
        <v>2586</v>
      </c>
      <c r="C12" s="2589"/>
      <c r="D12" s="2589"/>
      <c r="E12" s="1047">
        <f>G56</f>
        <v>60000</v>
      </c>
      <c r="M12" s="947"/>
    </row>
    <row r="13" spans="1:13" ht="15" customHeight="1">
      <c r="A13" s="934"/>
      <c r="B13" s="2589" t="s">
        <v>2587</v>
      </c>
      <c r="C13" s="2589"/>
      <c r="D13" s="2589"/>
      <c r="E13" s="1047">
        <f>IF(G67,MAX(G65,G79),G65)</f>
        <v>0</v>
      </c>
      <c r="G13" s="2593" t="s">
        <v>2588</v>
      </c>
      <c r="H13" s="2594"/>
      <c r="I13" s="2595"/>
    </row>
    <row r="14" spans="1:13" ht="15" customHeight="1">
      <c r="A14" s="934"/>
      <c r="B14" s="2597" t="s">
        <v>2589</v>
      </c>
      <c r="C14" s="2598"/>
      <c r="D14" s="2599"/>
      <c r="E14" s="1049">
        <f>MAX(E15,E16)+E17</f>
        <v>3330250</v>
      </c>
      <c r="G14" s="2584" t="s">
        <v>2590</v>
      </c>
      <c r="H14" s="2584"/>
      <c r="I14" s="949">
        <f>IF(AND(G134="Yes",G136&lt;&gt;""),IF(OR(G141="Yes",G145="Yes"),18%,15%),0)</f>
        <v>0.18</v>
      </c>
      <c r="M14" s="947"/>
    </row>
    <row r="15" spans="1:13" ht="15" customHeight="1">
      <c r="A15" s="934"/>
      <c r="B15" s="2600" t="s">
        <v>2591</v>
      </c>
      <c r="C15" s="2601"/>
      <c r="D15" s="2602"/>
      <c r="E15" s="1047">
        <f>G94</f>
        <v>0</v>
      </c>
      <c r="G15" s="1020" t="s">
        <v>1898</v>
      </c>
      <c r="H15" s="1020"/>
      <c r="I15" s="949">
        <f>IF(Application!AJ1041&gt;0,10%,IF(Application!AJ1045&gt;0,5%,0))</f>
        <v>0</v>
      </c>
      <c r="M15" s="947"/>
    </row>
    <row r="16" spans="1:13" ht="15" customHeight="1">
      <c r="A16" s="934"/>
      <c r="B16" s="2600" t="s">
        <v>2592</v>
      </c>
      <c r="C16" s="2601"/>
      <c r="D16" s="2602"/>
      <c r="E16" s="1047">
        <f>G104</f>
        <v>865000</v>
      </c>
      <c r="G16" s="2584" t="s">
        <v>2593</v>
      </c>
      <c r="H16" s="2584"/>
      <c r="I16" s="949">
        <f>G155</f>
        <v>-4.9285714285714287E-2</v>
      </c>
    </row>
    <row r="17" spans="1:21" ht="15" customHeight="1" thickBot="1">
      <c r="A17" s="934"/>
      <c r="B17" s="2600" t="s">
        <v>2594</v>
      </c>
      <c r="C17" s="2601"/>
      <c r="D17" s="2602"/>
      <c r="E17" s="1047">
        <f>G129</f>
        <v>2465250</v>
      </c>
      <c r="G17" s="2584" t="s">
        <v>2595</v>
      </c>
      <c r="H17" s="2584"/>
      <c r="I17" s="949">
        <f>IF(AND(G161="Yes",G159),IF(G165&gt;15%,15%,G165),0)</f>
        <v>0</v>
      </c>
    </row>
    <row r="18" spans="1:21" ht="15" customHeight="1">
      <c r="A18" s="931"/>
      <c r="B18" s="2585" t="s">
        <v>2596</v>
      </c>
      <c r="C18" s="2585"/>
      <c r="D18" s="2585"/>
      <c r="E18" s="994">
        <f>SUM(E9:E11,E14)</f>
        <v>11683010</v>
      </c>
      <c r="G18" s="1021" t="s">
        <v>2597</v>
      </c>
      <c r="H18" s="1021"/>
      <c r="I18" s="995">
        <f>I11-((I11*I14)+(I11*I15)+(I11*I16)+(I11*I17))</f>
        <v>4346428.5714285709</v>
      </c>
      <c r="M18" s="950">
        <f>SUM(Cdlac[Quantity])</f>
        <v>35</v>
      </c>
      <c r="O18" s="969" t="s">
        <v>947</v>
      </c>
      <c r="P18" s="929">
        <f>MATCH(Application!T189,Application!CB160:CB217,0)</f>
        <v>15</v>
      </c>
      <c r="T18" s="950">
        <f>SUM(Cdlac[Population])</f>
        <v>0</v>
      </c>
    </row>
    <row r="19" spans="1:21" ht="15" customHeight="1">
      <c r="A19" s="931"/>
      <c r="B19" s="931"/>
      <c r="C19" s="931"/>
      <c r="D19" s="931"/>
      <c r="E19" s="931"/>
      <c r="L19" s="929" t="s">
        <v>2598</v>
      </c>
      <c r="M19" s="929" t="s">
        <v>2599</v>
      </c>
      <c r="N19" s="929" t="s">
        <v>2600</v>
      </c>
      <c r="O19" s="929" t="s">
        <v>2601</v>
      </c>
      <c r="P19" s="929" t="s">
        <v>2602</v>
      </c>
      <c r="Q19" s="929" t="s">
        <v>2603</v>
      </c>
      <c r="R19" s="929" t="s">
        <v>2604</v>
      </c>
      <c r="S19" s="929" t="s">
        <v>2605</v>
      </c>
      <c r="T19" s="929" t="s">
        <v>2606</v>
      </c>
      <c r="U19" s="929" t="s">
        <v>1010</v>
      </c>
    </row>
    <row r="20" spans="1:21" ht="15" customHeight="1">
      <c r="B20" s="951" t="str">
        <f>B9</f>
        <v>A. Unit Production Benefit</v>
      </c>
      <c r="C20" s="952"/>
      <c r="D20" s="952"/>
      <c r="E20" s="952"/>
      <c r="F20" s="952"/>
      <c r="G20" s="952"/>
      <c r="H20" s="952"/>
      <c r="I20" s="953"/>
      <c r="L20" s="929">
        <f>IFERROR(MIN(4,MATCH(Application!B726,UnitSizes,0)-1),"")</f>
        <v>1</v>
      </c>
      <c r="M20" s="950">
        <f>Application!G726</f>
        <v>1</v>
      </c>
      <c r="N20" s="956">
        <f>Application!AC726</f>
        <v>0.3</v>
      </c>
      <c r="O20" s="956">
        <f>IF(Cdlac[[#This Row],[Quantity]]&gt;0,IF(Cdlac[[#This Row],[Federal]],30%,IF(AND(OR(NOT($G$38),$G$38=""),$G$43),40%,Cdlac[[#This Row],[iAMI]])),"")</f>
        <v>0.3</v>
      </c>
      <c r="P20" s="950" cm="1">
        <f t="array" ref="P20">IF(Cdlac[[#This Row],[Quantity]]&gt;0,INDEX(TcacRents,$P$18,Cdlac[[#This Row],[Bedrooms]]+1)*Cdlac[[#This Row],[AMI]],"")</f>
        <v>528.6</v>
      </c>
      <c r="Q20" s="1046">
        <v>1006</v>
      </c>
      <c r="R20" s="950" cm="1">
        <f t="array" ref="R20">IF(Cdlac[[#This Row],[Quantity]]&gt;0,INDEX(HudFmrs,$P$18,Cdlac[[#This Row],[Bedrooms]]+1),"")</f>
        <v>1064</v>
      </c>
      <c r="S20" s="950">
        <f>IF(Cdlac[[#This Row],[Quantity]]&gt;0,MAX(0,Cdlac[[#This Row],[Fair Market Rent]]-IF(AND($G$37,$G$38,$G$38&lt;&gt;"",NOT(Cdlac[[#This Row],[Federal]]),Cdlac[[#This Row],[Preservation Rent]]&lt;&gt;""),Cdlac[[#This Row],[Preservation Rent]],Cdlac[[#This Row],[Restricted Rent]])),"")</f>
        <v>535.4</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1</v>
      </c>
    </row>
    <row r="21" spans="1:21" ht="15" customHeight="1">
      <c r="A21" s="931"/>
      <c r="B21" s="931"/>
      <c r="I21" s="954"/>
      <c r="L21" s="929">
        <f>IFERROR(MIN(4,MATCH(Application!B727,UnitSizes,0)-1),"")</f>
        <v>1</v>
      </c>
      <c r="M21" s="950">
        <f>Application!G727</f>
        <v>3</v>
      </c>
      <c r="N21" s="956">
        <f>Application!AC727</f>
        <v>0.5</v>
      </c>
      <c r="O21" s="956">
        <f>IF(Cdlac[[#This Row],[Quantity]]&gt;0,IF(Cdlac[[#This Row],[Federal]],30%,IF(AND(OR(NOT($G$38),$G$38=""),$G$43),40%,Cdlac[[#This Row],[iAMI]])),"")</f>
        <v>0.3</v>
      </c>
      <c r="P21" s="950" cm="1">
        <f t="array" ref="P21">IF(Cdlac[[#This Row],[Quantity]]&gt;0,INDEX(TcacRents,$P$18,Cdlac[[#This Row],[Bedrooms]]+1)*Cdlac[[#This Row],[AMI]],"")</f>
        <v>528.6</v>
      </c>
      <c r="Q21" s="1046">
        <v>1006</v>
      </c>
      <c r="R21" s="950" cm="1">
        <f t="array" ref="R21">IF(Cdlac[[#This Row],[Quantity]]&gt;0,INDEX(HudFmrs,$P$18,Cdlac[[#This Row],[Bedrooms]]+1),"")</f>
        <v>1064</v>
      </c>
      <c r="S21" s="950">
        <f>IF(Cdlac[[#This Row],[Quantity]]&gt;0,MAX(0,Cdlac[[#This Row],[Fair Market Rent]]-IF(AND($G$37,$G$38,$G$38&lt;&gt;"",NOT(Cdlac[[#This Row],[Federal]]),Cdlac[[#This Row],[Preservation Rent]]&lt;&gt;""),Cdlac[[#This Row],[Preservation Rent]],Cdlac[[#This Row],[Restricted Rent]])),"")</f>
        <v>535.4</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1</v>
      </c>
    </row>
    <row r="22" spans="1:21" ht="15" customHeight="1">
      <c r="A22" s="934"/>
      <c r="C22" s="2574" t="s">
        <v>2607</v>
      </c>
      <c r="D22" s="2574" t="s">
        <v>2608</v>
      </c>
      <c r="E22" s="2574" t="s">
        <v>2609</v>
      </c>
      <c r="F22" s="2574" t="s">
        <v>2610</v>
      </c>
      <c r="G22" s="2574" t="s">
        <v>2611</v>
      </c>
      <c r="H22" s="955"/>
      <c r="I22" s="954"/>
      <c r="L22" s="929">
        <f>IFERROR(MIN(4,MATCH(Application!B728,UnitSizes,0)-1),"")</f>
        <v>1</v>
      </c>
      <c r="M22" s="950">
        <f>Application!G728</f>
        <v>7</v>
      </c>
      <c r="N22" s="956">
        <f>Application!AC728</f>
        <v>0.6</v>
      </c>
      <c r="O22" s="956">
        <f>IF(Cdlac[[#This Row],[Quantity]]&gt;0,IF(Cdlac[[#This Row],[Federal]],30%,IF(AND(OR(NOT($G$38),$G$38=""),$G$43),40%,Cdlac[[#This Row],[iAMI]])),"")</f>
        <v>0.3</v>
      </c>
      <c r="P22" s="950" cm="1">
        <f t="array" ref="P22">IF(Cdlac[[#This Row],[Quantity]]&gt;0,INDEX(TcacRents,$P$18,Cdlac[[#This Row],[Bedrooms]]+1)*Cdlac[[#This Row],[AMI]],"")</f>
        <v>528.6</v>
      </c>
      <c r="Q22" s="1046">
        <v>1006</v>
      </c>
      <c r="R22" s="950" cm="1">
        <f t="array" ref="R22">IF(Cdlac[[#This Row],[Quantity]]&gt;0,INDEX(HudFmrs,$P$18,Cdlac[[#This Row],[Bedrooms]]+1),"")</f>
        <v>1064</v>
      </c>
      <c r="S22" s="950">
        <f>IF(Cdlac[[#This Row],[Quantity]]&gt;0,MAX(0,Cdlac[[#This Row],[Fair Market Rent]]-IF(AND($G$37,$G$38,$G$38&lt;&gt;"",NOT(Cdlac[[#This Row],[Federal]]),Cdlac[[#This Row],[Preservation Rent]]&lt;&gt;""),Cdlac[[#This Row],[Preservation Rent]],Cdlac[[#This Row],[Restricted Rent]])),"")</f>
        <v>535.4</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1</v>
      </c>
    </row>
    <row r="23" spans="1:21" ht="15" customHeight="1">
      <c r="A23" s="934"/>
      <c r="C23" s="2575"/>
      <c r="D23" s="2575"/>
      <c r="E23" s="2575"/>
      <c r="F23" s="2575"/>
      <c r="G23" s="2575"/>
      <c r="H23" s="955"/>
      <c r="I23" s="954"/>
      <c r="L23" s="929">
        <f>IFERROR(MIN(4,MATCH(Application!B729,UnitSizes,0)-1),"")</f>
        <v>1</v>
      </c>
      <c r="M23" s="950">
        <f>Application!G729</f>
        <v>1</v>
      </c>
      <c r="N23" s="956">
        <f>Application!AC729</f>
        <v>0.8</v>
      </c>
      <c r="O23" s="956">
        <f>IF(Cdlac[[#This Row],[Quantity]]&gt;0,IF(Cdlac[[#This Row],[Federal]],30%,IF(AND(OR(NOT($G$38),$G$38=""),$G$43),40%,Cdlac[[#This Row],[iAMI]])),"")</f>
        <v>0.3</v>
      </c>
      <c r="P23" s="950" cm="1">
        <f t="array" ref="P23">IF(Cdlac[[#This Row],[Quantity]]&gt;0,INDEX(TcacRents,$P$18,Cdlac[[#This Row],[Bedrooms]]+1)*Cdlac[[#This Row],[AMI]],"")</f>
        <v>528.6</v>
      </c>
      <c r="Q23" s="1046">
        <v>1006</v>
      </c>
      <c r="R23" s="950" cm="1">
        <f t="array" ref="R23">IF(Cdlac[[#This Row],[Quantity]]&gt;0,INDEX(HudFmrs,$P$18,Cdlac[[#This Row],[Bedrooms]]+1),"")</f>
        <v>1064</v>
      </c>
      <c r="S23" s="950">
        <f>IF(Cdlac[[#This Row],[Quantity]]&gt;0,MAX(0,Cdlac[[#This Row],[Fair Market Rent]]-IF(AND($G$37,$G$38,$G$38&lt;&gt;"",NOT(Cdlac[[#This Row],[Federal]]),Cdlac[[#This Row],[Preservation Rent]]&lt;&gt;""),Cdlac[[#This Row],[Preservation Rent]],Cdlac[[#This Row],[Restricted Rent]])),"")</f>
        <v>535.4</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1</v>
      </c>
    </row>
    <row r="24" spans="1:21" ht="15" customHeight="1">
      <c r="C24" s="957">
        <v>0</v>
      </c>
      <c r="D24" s="958">
        <v>0.9</v>
      </c>
      <c r="E24" s="957">
        <f>SUMIFS(Cdlac[Quantity],Cdlac[Bedrooms],C24)</f>
        <v>0</v>
      </c>
      <c r="F24" s="957">
        <f>E24</f>
        <v>0</v>
      </c>
      <c r="G24" s="957">
        <f>D24*F24</f>
        <v>0</v>
      </c>
      <c r="L24" s="929">
        <f>IFERROR(MIN(4,MATCH(Application!B730,UnitSizes,0)-1),"")</f>
        <v>3</v>
      </c>
      <c r="M24" s="950">
        <f>Application!G730</f>
        <v>2</v>
      </c>
      <c r="N24" s="956">
        <f>Application!AC730</f>
        <v>0.3</v>
      </c>
      <c r="O24" s="956">
        <f>IF(Cdlac[[#This Row],[Quantity]]&gt;0,IF(Cdlac[[#This Row],[Federal]],30%,IF(AND(OR(NOT($G$38),$G$38=""),$G$43),40%,Cdlac[[#This Row],[iAMI]])),"")</f>
        <v>0.3</v>
      </c>
      <c r="P24" s="950" cm="1">
        <f t="array" ref="P24">IF(Cdlac[[#This Row],[Quantity]]&gt;0,INDEX(TcacRents,$P$18,Cdlac[[#This Row],[Bedrooms]]+1)*Cdlac[[#This Row],[AMI]],"")</f>
        <v>732.6</v>
      </c>
      <c r="Q24" s="1046">
        <v>1829</v>
      </c>
      <c r="R24" s="950" cm="1">
        <f t="array" ref="R24">IF(Cdlac[[#This Row],[Quantity]]&gt;0,INDEX(HudFmrs,$P$18,Cdlac[[#This Row],[Bedrooms]]+1),"")</f>
        <v>1934</v>
      </c>
      <c r="S24" s="950">
        <f>IF(Cdlac[[#This Row],[Quantity]]&gt;0,MAX(0,Cdlac[[#This Row],[Fair Market Rent]]-IF(AND($G$37,$G$38,$G$38&lt;&gt;"",NOT(Cdlac[[#This Row],[Federal]]),Cdlac[[#This Row],[Preservation Rent]]&lt;&gt;""),Cdlac[[#This Row],[Preservation Rent]],Cdlac[[#This Row],[Restricted Rent]])),"")</f>
        <v>1201.4000000000001</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1</v>
      </c>
    </row>
    <row r="25" spans="1:21" ht="15" customHeight="1">
      <c r="C25" s="957">
        <v>1</v>
      </c>
      <c r="D25" s="958">
        <v>1</v>
      </c>
      <c r="E25" s="957">
        <f>SUMIFS(Cdlac[Quantity],Cdlac[Bedrooms],C25)</f>
        <v>12</v>
      </c>
      <c r="F25" s="957">
        <f>E25</f>
        <v>12</v>
      </c>
      <c r="G25" s="957">
        <f>D25*F25</f>
        <v>12</v>
      </c>
      <c r="L25" s="929">
        <f>IFERROR(MIN(4,MATCH(Application!B731,UnitSizes,0)-1),"")</f>
        <v>3</v>
      </c>
      <c r="M25" s="950">
        <f>Application!G731</f>
        <v>8</v>
      </c>
      <c r="N25" s="956">
        <f>Application!AC731</f>
        <v>0.5</v>
      </c>
      <c r="O25" s="956">
        <f>IF(Cdlac[[#This Row],[Quantity]]&gt;0,IF(Cdlac[[#This Row],[Federal]],30%,IF(AND(OR(NOT($G$38),$G$38=""),$G$43),40%,Cdlac[[#This Row],[iAMI]])),"")</f>
        <v>0.3</v>
      </c>
      <c r="P25" s="950" cm="1">
        <f t="array" ref="P25">IF(Cdlac[[#This Row],[Quantity]]&gt;0,INDEX(TcacRents,$P$18,Cdlac[[#This Row],[Bedrooms]]+1)*Cdlac[[#This Row],[AMI]],"")</f>
        <v>732.6</v>
      </c>
      <c r="Q25" s="1046">
        <v>1829</v>
      </c>
      <c r="R25" s="950" cm="1">
        <f t="array" ref="R25">IF(Cdlac[[#This Row],[Quantity]]&gt;0,INDEX(HudFmrs,$P$18,Cdlac[[#This Row],[Bedrooms]]+1),"")</f>
        <v>1934</v>
      </c>
      <c r="S25" s="950">
        <f>IF(Cdlac[[#This Row],[Quantity]]&gt;0,MAX(0,Cdlac[[#This Row],[Fair Market Rent]]-IF(AND($G$37,$G$38,$G$38&lt;&gt;"",NOT(Cdlac[[#This Row],[Federal]]),Cdlac[[#This Row],[Preservation Rent]]&lt;&gt;""),Cdlac[[#This Row],[Preservation Rent]],Cdlac[[#This Row],[Restricted Rent]])),"")</f>
        <v>1201.4000000000001</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1</v>
      </c>
    </row>
    <row r="26" spans="1:21" ht="15" customHeight="1">
      <c r="A26" s="959"/>
      <c r="C26" s="960">
        <v>2</v>
      </c>
      <c r="D26" s="958">
        <v>1.25</v>
      </c>
      <c r="E26" s="957">
        <f>SUMIFS(Cdlac[Quantity],Cdlac[Bedrooms],C26)</f>
        <v>0</v>
      </c>
      <c r="F26" s="960">
        <f>SUM(E26:E28)-SUM(F27:F28)</f>
        <v>13</v>
      </c>
      <c r="G26" s="957">
        <f>D26*F26</f>
        <v>16.25</v>
      </c>
      <c r="H26" s="959"/>
      <c r="I26" s="959"/>
      <c r="L26" s="929">
        <f>IFERROR(MIN(4,MATCH(Application!B732,UnitSizes,0)-1),"")</f>
        <v>3</v>
      </c>
      <c r="M26" s="950">
        <f>Application!G732</f>
        <v>11</v>
      </c>
      <c r="N26" s="956">
        <f>Application!AC732</f>
        <v>0.6</v>
      </c>
      <c r="O26" s="956">
        <f>IF(Cdlac[[#This Row],[Quantity]]&gt;0,IF(Cdlac[[#This Row],[Federal]],30%,IF(AND(OR(NOT($G$38),$G$38=""),$G$43),40%,Cdlac[[#This Row],[iAMI]])),"")</f>
        <v>0.3</v>
      </c>
      <c r="P26" s="950" cm="1">
        <f t="array" ref="P26">IF(Cdlac[[#This Row],[Quantity]]&gt;0,INDEX(TcacRents,$P$18,Cdlac[[#This Row],[Bedrooms]]+1)*Cdlac[[#This Row],[AMI]],"")</f>
        <v>732.6</v>
      </c>
      <c r="Q26" s="1046">
        <v>1829</v>
      </c>
      <c r="R26" s="950" cm="1">
        <f t="array" ref="R26">IF(Cdlac[[#This Row],[Quantity]]&gt;0,INDEX(HudFmrs,$P$18,Cdlac[[#This Row],[Bedrooms]]+1),"")</f>
        <v>1934</v>
      </c>
      <c r="S26" s="950">
        <f>IF(Cdlac[[#This Row],[Quantity]]&gt;0,MAX(0,Cdlac[[#This Row],[Fair Market Rent]]-IF(AND($G$37,$G$38,$G$38&lt;&gt;"",NOT(Cdlac[[#This Row],[Federal]]),Cdlac[[#This Row],[Preservation Rent]]&lt;&gt;""),Cdlac[[#This Row],[Preservation Rent]],Cdlac[[#This Row],[Restricted Rent]])),"")</f>
        <v>1201.4000000000001</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1</v>
      </c>
    </row>
    <row r="27" spans="1:21" ht="15" customHeight="1">
      <c r="A27" s="959"/>
      <c r="C27" s="960">
        <v>3</v>
      </c>
      <c r="D27" s="958">
        <f>1.5+0.25*0</f>
        <v>1.5</v>
      </c>
      <c r="E27" s="957">
        <f>SUMIFS(Cdlac[Quantity],Cdlac[Bedrooms],C27)</f>
        <v>23</v>
      </c>
      <c r="F27" s="960">
        <f>MIN(E27,ROUNDDOWN(E29*30%,0))</f>
        <v>10</v>
      </c>
      <c r="G27" s="957">
        <f>D27*F27</f>
        <v>15</v>
      </c>
      <c r="H27" s="959"/>
      <c r="I27" s="959"/>
      <c r="L27" s="929">
        <f>IFERROR(MIN(4,MATCH(Application!B733,UnitSizes,0)-1),"")</f>
        <v>3</v>
      </c>
      <c r="M27" s="950">
        <f>Application!G733</f>
        <v>2</v>
      </c>
      <c r="N27" s="956">
        <f>Application!AC733</f>
        <v>0.8</v>
      </c>
      <c r="O27" s="956">
        <f>IF(Cdlac[[#This Row],[Quantity]]&gt;0,IF(Cdlac[[#This Row],[Federal]],30%,IF(AND(OR(NOT($G$38),$G$38=""),$G$43),40%,Cdlac[[#This Row],[iAMI]])),"")</f>
        <v>0.3</v>
      </c>
      <c r="P27" s="950" cm="1">
        <f t="array" ref="P27">IF(Cdlac[[#This Row],[Quantity]]&gt;0,INDEX(TcacRents,$P$18,Cdlac[[#This Row],[Bedrooms]]+1)*Cdlac[[#This Row],[AMI]],"")</f>
        <v>732.6</v>
      </c>
      <c r="Q27" s="1046">
        <v>1829</v>
      </c>
      <c r="R27" s="950" cm="1">
        <f t="array" ref="R27">IF(Cdlac[[#This Row],[Quantity]]&gt;0,INDEX(HudFmrs,$P$18,Cdlac[[#This Row],[Bedrooms]]+1),"")</f>
        <v>1934</v>
      </c>
      <c r="S27" s="950">
        <f>IF(Cdlac[[#This Row],[Quantity]]&gt;0,MAX(0,Cdlac[[#This Row],[Fair Market Rent]]-IF(AND($G$37,$G$38,$G$38&lt;&gt;"",NOT(Cdlac[[#This Row],[Federal]]),Cdlac[[#This Row],[Preservation Rent]]&lt;&gt;""),Cdlac[[#This Row],[Preservation Rent]],Cdlac[[#This Row],[Restricted Rent]])),"")</f>
        <v>1201.4000000000001</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1</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604" t="s">
        <v>1915</v>
      </c>
      <c r="D29" s="2605"/>
      <c r="E29" s="973">
        <f>SUM(E24:E28)</f>
        <v>35</v>
      </c>
      <c r="F29" s="973">
        <f>SUM(F24:F28)</f>
        <v>35</v>
      </c>
      <c r="G29" s="974">
        <f>SUMPRODUCT(D24:D28,F24:F28)</f>
        <v>43.25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2611</v>
      </c>
      <c r="G31" s="997">
        <f>G29</f>
        <v>43.25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2612</v>
      </c>
      <c r="F32" s="996" t="s">
        <v>2613</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2614</v>
      </c>
      <c r="F33" s="931"/>
      <c r="G33" s="1002">
        <f>G32*G31</f>
        <v>2162500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2615</v>
      </c>
      <c r="G37" s="929" t="b">
        <f>'Points System'!AK61&gt;0</f>
        <v>1</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2616</v>
      </c>
      <c r="G38" s="1045" t="b">
        <v>1</v>
      </c>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607"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07"/>
      <c r="E39" s="2607"/>
      <c r="F39" s="2607"/>
      <c r="G39" s="2607"/>
      <c r="H39" s="2607"/>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607"/>
      <c r="D40" s="2607"/>
      <c r="E40" s="2607"/>
      <c r="F40" s="2607"/>
      <c r="G40" s="2607"/>
      <c r="H40" s="2607"/>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607"/>
      <c r="D41" s="2607"/>
      <c r="E41" s="2607"/>
      <c r="F41" s="2607"/>
      <c r="G41" s="2607"/>
      <c r="H41" s="2607"/>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2617</v>
      </c>
      <c r="G42" s="1003" t="e" cm="1">
        <f t="array" ref="G42">SUMPRODUCT(Cdlac[Quantity],Cdlac[iAMI],IF(Cdlac[Federal],0,1))/SUMIFS(Cdlac[Quantity],Cdlac[Federal],FALSE)</f>
        <v>#DIV/0!</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2618</v>
      </c>
      <c r="G43" s="966" t="e">
        <f>G42&lt;40%</f>
        <v>#DIV/0!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2619</v>
      </c>
      <c r="G45" s="963">
        <f>IFERROR(SUMPRODUCT(Cdlac[Quantity],Cdlac[Delta]),0)</f>
        <v>34057</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2620</v>
      </c>
      <c r="F46" s="996" t="s">
        <v>2613</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2621</v>
      </c>
      <c r="F47" s="931"/>
      <c r="G47" s="1006">
        <f>G45*G46</f>
        <v>6130260</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2622</v>
      </c>
      <c r="G51" s="964">
        <f>SUMIFS(Cdlac[Quantity],Cdlac[iAMI],"&lt;=30%")</f>
        <v>3</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2623</v>
      </c>
      <c r="G52" s="964">
        <f>ROUNDDOWN(E29*50%,0)</f>
        <v>17</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2624</v>
      </c>
      <c r="G54" s="997">
        <f>MIN(G51:G52)</f>
        <v>3</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2612</v>
      </c>
      <c r="F55" s="996" t="s">
        <v>2613</v>
      </c>
      <c r="G55" s="1007">
        <v>20000</v>
      </c>
      <c r="M55" s="950"/>
      <c r="N55" s="956"/>
      <c r="O55" s="956"/>
      <c r="P55" s="950"/>
      <c r="Q55" s="1046"/>
      <c r="R55" s="950"/>
      <c r="S55" s="950"/>
    </row>
    <row r="56" spans="2:21" ht="15" customHeight="1">
      <c r="E56" s="1001" t="s">
        <v>2625</v>
      </c>
      <c r="F56" s="931"/>
      <c r="G56" s="1006">
        <f>G54*G55</f>
        <v>60000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2626</v>
      </c>
      <c r="G60" s="1091">
        <f>T18</f>
        <v>0</v>
      </c>
    </row>
    <row r="61" spans="2:21" ht="15" customHeight="1">
      <c r="E61" s="1000" t="s">
        <v>2623</v>
      </c>
      <c r="G61" s="997">
        <f>ROUNDDOWN(E29*50%,0)</f>
        <v>17</v>
      </c>
    </row>
    <row r="62" spans="2:21" ht="15" customHeight="1">
      <c r="E62" s="1000"/>
      <c r="G62" s="1008"/>
    </row>
    <row r="63" spans="2:21" ht="15" customHeight="1">
      <c r="E63" s="1000" t="s">
        <v>2624</v>
      </c>
      <c r="G63" s="997">
        <f>MIN(G60:G61)</f>
        <v>0</v>
      </c>
    </row>
    <row r="64" spans="2:21" ht="15" customHeight="1">
      <c r="E64" s="1000" t="s">
        <v>2612</v>
      </c>
      <c r="F64" s="996" t="s">
        <v>2613</v>
      </c>
      <c r="G64" s="1007">
        <v>10000</v>
      </c>
    </row>
    <row r="65" spans="5:7" ht="15" customHeight="1">
      <c r="E65" s="1001" t="s">
        <v>2627</v>
      </c>
      <c r="F65" s="931"/>
      <c r="G65" s="1006">
        <f>G63*G64</f>
        <v>0</v>
      </c>
    </row>
    <row r="66" spans="5:7" ht="15" customHeight="1">
      <c r="E66" s="1001"/>
      <c r="F66" s="931"/>
      <c r="G66" s="1006"/>
    </row>
    <row r="67" spans="5:7" ht="15" customHeight="1">
      <c r="E67" s="969" t="s">
        <v>2628</v>
      </c>
      <c r="G67" s="929" t="b">
        <f>Application!V227="Yes"</f>
        <v>0</v>
      </c>
    </row>
    <row r="68" spans="5:7" ht="15" customHeight="1">
      <c r="E68" s="969" t="s">
        <v>2629</v>
      </c>
      <c r="G68" s="1091">
        <f>SUMIF(Application!AK726:AK760,"Homeless",Application!G726:G760)</f>
        <v>0</v>
      </c>
    </row>
    <row r="69" spans="5:7" ht="15" customHeight="1">
      <c r="E69" s="969"/>
    </row>
    <row r="70" spans="5:7" ht="15" customHeight="1">
      <c r="E70" s="969" t="s">
        <v>2630</v>
      </c>
      <c r="G70" s="1092"/>
    </row>
    <row r="71" spans="5:7" ht="15" customHeight="1">
      <c r="E71" s="969" t="s">
        <v>2631</v>
      </c>
      <c r="G71" s="1092"/>
    </row>
    <row r="72" spans="5:7" ht="15" customHeight="1">
      <c r="E72" s="969" t="s">
        <v>2632</v>
      </c>
      <c r="G72" s="1091">
        <f>IF(G71=0,0,(G70/G71)*100000)</f>
        <v>0</v>
      </c>
    </row>
    <row r="73" spans="5:7" ht="15" customHeight="1">
      <c r="E73" s="969" t="s">
        <v>2633</v>
      </c>
      <c r="G73" s="1092"/>
    </row>
    <row r="74" spans="5:7" ht="15" customHeight="1">
      <c r="E74" s="969" t="s">
        <v>2634</v>
      </c>
      <c r="G74" s="1092"/>
    </row>
    <row r="75" spans="5:7" ht="15" customHeight="1">
      <c r="E75" s="969" t="s">
        <v>2635</v>
      </c>
      <c r="G75" s="1091">
        <f>IF(G74=0,0,(G73/G74)*100000)</f>
        <v>0</v>
      </c>
    </row>
    <row r="76" spans="5:7" ht="15" customHeight="1">
      <c r="E76" s="1001"/>
      <c r="F76" s="931"/>
      <c r="G76" s="1006"/>
    </row>
    <row r="77" spans="5:7" ht="15" customHeight="1">
      <c r="E77" s="1000" t="s">
        <v>2624</v>
      </c>
      <c r="G77" s="997">
        <f>IF(OR(G75&gt;G72,G71&lt;100000),G75*G68,G72*G68)</f>
        <v>0</v>
      </c>
    </row>
    <row r="78" spans="5:7" ht="15" customHeight="1">
      <c r="E78" s="1000" t="s">
        <v>2612</v>
      </c>
      <c r="F78" s="996" t="s">
        <v>2613</v>
      </c>
      <c r="G78" s="1007">
        <v>100</v>
      </c>
    </row>
    <row r="79" spans="5:7" ht="15" customHeight="1">
      <c r="E79" s="1001" t="s">
        <v>2627</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2636</v>
      </c>
      <c r="G83" s="928" t="s">
        <v>700</v>
      </c>
      <c r="L83" s="2576" t="s">
        <v>894</v>
      </c>
      <c r="M83" s="2577"/>
      <c r="N83" s="1014">
        <v>30000</v>
      </c>
    </row>
    <row r="84" spans="2:14" ht="15" customHeight="1">
      <c r="C84" s="962" t="s">
        <v>2637</v>
      </c>
      <c r="G84" s="966" t="str">
        <f>IF(Application!D211="Large Family","Yes","No")</f>
        <v>No</v>
      </c>
      <c r="L84" s="2580" t="s">
        <v>898</v>
      </c>
      <c r="M84" s="2581"/>
      <c r="N84" s="1015">
        <v>20000</v>
      </c>
    </row>
    <row r="85" spans="2:14" ht="15" customHeight="1" thickBot="1">
      <c r="C85" s="962" t="s">
        <v>2638</v>
      </c>
      <c r="G85" s="928" t="s">
        <v>700</v>
      </c>
      <c r="L85" s="2582" t="s">
        <v>906</v>
      </c>
      <c r="M85" s="2583"/>
      <c r="N85" s="1016">
        <v>10000</v>
      </c>
    </row>
    <row r="86" spans="2:14" ht="15" customHeight="1" thickBot="1">
      <c r="C86" s="962" t="s">
        <v>2639</v>
      </c>
      <c r="G86" s="929" t="str">
        <f>Application!T193</f>
        <v>Low Resource</v>
      </c>
    </row>
    <row r="87" spans="2:14" ht="15" customHeight="1">
      <c r="C87" s="2610" t="s">
        <v>2640</v>
      </c>
      <c r="D87" s="2610"/>
      <c r="E87" s="2610"/>
      <c r="F87" s="2610"/>
      <c r="G87" s="928" t="s">
        <v>700</v>
      </c>
      <c r="L87" s="1010" t="str">
        <f>'Points System'!H651</f>
        <v>N/A</v>
      </c>
      <c r="M87" s="2578" t="s">
        <v>2487</v>
      </c>
      <c r="N87" s="2579"/>
    </row>
    <row r="88" spans="2:14" ht="15" customHeight="1">
      <c r="C88" s="2610"/>
      <c r="D88" s="2610"/>
      <c r="E88" s="2610"/>
      <c r="F88" s="2610"/>
      <c r="L88" s="1011" t="str">
        <f>'Points System'!H663</f>
        <v>(i)</v>
      </c>
      <c r="M88" s="2570" t="s">
        <v>2641</v>
      </c>
      <c r="N88" s="2571"/>
    </row>
    <row r="89" spans="2:14" ht="15" customHeight="1">
      <c r="C89" s="962"/>
      <c r="L89" s="1011" t="str">
        <f>'Points System'!H698</f>
        <v>(iii)</v>
      </c>
      <c r="M89" s="2570" t="s">
        <v>2642</v>
      </c>
      <c r="N89" s="2571"/>
    </row>
    <row r="90" spans="2:14" ht="15" customHeight="1">
      <c r="E90" s="969" t="s">
        <v>2643</v>
      </c>
      <c r="G90" s="964" t="b">
        <f>OR(AND(COUNTIFS(G84:G85,"Yes")&gt;=1,G83="Yes"),G87="Yes")</f>
        <v>0</v>
      </c>
      <c r="L90" s="1011" t="str">
        <f>IF(OR('Points System'!H722="(ii)",'Points System'!H722="(i)"),"(i)","N/A")</f>
        <v>N/A</v>
      </c>
      <c r="M90" s="2570" t="s">
        <v>2644</v>
      </c>
      <c r="N90" s="2571"/>
    </row>
    <row r="91" spans="2:14" ht="15" customHeight="1">
      <c r="E91" s="969"/>
      <c r="G91" s="964"/>
      <c r="L91" s="1012" t="str">
        <f>'Points System'!H736</f>
        <v>N/A</v>
      </c>
      <c r="M91" s="2570" t="s">
        <v>2528</v>
      </c>
      <c r="N91" s="2571"/>
    </row>
    <row r="92" spans="2:14" ht="15" customHeight="1">
      <c r="E92" s="969" t="s">
        <v>2612</v>
      </c>
      <c r="G92" s="963">
        <f>IFERROR(IF($G$87="Yes",30000,INDEX(N83:N85,MATCH(LEFT(G86,17),L83:L85,0))),0)</f>
        <v>0</v>
      </c>
      <c r="L92" s="1011" t="str">
        <f>'Points System'!H748</f>
        <v>N/A</v>
      </c>
      <c r="M92" s="2570" t="s">
        <v>2645</v>
      </c>
      <c r="N92" s="2571"/>
    </row>
    <row r="93" spans="2:14" ht="15" customHeight="1">
      <c r="E93" s="969" t="str">
        <f>E110</f>
        <v>Bedroom-Adjusted Low-Income Units</v>
      </c>
      <c r="F93" s="996" t="s">
        <v>2613</v>
      </c>
      <c r="G93" s="997">
        <f>G29</f>
        <v>43.25</v>
      </c>
      <c r="L93" s="1011" t="str">
        <f>'Points System'!H764</f>
        <v>(i)</v>
      </c>
      <c r="M93" s="2570" t="s">
        <v>2646</v>
      </c>
      <c r="N93" s="2571"/>
    </row>
    <row r="94" spans="2:14" ht="15" customHeight="1" thickBot="1">
      <c r="D94" s="931"/>
      <c r="E94" s="1001" t="s">
        <v>2647</v>
      </c>
      <c r="F94" s="931"/>
      <c r="G94" s="1006">
        <f>G93*G92*G90</f>
        <v>0</v>
      </c>
      <c r="L94" s="1013" t="str">
        <f>'Points System'!H776</f>
        <v>N/A</v>
      </c>
      <c r="M94" s="2572" t="s">
        <v>2532</v>
      </c>
      <c r="N94" s="2573"/>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2648</v>
      </c>
      <c r="G98" s="928" t="s">
        <v>860</v>
      </c>
    </row>
    <row r="99" spans="2:9" ht="15" customHeight="1">
      <c r="F99" s="999"/>
    </row>
    <row r="100" spans="2:9" ht="15" customHeight="1">
      <c r="E100" s="969" t="s">
        <v>2643</v>
      </c>
      <c r="G100" s="964" t="b">
        <f>G98="Yes"</f>
        <v>1</v>
      </c>
    </row>
    <row r="101" spans="2:9" ht="15" customHeight="1"/>
    <row r="102" spans="2:9" ht="15" customHeight="1">
      <c r="E102" s="969" t="str">
        <f>E110</f>
        <v>Bedroom-Adjusted Low-Income Units</v>
      </c>
      <c r="G102" s="997">
        <f>G29</f>
        <v>43.25</v>
      </c>
    </row>
    <row r="103" spans="2:9" ht="15" customHeight="1">
      <c r="E103" s="969" t="s">
        <v>2612</v>
      </c>
      <c r="F103" s="996" t="s">
        <v>2613</v>
      </c>
      <c r="G103" s="935">
        <v>20000</v>
      </c>
    </row>
    <row r="104" spans="2:9" ht="15" customHeight="1">
      <c r="E104" s="1001" t="s">
        <v>2649</v>
      </c>
      <c r="F104" s="931"/>
      <c r="G104" s="1006">
        <f>G100*G103*G102</f>
        <v>865000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2650</v>
      </c>
      <c r="G108" s="997">
        <f>VLOOKUP('Points System'!$H$619,'Points System'!$AO$599:$AP$604,2,FALSE)</f>
        <v>6</v>
      </c>
    </row>
    <row r="109" spans="2:9" ht="15" customHeight="1">
      <c r="E109" s="969" t="s">
        <v>2612</v>
      </c>
      <c r="F109" s="996" t="s">
        <v>2613</v>
      </c>
      <c r="G109" s="961">
        <v>4000</v>
      </c>
    </row>
    <row r="110" spans="2:9" ht="15" customHeight="1">
      <c r="E110" s="969" t="s">
        <v>2651</v>
      </c>
      <c r="F110" s="996" t="s">
        <v>2613</v>
      </c>
      <c r="G110" s="1009">
        <f>G29</f>
        <v>43.25</v>
      </c>
    </row>
    <row r="111" spans="2:9" ht="15" customHeight="1">
      <c r="E111" s="1001" t="s">
        <v>2652</v>
      </c>
      <c r="F111" s="931"/>
      <c r="G111" s="1006">
        <f>G108*G109*G110</f>
        <v>1038000</v>
      </c>
    </row>
    <row r="112" spans="2:9" ht="15" customHeight="1">
      <c r="C112" s="962"/>
      <c r="G112" s="997"/>
    </row>
    <row r="113" spans="2:7" ht="15" customHeight="1">
      <c r="E113" s="969" t="s">
        <v>2653</v>
      </c>
      <c r="G113" s="997">
        <f>COUNTIFS(L87:L94,"(i)")</f>
        <v>2</v>
      </c>
    </row>
    <row r="114" spans="2:7" ht="15" customHeight="1">
      <c r="E114" s="969" t="s">
        <v>2612</v>
      </c>
      <c r="F114" s="996" t="s">
        <v>2613</v>
      </c>
      <c r="G114" s="1007">
        <v>4000</v>
      </c>
    </row>
    <row r="115" spans="2:7" ht="15" customHeight="1">
      <c r="E115" s="1001" t="s">
        <v>2654</v>
      </c>
      <c r="F115" s="931"/>
      <c r="G115" s="1006">
        <f>G110*G113*G114</f>
        <v>346000</v>
      </c>
    </row>
    <row r="116" spans="2:7" ht="15" customHeight="1"/>
    <row r="117" spans="2:7" ht="15" customHeight="1">
      <c r="C117" s="965" t="s">
        <v>2655</v>
      </c>
    </row>
    <row r="118" spans="2:7" ht="15" customHeight="1">
      <c r="C118" s="962" t="s">
        <v>2656</v>
      </c>
      <c r="G118" s="928"/>
    </row>
    <row r="119" spans="2:7" ht="15" customHeight="1">
      <c r="C119" s="962" t="s">
        <v>2657</v>
      </c>
      <c r="G119" s="928"/>
    </row>
    <row r="120" spans="2:7" ht="15" customHeight="1">
      <c r="C120" s="962" t="s">
        <v>2658</v>
      </c>
      <c r="G120" s="928" t="s">
        <v>860</v>
      </c>
    </row>
    <row r="121" spans="2:7">
      <c r="C121" s="962" t="s">
        <v>2659</v>
      </c>
      <c r="G121" s="928"/>
    </row>
    <row r="123" spans="2:7">
      <c r="B123" s="963"/>
      <c r="C123" s="962"/>
      <c r="E123" s="969" t="s">
        <v>2643</v>
      </c>
      <c r="G123" s="964" t="b">
        <f>COUNTIFS(G118:G121,"Yes")&gt;=1</f>
        <v>1</v>
      </c>
    </row>
    <row r="124" spans="2:7">
      <c r="E124" s="962"/>
    </row>
    <row r="125" spans="2:7" ht="15">
      <c r="E125" s="969" t="s">
        <v>2651</v>
      </c>
      <c r="F125" s="996" t="s">
        <v>2613</v>
      </c>
      <c r="G125" s="997">
        <f>G29</f>
        <v>43.25</v>
      </c>
    </row>
    <row r="126" spans="2:7" ht="15">
      <c r="E126" s="969" t="s">
        <v>2612</v>
      </c>
      <c r="F126" s="996" t="s">
        <v>2613</v>
      </c>
      <c r="G126" s="1007">
        <v>25000</v>
      </c>
    </row>
    <row r="127" spans="2:7" ht="15">
      <c r="E127" s="1001" t="s">
        <v>2660</v>
      </c>
      <c r="F127" s="931"/>
      <c r="G127" s="1006">
        <f>G123*G126*G110</f>
        <v>1081250</v>
      </c>
    </row>
    <row r="128" spans="2:7">
      <c r="C128" s="962"/>
      <c r="E128" s="962"/>
    </row>
    <row r="129" spans="2:9" ht="15">
      <c r="E129" s="1001" t="s">
        <v>2661</v>
      </c>
      <c r="G129" s="1006">
        <f>G127+G115+G111</f>
        <v>2465250</v>
      </c>
    </row>
    <row r="131" spans="2:9" ht="15">
      <c r="B131" s="951" t="s">
        <v>1770</v>
      </c>
      <c r="C131" s="952"/>
      <c r="D131" s="952"/>
      <c r="E131" s="952"/>
      <c r="F131" s="952"/>
      <c r="G131" s="952"/>
      <c r="H131" s="952"/>
      <c r="I131" s="953"/>
    </row>
    <row r="133" spans="2:9">
      <c r="C133" s="2606" t="s">
        <v>2662</v>
      </c>
      <c r="D133" s="2606"/>
      <c r="E133" s="2606"/>
      <c r="F133" s="2606"/>
    </row>
    <row r="134" spans="2:9">
      <c r="C134" s="2606"/>
      <c r="D134" s="2606"/>
      <c r="E134" s="2606"/>
      <c r="F134" s="2606"/>
      <c r="G134" s="928" t="s">
        <v>860</v>
      </c>
    </row>
    <row r="135" spans="2:9" ht="14.25" customHeight="1"/>
    <row r="136" spans="2:9">
      <c r="C136" s="929" t="s">
        <v>2663</v>
      </c>
      <c r="G136" s="2608" t="s">
        <v>2664</v>
      </c>
      <c r="H136" s="2608"/>
    </row>
    <row r="137" spans="2:9">
      <c r="G137" s="2608"/>
      <c r="H137" s="2608"/>
    </row>
    <row r="138" spans="2:9">
      <c r="G138" s="2609"/>
      <c r="H138" s="2609"/>
    </row>
    <row r="140" spans="2:9">
      <c r="C140" s="2606" t="s">
        <v>2665</v>
      </c>
      <c r="D140" s="2606"/>
      <c r="E140" s="2606"/>
      <c r="F140" s="2606"/>
    </row>
    <row r="141" spans="2:9">
      <c r="C141" s="2606"/>
      <c r="D141" s="2606"/>
      <c r="E141" s="2606"/>
      <c r="F141" s="2606"/>
      <c r="G141" s="928" t="s">
        <v>860</v>
      </c>
    </row>
    <row r="142" spans="2:9">
      <c r="C142" s="2606"/>
      <c r="D142" s="2606"/>
      <c r="E142" s="2606"/>
      <c r="F142" s="2606"/>
    </row>
    <row r="144" spans="2:9">
      <c r="C144" s="2606" t="s">
        <v>2666</v>
      </c>
      <c r="D144" s="2606"/>
      <c r="E144" s="2606"/>
      <c r="F144" s="2606"/>
    </row>
    <row r="145" spans="2:9">
      <c r="C145" s="2606"/>
      <c r="D145" s="2606"/>
      <c r="E145" s="2606"/>
      <c r="F145" s="2606"/>
      <c r="G145" s="928"/>
    </row>
    <row r="146" spans="2:9">
      <c r="C146" s="2606"/>
      <c r="D146" s="2606"/>
      <c r="E146" s="2606"/>
      <c r="F146" s="2606"/>
    </row>
    <row r="147" spans="2:9">
      <c r="C147" s="2606"/>
      <c r="D147" s="2606"/>
      <c r="E147" s="2606"/>
      <c r="F147" s="2606"/>
    </row>
    <row r="149" spans="2:9" ht="15">
      <c r="B149" s="951" t="s">
        <v>2667</v>
      </c>
      <c r="C149" s="952"/>
      <c r="D149" s="952"/>
      <c r="E149" s="952"/>
      <c r="F149" s="952"/>
      <c r="G149" s="952"/>
      <c r="H149" s="952"/>
      <c r="I149" s="953"/>
    </row>
    <row r="151" spans="2:9">
      <c r="E151" s="969" t="s">
        <v>947</v>
      </c>
      <c r="G151" s="929" t="str">
        <f>IF(Application!T189="","",Application!T189)</f>
        <v>Kern</v>
      </c>
    </row>
    <row r="152" spans="2:9">
      <c r="E152" s="969"/>
      <c r="G152" s="963"/>
    </row>
    <row r="153" spans="2:9">
      <c r="E153" s="969" t="str">
        <f>"2-Bedroom "&amp;G151&amp;" County Basis Limit"</f>
        <v>2-Bedroom Kern County Basis Limit</v>
      </c>
      <c r="G153" s="963">
        <f>Application!R997</f>
        <v>449600</v>
      </c>
    </row>
    <row r="154" spans="2:9">
      <c r="E154" s="969" t="s">
        <v>2668</v>
      </c>
      <c r="G154" s="963">
        <f>MEDIAN((Application!CU160:CU217))</f>
        <v>560000</v>
      </c>
    </row>
    <row r="155" spans="2:9" ht="15">
      <c r="D155" s="931"/>
      <c r="E155" s="1001" t="s">
        <v>2669</v>
      </c>
      <c r="F155" s="1017"/>
      <c r="G155" s="1018">
        <f>((G153-G154)/G154)*0.25</f>
        <v>-4.9285714285714287E-2</v>
      </c>
      <c r="H155" s="927"/>
      <c r="I155" s="927"/>
    </row>
    <row r="156" spans="2:9">
      <c r="D156" s="930"/>
      <c r="E156" s="930"/>
    </row>
    <row r="157" spans="2:9" ht="15">
      <c r="B157" s="951" t="s">
        <v>2670</v>
      </c>
      <c r="C157" s="952"/>
      <c r="D157" s="952"/>
      <c r="E157" s="952"/>
      <c r="F157" s="952"/>
      <c r="G157" s="952"/>
      <c r="H157" s="952"/>
      <c r="I157" s="953"/>
    </row>
    <row r="159" spans="2:9">
      <c r="E159" s="969" t="s">
        <v>2615</v>
      </c>
      <c r="G159" s="929" t="b">
        <f>G37</f>
        <v>1</v>
      </c>
    </row>
    <row r="160" spans="2:9">
      <c r="C160" s="2603" t="s">
        <v>2671</v>
      </c>
      <c r="D160" s="2603"/>
      <c r="E160" s="2603"/>
      <c r="F160" s="2603"/>
    </row>
    <row r="161" spans="2:7">
      <c r="B161" s="930"/>
      <c r="C161" s="2603"/>
      <c r="D161" s="2603"/>
      <c r="E161" s="2603"/>
      <c r="F161" s="2603"/>
      <c r="G161" s="928"/>
    </row>
    <row r="162" spans="2:7">
      <c r="B162" s="930"/>
      <c r="C162" s="930"/>
      <c r="D162" s="930"/>
      <c r="E162" s="930"/>
      <c r="F162" s="930"/>
    </row>
    <row r="163" spans="2:7">
      <c r="E163" s="969" t="s">
        <v>2672</v>
      </c>
      <c r="G163" s="1051"/>
    </row>
    <row r="165" spans="2:7">
      <c r="E165" s="969" t="s">
        <v>2673</v>
      </c>
      <c r="G165" s="1050">
        <f>IF(I9=0,0,G163/I9)</f>
        <v>0</v>
      </c>
    </row>
    <row r="166" spans="2:7">
      <c r="E166" s="969" t="s">
        <v>2674</v>
      </c>
      <c r="G166" s="1048">
        <f>I9*0.15</f>
        <v>750000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abSelected="1" workbookViewId="0">
      <selection activeCell="B4" sqref="B4:B11"/>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1" t="s">
        <v>2675</v>
      </c>
      <c r="B1" s="2611"/>
      <c r="C1" s="2611"/>
      <c r="D1" s="2611"/>
      <c r="E1" s="2611"/>
      <c r="F1" s="2611"/>
      <c r="G1" s="2611"/>
      <c r="H1" s="2611"/>
      <c r="I1" s="2611"/>
      <c r="J1" s="2611"/>
      <c r="K1" s="136"/>
      <c r="L1" s="136"/>
    </row>
    <row r="2" spans="1:12">
      <c r="A2" s="140"/>
      <c r="B2" s="140"/>
      <c r="C2" s="140"/>
      <c r="D2" s="140"/>
      <c r="E2" s="140"/>
      <c r="F2" s="140"/>
      <c r="G2" s="140"/>
      <c r="H2" s="140"/>
      <c r="I2" s="140"/>
      <c r="J2" s="140"/>
    </row>
    <row r="3" spans="1:12" ht="100.5">
      <c r="A3" s="329" t="s">
        <v>2676</v>
      </c>
      <c r="B3" s="329" t="s">
        <v>2677</v>
      </c>
      <c r="C3" s="329" t="s">
        <v>2678</v>
      </c>
      <c r="D3" s="1029" t="s">
        <v>2679</v>
      </c>
      <c r="E3" s="136"/>
      <c r="F3" s="1029" t="s">
        <v>2680</v>
      </c>
      <c r="G3" s="329" t="s">
        <v>2681</v>
      </c>
      <c r="H3" s="330"/>
      <c r="I3" s="329" t="s">
        <v>2682</v>
      </c>
      <c r="J3" s="329" t="s">
        <v>2683</v>
      </c>
      <c r="K3" s="136"/>
      <c r="L3" s="212"/>
    </row>
    <row r="4" spans="1:12">
      <c r="A4" s="331" t="str">
        <f>Application!B726</f>
        <v>1 Bedroom</v>
      </c>
      <c r="B4" s="967">
        <f>Application!G726</f>
        <v>1</v>
      </c>
      <c r="C4" s="1044" t="s">
        <v>1010</v>
      </c>
      <c r="D4" s="331">
        <f>Application!O726</f>
        <v>367</v>
      </c>
      <c r="E4" s="332"/>
      <c r="F4" s="968">
        <v>1006</v>
      </c>
      <c r="G4" s="331">
        <f>F4*B4</f>
        <v>1006</v>
      </c>
      <c r="H4" s="332"/>
      <c r="I4" s="331">
        <f t="shared" ref="I4:I27" si="0">IF(F4=0,"",(F4-D4))</f>
        <v>639</v>
      </c>
      <c r="J4" s="331">
        <f t="shared" ref="J4:J27" si="1">IF(F4=0,"",(I4*B4))</f>
        <v>639</v>
      </c>
      <c r="K4" s="136"/>
      <c r="L4" s="212"/>
    </row>
    <row r="5" spans="1:12">
      <c r="A5" s="331" t="str">
        <f>Application!B727</f>
        <v>1 Bedroom</v>
      </c>
      <c r="B5" s="967">
        <f>Application!G727</f>
        <v>3</v>
      </c>
      <c r="C5" s="1044" t="s">
        <v>1010</v>
      </c>
      <c r="D5" s="331">
        <f>Application!O727</f>
        <v>720</v>
      </c>
      <c r="E5" s="332"/>
      <c r="F5" s="968">
        <v>1006</v>
      </c>
      <c r="G5" s="331">
        <f t="shared" ref="G5:G38" si="2">F5*B5</f>
        <v>3018</v>
      </c>
      <c r="H5" s="332"/>
      <c r="I5" s="331">
        <f t="shared" si="0"/>
        <v>286</v>
      </c>
      <c r="J5" s="331">
        <f t="shared" si="1"/>
        <v>858</v>
      </c>
      <c r="K5" s="136"/>
      <c r="L5" s="212"/>
    </row>
    <row r="6" spans="1:12">
      <c r="A6" s="331" t="str">
        <f>Application!B728</f>
        <v>1 Bedroom</v>
      </c>
      <c r="B6" s="967">
        <f>Application!G728</f>
        <v>7</v>
      </c>
      <c r="C6" s="1044" t="s">
        <v>1010</v>
      </c>
      <c r="D6" s="331">
        <f>Application!O728</f>
        <v>720</v>
      </c>
      <c r="E6" s="332"/>
      <c r="F6" s="968">
        <v>1006</v>
      </c>
      <c r="G6" s="331">
        <f t="shared" si="2"/>
        <v>7042</v>
      </c>
      <c r="H6" s="332"/>
      <c r="I6" s="331">
        <f t="shared" si="0"/>
        <v>286</v>
      </c>
      <c r="J6" s="331">
        <f t="shared" si="1"/>
        <v>2002</v>
      </c>
      <c r="K6" s="136"/>
      <c r="L6" s="212"/>
    </row>
    <row r="7" spans="1:12">
      <c r="A7" s="331" t="str">
        <f>Application!B729</f>
        <v>1 Bedroom</v>
      </c>
      <c r="B7" s="967">
        <f>Application!G729</f>
        <v>1</v>
      </c>
      <c r="C7" s="1044" t="s">
        <v>1010</v>
      </c>
      <c r="D7" s="331">
        <f>Application!O729</f>
        <v>720</v>
      </c>
      <c r="E7" s="332"/>
      <c r="F7" s="968">
        <v>1006</v>
      </c>
      <c r="G7" s="331">
        <f t="shared" si="2"/>
        <v>1006</v>
      </c>
      <c r="H7" s="332"/>
      <c r="I7" s="331">
        <f t="shared" si="0"/>
        <v>286</v>
      </c>
      <c r="J7" s="331">
        <f t="shared" si="1"/>
        <v>286</v>
      </c>
      <c r="K7" s="136"/>
      <c r="L7" s="212"/>
    </row>
    <row r="8" spans="1:12">
      <c r="A8" s="331" t="str">
        <f>Application!B730</f>
        <v>3 Bedrooms</v>
      </c>
      <c r="B8" s="967">
        <f>Application!G730</f>
        <v>2</v>
      </c>
      <c r="C8" s="1044" t="s">
        <v>1010</v>
      </c>
      <c r="D8" s="331">
        <f>Application!O730</f>
        <v>451</v>
      </c>
      <c r="E8" s="332"/>
      <c r="F8" s="968">
        <v>1829</v>
      </c>
      <c r="G8" s="331">
        <f t="shared" si="2"/>
        <v>3658</v>
      </c>
      <c r="H8" s="332"/>
      <c r="I8" s="331">
        <f t="shared" si="0"/>
        <v>1378</v>
      </c>
      <c r="J8" s="331">
        <f t="shared" si="1"/>
        <v>2756</v>
      </c>
      <c r="K8" s="136"/>
      <c r="L8" s="212"/>
    </row>
    <row r="9" spans="1:12">
      <c r="A9" s="331" t="str">
        <f>Application!B731</f>
        <v>3 Bedrooms</v>
      </c>
      <c r="B9" s="967">
        <f>Application!G731</f>
        <v>8</v>
      </c>
      <c r="C9" s="1044" t="s">
        <v>1010</v>
      </c>
      <c r="D9" s="331">
        <f>Application!O731</f>
        <v>940</v>
      </c>
      <c r="E9" s="332"/>
      <c r="F9" s="968">
        <v>1829</v>
      </c>
      <c r="G9" s="331">
        <f t="shared" si="2"/>
        <v>14632</v>
      </c>
      <c r="H9" s="332"/>
      <c r="I9" s="331">
        <f t="shared" si="0"/>
        <v>889</v>
      </c>
      <c r="J9" s="331">
        <f t="shared" si="1"/>
        <v>7112</v>
      </c>
      <c r="K9" s="136"/>
      <c r="L9" s="212"/>
    </row>
    <row r="10" spans="1:12">
      <c r="A10" s="331" t="str">
        <f>Application!B732</f>
        <v>3 Bedrooms</v>
      </c>
      <c r="B10" s="967">
        <f>Application!G732</f>
        <v>11</v>
      </c>
      <c r="C10" s="1044" t="s">
        <v>1010</v>
      </c>
      <c r="D10" s="331">
        <f>Application!O732</f>
        <v>940</v>
      </c>
      <c r="E10" s="332"/>
      <c r="F10" s="968">
        <v>1829</v>
      </c>
      <c r="G10" s="331">
        <f t="shared" si="2"/>
        <v>20119</v>
      </c>
      <c r="H10" s="332"/>
      <c r="I10" s="331">
        <f t="shared" si="0"/>
        <v>889</v>
      </c>
      <c r="J10" s="331">
        <f t="shared" si="1"/>
        <v>9779</v>
      </c>
      <c r="K10" s="136"/>
      <c r="L10" s="212"/>
    </row>
    <row r="11" spans="1:12">
      <c r="A11" s="331" t="str">
        <f>Application!B733</f>
        <v>3 Bedrooms</v>
      </c>
      <c r="B11" s="967">
        <f>Application!G733</f>
        <v>2</v>
      </c>
      <c r="C11" s="1044" t="s">
        <v>1010</v>
      </c>
      <c r="D11" s="331">
        <f>Application!O733</f>
        <v>940</v>
      </c>
      <c r="E11" s="332"/>
      <c r="F11" s="968">
        <v>1829</v>
      </c>
      <c r="G11" s="331">
        <f t="shared" si="2"/>
        <v>3658</v>
      </c>
      <c r="H11" s="332"/>
      <c r="I11" s="331">
        <f t="shared" si="0"/>
        <v>889</v>
      </c>
      <c r="J11" s="331">
        <f t="shared" si="1"/>
        <v>1778</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2684</v>
      </c>
      <c r="B40" s="334"/>
      <c r="C40" s="334"/>
      <c r="D40" s="335">
        <f>Application!O761</f>
        <v>28929</v>
      </c>
      <c r="E40" s="332"/>
      <c r="F40" s="332"/>
      <c r="G40" s="335">
        <f>SUM(G4:G38)*12</f>
        <v>649668</v>
      </c>
      <c r="H40" s="336"/>
      <c r="I40" s="334"/>
      <c r="J40" s="335">
        <f>SUM(J4:J38)*12</f>
        <v>302520</v>
      </c>
      <c r="K40" s="136"/>
      <c r="L40" s="213"/>
    </row>
    <row r="41" spans="1:12" ht="15">
      <c r="A41" s="333"/>
      <c r="B41" s="334"/>
      <c r="C41" s="334"/>
      <c r="D41" s="336"/>
      <c r="E41" s="332"/>
      <c r="F41" s="332"/>
      <c r="G41" s="336"/>
      <c r="H41" s="336"/>
      <c r="I41" s="334"/>
      <c r="J41" s="336"/>
      <c r="K41" s="136"/>
      <c r="L41" s="213"/>
    </row>
    <row r="42" spans="1:12">
      <c r="A42" s="211" t="s">
        <v>2685</v>
      </c>
    </row>
    <row r="43" spans="1:12">
      <c r="A43" s="2612" t="s">
        <v>2686</v>
      </c>
      <c r="B43" s="2612"/>
      <c r="C43" s="2612"/>
      <c r="D43" s="2612"/>
      <c r="E43" s="2612"/>
      <c r="F43" s="2612"/>
      <c r="G43" s="2612"/>
      <c r="H43" s="2612"/>
      <c r="I43" s="2612"/>
      <c r="J43" s="2612"/>
    </row>
    <row r="44" spans="1:12">
      <c r="A44" s="2612"/>
      <c r="B44" s="2612"/>
      <c r="C44" s="2612"/>
      <c r="D44" s="2612"/>
      <c r="E44" s="2612"/>
      <c r="F44" s="2612"/>
      <c r="G44" s="2612"/>
      <c r="H44" s="2612"/>
      <c r="I44" s="2612"/>
      <c r="J44" s="2612"/>
    </row>
    <row r="45" spans="1:12">
      <c r="A45" s="2612" t="s">
        <v>2687</v>
      </c>
      <c r="B45" s="2612"/>
      <c r="C45" s="2612"/>
      <c r="D45" s="2612"/>
      <c r="E45" s="2612"/>
      <c r="F45" s="2612"/>
      <c r="G45" s="2612"/>
      <c r="H45" s="2612"/>
      <c r="I45" s="2612"/>
      <c r="J45" s="2612"/>
    </row>
    <row r="46" spans="1:12">
      <c r="A46" s="2612"/>
      <c r="B46" s="2612"/>
      <c r="C46" s="2612"/>
      <c r="D46" s="2612"/>
      <c r="E46" s="2612"/>
      <c r="F46" s="2612"/>
      <c r="G46" s="2612"/>
      <c r="H46" s="2612"/>
      <c r="I46" s="2612"/>
      <c r="J46" s="261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portrait"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7" workbookViewId="0">
      <selection activeCell="Z53" sqref="Z53"/>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2688</v>
      </c>
      <c r="B1" s="141"/>
    </row>
    <row r="2" spans="1:34"/>
    <row r="3" spans="1:34" ht="15.75">
      <c r="A3" s="142" t="s">
        <v>2689</v>
      </c>
      <c r="B3" s="142"/>
      <c r="C3" s="163" t="s">
        <v>2690</v>
      </c>
      <c r="D3" s="12"/>
      <c r="E3" s="164" t="s">
        <v>2691</v>
      </c>
      <c r="F3" s="135"/>
      <c r="G3" s="164" t="s">
        <v>2692</v>
      </c>
      <c r="H3" s="135"/>
      <c r="I3" s="164" t="s">
        <v>2693</v>
      </c>
      <c r="J3" s="135"/>
      <c r="K3" s="164" t="s">
        <v>2694</v>
      </c>
      <c r="L3" s="135"/>
      <c r="M3" s="164" t="s">
        <v>2695</v>
      </c>
      <c r="N3" s="135"/>
      <c r="O3" s="164" t="s">
        <v>2696</v>
      </c>
      <c r="P3" s="135"/>
      <c r="Q3" s="164" t="s">
        <v>2697</v>
      </c>
      <c r="R3" s="135"/>
      <c r="S3" s="164" t="s">
        <v>2698</v>
      </c>
      <c r="T3" s="135"/>
      <c r="U3" s="164" t="s">
        <v>2699</v>
      </c>
      <c r="V3" s="135"/>
      <c r="W3" s="164" t="s">
        <v>2700</v>
      </c>
      <c r="X3" s="135"/>
      <c r="Y3" s="164" t="s">
        <v>2701</v>
      </c>
      <c r="Z3" s="135"/>
      <c r="AA3" s="164" t="s">
        <v>2702</v>
      </c>
      <c r="AB3" s="135"/>
      <c r="AC3" s="164" t="s">
        <v>2703</v>
      </c>
      <c r="AD3" s="135"/>
      <c r="AE3" s="164" t="s">
        <v>2704</v>
      </c>
      <c r="AF3" s="135"/>
      <c r="AG3" s="164" t="s">
        <v>2705</v>
      </c>
      <c r="AH3" s="12"/>
    </row>
    <row r="4" spans="1:34" s="148" customFormat="1" ht="14.25">
      <c r="A4" s="148" t="s">
        <v>2706</v>
      </c>
      <c r="C4" s="1224">
        <v>1.0249999999999999</v>
      </c>
      <c r="E4" s="148">
        <f>Application!Y809</f>
        <v>369096</v>
      </c>
      <c r="G4" s="148">
        <f>E4*$C$4</f>
        <v>378323.39999999997</v>
      </c>
      <c r="I4" s="148">
        <f>G4*$C$4</f>
        <v>387781.48499999993</v>
      </c>
      <c r="K4" s="148">
        <f>I4*$C$4</f>
        <v>397476.0221249999</v>
      </c>
      <c r="M4" s="148">
        <f>K4*$C$4</f>
        <v>407412.92267812486</v>
      </c>
      <c r="O4" s="148">
        <f>M4*$C$4</f>
        <v>417598.24574507796</v>
      </c>
      <c r="Q4" s="148">
        <f>O4*$C$4</f>
        <v>428038.20188870485</v>
      </c>
      <c r="S4" s="148">
        <f>Q4*$C$4</f>
        <v>438739.15693592245</v>
      </c>
      <c r="U4" s="148">
        <f>S4*$C$4</f>
        <v>449707.63585932046</v>
      </c>
      <c r="W4" s="148">
        <f>U4*$C$4</f>
        <v>460950.32675580343</v>
      </c>
      <c r="Y4" s="148">
        <f>W4*$C$4</f>
        <v>472474.08492469846</v>
      </c>
      <c r="AA4" s="148">
        <f>Y4*$C$4</f>
        <v>484285.93704781588</v>
      </c>
      <c r="AC4" s="148">
        <f>AA4*$C$4</f>
        <v>496393.08547401126</v>
      </c>
      <c r="AE4" s="148">
        <f>AC4*$C$4</f>
        <v>508802.91261086147</v>
      </c>
      <c r="AG4" s="148">
        <f>AE4*$C$4</f>
        <v>521522.98542613297</v>
      </c>
    </row>
    <row r="5" spans="1:34" s="140" customFormat="1" ht="14.25">
      <c r="B5" s="140" t="s">
        <v>2260</v>
      </c>
      <c r="C5" s="1225">
        <f>IF(Application!$D$211="Special Needs",(((0.1*Application!$T$212)+(0.05*(1-Application!$T$212)))),0.05)</f>
        <v>0.05</v>
      </c>
      <c r="E5" s="150">
        <f>-E4*$C$5</f>
        <v>-18454.8</v>
      </c>
      <c r="F5" s="150"/>
      <c r="G5" s="150">
        <f>-G4*$C$5</f>
        <v>-18916.169999999998</v>
      </c>
      <c r="H5" s="150"/>
      <c r="I5" s="150">
        <f>-I4*$C$5</f>
        <v>-19389.074249999998</v>
      </c>
      <c r="J5" s="150"/>
      <c r="K5" s="150">
        <f>-K4*$C$5</f>
        <v>-19873.801106249997</v>
      </c>
      <c r="L5" s="150"/>
      <c r="M5" s="150">
        <f>-M4*$C$5</f>
        <v>-20370.646133906244</v>
      </c>
      <c r="N5" s="150"/>
      <c r="O5" s="150">
        <f>-O4*$C$5</f>
        <v>-20879.912287253901</v>
      </c>
      <c r="P5" s="150"/>
      <c r="Q5" s="150">
        <f>-Q4*$C$5</f>
        <v>-21401.910094435243</v>
      </c>
      <c r="R5" s="150"/>
      <c r="S5" s="150">
        <f>-S4*$C$5</f>
        <v>-21936.957846796126</v>
      </c>
      <c r="T5" s="150"/>
      <c r="U5" s="150">
        <f>-U4*$C$5</f>
        <v>-22485.381792966025</v>
      </c>
      <c r="V5" s="150"/>
      <c r="W5" s="150">
        <f>-W4*$C$5</f>
        <v>-23047.516337790174</v>
      </c>
      <c r="X5" s="150"/>
      <c r="Y5" s="150">
        <f>-Y4*$C$5</f>
        <v>-23623.704246234924</v>
      </c>
      <c r="Z5" s="150"/>
      <c r="AA5" s="150">
        <f>-AA4*$C$5</f>
        <v>-24214.296852390795</v>
      </c>
      <c r="AB5" s="150"/>
      <c r="AC5" s="150">
        <f>-AC4*$C$5</f>
        <v>-24819.654273700566</v>
      </c>
      <c r="AD5" s="150"/>
      <c r="AE5" s="150">
        <f>-AE4*$C$5</f>
        <v>-25440.145630543077</v>
      </c>
      <c r="AF5" s="150"/>
      <c r="AG5" s="150">
        <f>-AG4*$C$5</f>
        <v>-26076.149271306651</v>
      </c>
    </row>
    <row r="6" spans="1:34" s="140" customFormat="1" ht="14.25">
      <c r="A6" s="140" t="s">
        <v>2707</v>
      </c>
      <c r="C6" s="1224">
        <v>1.0249999999999999</v>
      </c>
      <c r="E6" s="151">
        <f>Application!Z817</f>
        <v>302520</v>
      </c>
      <c r="F6" s="151"/>
      <c r="G6" s="151">
        <f>E6*$C$6</f>
        <v>310083</v>
      </c>
      <c r="H6" s="151"/>
      <c r="I6" s="151">
        <f>G6*$C$6</f>
        <v>317835.07499999995</v>
      </c>
      <c r="J6" s="151"/>
      <c r="K6" s="151">
        <f>I6*$C$6</f>
        <v>325780.95187499991</v>
      </c>
      <c r="L6" s="151"/>
      <c r="M6" s="151">
        <f>K6*$C$6</f>
        <v>333925.47567187488</v>
      </c>
      <c r="N6" s="151"/>
      <c r="O6" s="151">
        <f>M6*$C$6</f>
        <v>342273.61256367172</v>
      </c>
      <c r="P6" s="151"/>
      <c r="Q6" s="151">
        <f>O6*$C$6</f>
        <v>350830.45287776348</v>
      </c>
      <c r="R6" s="151"/>
      <c r="S6" s="151">
        <f>Q6*$C$6</f>
        <v>359601.21419970755</v>
      </c>
      <c r="T6" s="151"/>
      <c r="U6" s="151">
        <f>S6*$C$6</f>
        <v>368591.24455470021</v>
      </c>
      <c r="V6" s="151"/>
      <c r="W6" s="151">
        <f>U6*$C$6</f>
        <v>377806.02566856769</v>
      </c>
      <c r="X6" s="151"/>
      <c r="Y6" s="151">
        <f>W6*$C$6</f>
        <v>387251.17631028185</v>
      </c>
      <c r="Z6" s="151"/>
      <c r="AA6" s="151">
        <f>Y6*$C$6</f>
        <v>396932.45571803884</v>
      </c>
      <c r="AB6" s="151"/>
      <c r="AC6" s="151">
        <f>AA6*$C$6</f>
        <v>406855.76711098978</v>
      </c>
      <c r="AD6" s="151"/>
      <c r="AE6" s="151">
        <f>AC6*$C$6</f>
        <v>417027.1612887645</v>
      </c>
      <c r="AF6" s="151"/>
      <c r="AG6" s="151">
        <f>AE6*$C$6</f>
        <v>427452.84032098355</v>
      </c>
    </row>
    <row r="7" spans="1:34" s="140" customFormat="1" ht="14.25">
      <c r="B7" s="140" t="s">
        <v>2260</v>
      </c>
      <c r="C7" s="1225">
        <f>IF(Application!$D$211="Special Needs",(((0.1*Application!$T$212)+(0.05*(1-Application!$T$212)))),0.05)</f>
        <v>0.05</v>
      </c>
      <c r="E7" s="150">
        <f>-E6*$C$7</f>
        <v>-15126</v>
      </c>
      <c r="F7" s="150"/>
      <c r="G7" s="150">
        <f>-G6*$C$7</f>
        <v>-15504.150000000001</v>
      </c>
      <c r="H7" s="150"/>
      <c r="I7" s="150">
        <f>-I6*$C$7</f>
        <v>-15891.753749999998</v>
      </c>
      <c r="J7" s="150"/>
      <c r="K7" s="150">
        <f>-K6*$C$7</f>
        <v>-16289.047593749996</v>
      </c>
      <c r="L7" s="150"/>
      <c r="M7" s="150">
        <f>-M6*$C$7</f>
        <v>-16696.273783593744</v>
      </c>
      <c r="N7" s="150"/>
      <c r="O7" s="150">
        <f>-O6*$C$7</f>
        <v>-17113.680628183585</v>
      </c>
      <c r="P7" s="150"/>
      <c r="Q7" s="150">
        <f>-Q6*$C$7</f>
        <v>-17541.522643888176</v>
      </c>
      <c r="R7" s="150"/>
      <c r="S7" s="150">
        <f>-S6*$C$7</f>
        <v>-17980.060709985377</v>
      </c>
      <c r="T7" s="150"/>
      <c r="U7" s="150">
        <f>-U6*$C$7</f>
        <v>-18429.562227735012</v>
      </c>
      <c r="V7" s="150"/>
      <c r="W7" s="150">
        <f>-W6*$C$7</f>
        <v>-18890.301283428384</v>
      </c>
      <c r="X7" s="150"/>
      <c r="Y7" s="150">
        <f>-Y6*$C$7</f>
        <v>-19362.558815514094</v>
      </c>
      <c r="Z7" s="150"/>
      <c r="AA7" s="150">
        <f>-AA6*$C$7</f>
        <v>-19846.622785901942</v>
      </c>
      <c r="AB7" s="150"/>
      <c r="AC7" s="150">
        <f>-AC6*$C$7</f>
        <v>-20342.788355549492</v>
      </c>
      <c r="AD7" s="150"/>
      <c r="AE7" s="150">
        <f>-AE6*$C$7</f>
        <v>-20851.358064438227</v>
      </c>
      <c r="AF7" s="150"/>
      <c r="AG7" s="150">
        <f>-AG6*$C$7</f>
        <v>-21372.64201604918</v>
      </c>
    </row>
    <row r="8" spans="1:34" s="140" customFormat="1" ht="14.25">
      <c r="A8" s="140" t="s">
        <v>215</v>
      </c>
      <c r="C8" s="1224">
        <v>1.0249999999999999</v>
      </c>
      <c r="E8" s="151">
        <f>Application!Z825</f>
        <v>2000</v>
      </c>
      <c r="F8" s="151"/>
      <c r="G8" s="151">
        <f>E8*$C$8</f>
        <v>2050</v>
      </c>
      <c r="H8" s="151"/>
      <c r="I8" s="151">
        <f>G8*$C$8</f>
        <v>2101.25</v>
      </c>
      <c r="J8" s="151"/>
      <c r="K8" s="151">
        <f>I8*$C$8</f>
        <v>2153.78125</v>
      </c>
      <c r="L8" s="151"/>
      <c r="M8" s="151">
        <f>K8*$C$8</f>
        <v>2207.6257812499998</v>
      </c>
      <c r="N8" s="151"/>
      <c r="O8" s="151">
        <f>M8*$C$8</f>
        <v>2262.8164257812496</v>
      </c>
      <c r="P8" s="151"/>
      <c r="Q8" s="151">
        <f>O8*$C$8</f>
        <v>2319.3868364257805</v>
      </c>
      <c r="R8" s="151"/>
      <c r="S8" s="151">
        <f>Q8*$C$8</f>
        <v>2377.3715073364247</v>
      </c>
      <c r="T8" s="151"/>
      <c r="U8" s="151">
        <f>S8*$C$8</f>
        <v>2436.8057950198349</v>
      </c>
      <c r="V8" s="151"/>
      <c r="W8" s="151">
        <f>U8*$C$8</f>
        <v>2497.7259398953306</v>
      </c>
      <c r="X8" s="151"/>
      <c r="Y8" s="151">
        <f>W8*$C$8</f>
        <v>2560.1690883927135</v>
      </c>
      <c r="Z8" s="151"/>
      <c r="AA8" s="151">
        <f>Y8*$C$8</f>
        <v>2624.1733156025311</v>
      </c>
      <c r="AB8" s="151"/>
      <c r="AC8" s="151">
        <f>AA8*$C$8</f>
        <v>2689.7776484925944</v>
      </c>
      <c r="AD8" s="151"/>
      <c r="AE8" s="151">
        <f>AC8*$C$8</f>
        <v>2757.0220897049089</v>
      </c>
      <c r="AF8" s="151"/>
      <c r="AG8" s="151">
        <f>AE8*$C$8</f>
        <v>2825.9476419475313</v>
      </c>
    </row>
    <row r="9" spans="1:34" s="140" customFormat="1" ht="14.25">
      <c r="B9" s="140" t="s">
        <v>2260</v>
      </c>
      <c r="C9" s="1225">
        <f>IF(Application!$D$211="Special Needs",(((0.1*Application!$T$212)+(0.05*(1-Application!$T$212)))),0.05)</f>
        <v>0.05</v>
      </c>
      <c r="E9" s="150">
        <f>-E8*$C$9</f>
        <v>-100</v>
      </c>
      <c r="F9" s="150"/>
      <c r="G9" s="150">
        <f>-G8*$C$9</f>
        <v>-102.5</v>
      </c>
      <c r="H9" s="150"/>
      <c r="I9" s="150">
        <f>-I8*$C$9</f>
        <v>-105.0625</v>
      </c>
      <c r="J9" s="150"/>
      <c r="K9" s="150">
        <f>-K8*$C$9</f>
        <v>-107.68906250000001</v>
      </c>
      <c r="L9" s="150"/>
      <c r="M9" s="150">
        <f>-M8*$C$9</f>
        <v>-110.3812890625</v>
      </c>
      <c r="N9" s="150"/>
      <c r="O9" s="150">
        <f>-O8*$C$9</f>
        <v>-113.14082128906249</v>
      </c>
      <c r="P9" s="150"/>
      <c r="Q9" s="150">
        <f>-Q8*$C$9</f>
        <v>-115.96934182128904</v>
      </c>
      <c r="R9" s="150"/>
      <c r="S9" s="150">
        <f>-S8*$C$9</f>
        <v>-118.86857536682123</v>
      </c>
      <c r="T9" s="150"/>
      <c r="U9" s="150">
        <f>-U8*$C$9</f>
        <v>-121.84028975099176</v>
      </c>
      <c r="V9" s="150"/>
      <c r="W9" s="150">
        <f>-W8*$C$9</f>
        <v>-124.88629699476654</v>
      </c>
      <c r="X9" s="150"/>
      <c r="Y9" s="150">
        <f>-Y8*$C$9</f>
        <v>-128.00845441963568</v>
      </c>
      <c r="Z9" s="150"/>
      <c r="AA9" s="150">
        <f>-AA8*$C$9</f>
        <v>-131.20866578012655</v>
      </c>
      <c r="AB9" s="150"/>
      <c r="AC9" s="150">
        <f>-AC8*$C$9</f>
        <v>-134.48888242462974</v>
      </c>
      <c r="AD9" s="150"/>
      <c r="AE9" s="150">
        <f>-AE8*$C$9</f>
        <v>-137.85110448524546</v>
      </c>
      <c r="AF9" s="150"/>
      <c r="AG9" s="150">
        <f>-AG8*$C$9</f>
        <v>-141.29738209737658</v>
      </c>
    </row>
    <row r="10" spans="1:34" s="140" customFormat="1" ht="14.25">
      <c r="A10" s="1026" t="s">
        <v>2708</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2709</v>
      </c>
      <c r="C11" s="145"/>
      <c r="E11" s="152">
        <f>SUM(E4:E10)</f>
        <v>639935.19999999995</v>
      </c>
      <c r="G11" s="152">
        <f>SUM(G4:G10)</f>
        <v>655933.57999999996</v>
      </c>
      <c r="I11" s="152">
        <f>SUM(I4:I10)</f>
        <v>672331.91949999984</v>
      </c>
      <c r="K11" s="152">
        <f>SUM(K4:K10)</f>
        <v>689140.21748749982</v>
      </c>
      <c r="M11" s="152">
        <f>SUM(M4:M10)</f>
        <v>706368.72292468708</v>
      </c>
      <c r="O11" s="152">
        <f>SUM(O4:O10)</f>
        <v>724027.94099780452</v>
      </c>
      <c r="Q11" s="152">
        <f>SUM(Q4:Q10)</f>
        <v>742128.63952274935</v>
      </c>
      <c r="S11" s="152">
        <f>SUM(S4:S10)</f>
        <v>760681.85551081807</v>
      </c>
      <c r="U11" s="152">
        <f>SUM(U4:U10)</f>
        <v>779698.90189858852</v>
      </c>
      <c r="W11" s="152">
        <f>SUM(W4:W10)</f>
        <v>799191.37444605329</v>
      </c>
      <c r="Y11" s="152">
        <f>SUM(Y4:Y10)</f>
        <v>819171.15880720445</v>
      </c>
      <c r="AA11" s="152">
        <f>SUM(AA4:AA10)</f>
        <v>839650.43777738453</v>
      </c>
      <c r="AC11" s="152">
        <f>SUM(AC4:AC10)</f>
        <v>860641.69872181898</v>
      </c>
      <c r="AE11" s="152">
        <f>SUM(AE4:AE10)</f>
        <v>882157.74118986435</v>
      </c>
      <c r="AG11" s="152">
        <f>SUM(AG4:AG10)</f>
        <v>904211.68471961096</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2710</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2711</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2712</v>
      </c>
      <c r="C15" s="859"/>
      <c r="E15" s="148">
        <f>Application!W855</f>
        <v>14000</v>
      </c>
      <c r="G15" s="148">
        <f>E15*$C$14</f>
        <v>14489.999999999998</v>
      </c>
      <c r="I15" s="148">
        <f>G15*$C$14</f>
        <v>14997.149999999998</v>
      </c>
      <c r="K15" s="148">
        <f>I15*$C$14</f>
        <v>15522.050249999997</v>
      </c>
      <c r="M15" s="148">
        <f>K15*$C$14</f>
        <v>16065.322008749996</v>
      </c>
      <c r="O15" s="148">
        <f>M15*$C$14</f>
        <v>16627.608279056243</v>
      </c>
      <c r="Q15" s="148">
        <f>O15*$C$14</f>
        <v>17209.574568823209</v>
      </c>
      <c r="S15" s="148">
        <f>Q15*$C$14</f>
        <v>17811.90967873202</v>
      </c>
      <c r="U15" s="148">
        <f>S15*$C$14</f>
        <v>18435.32651748764</v>
      </c>
      <c r="W15" s="148">
        <f>U15*$C$14</f>
        <v>19080.562945599704</v>
      </c>
      <c r="Y15" s="148">
        <f>W15*$C$14</f>
        <v>19748.382648695693</v>
      </c>
      <c r="AA15" s="148">
        <f>Y15*$C$14</f>
        <v>20439.57604140004</v>
      </c>
      <c r="AC15" s="148">
        <f>AA15*$C$14</f>
        <v>21154.961202849041</v>
      </c>
      <c r="AE15" s="148">
        <f>AC15*$C$14</f>
        <v>21895.384844948756</v>
      </c>
      <c r="AG15" s="148">
        <f>AE15*$C$14</f>
        <v>22661.723314521962</v>
      </c>
    </row>
    <row r="16" spans="1:34" s="140" customFormat="1" ht="14.25">
      <c r="A16" s="140" t="s">
        <v>1536</v>
      </c>
      <c r="C16" s="851"/>
      <c r="E16" s="151">
        <f>Application!W857</f>
        <v>28860</v>
      </c>
      <c r="F16" s="151"/>
      <c r="G16" s="151">
        <f t="shared" ref="G16:AG21" si="0">E16*$C$14</f>
        <v>29870.1</v>
      </c>
      <c r="H16" s="151"/>
      <c r="I16" s="151">
        <f t="shared" si="0"/>
        <v>30915.553499999995</v>
      </c>
      <c r="J16" s="151"/>
      <c r="K16" s="151">
        <f t="shared" si="0"/>
        <v>31997.597872499991</v>
      </c>
      <c r="L16" s="151"/>
      <c r="M16" s="151">
        <f t="shared" si="0"/>
        <v>33117.513798037486</v>
      </c>
      <c r="N16" s="151"/>
      <c r="O16" s="151">
        <f t="shared" si="0"/>
        <v>34276.626780968792</v>
      </c>
      <c r="P16" s="151"/>
      <c r="Q16" s="151">
        <f t="shared" si="0"/>
        <v>35476.308718302695</v>
      </c>
      <c r="R16" s="151"/>
      <c r="S16" s="151">
        <f t="shared" si="0"/>
        <v>36717.97952344329</v>
      </c>
      <c r="T16" s="151"/>
      <c r="U16" s="151">
        <f t="shared" si="0"/>
        <v>38003.108806763805</v>
      </c>
      <c r="V16" s="151"/>
      <c r="W16" s="151">
        <f t="shared" si="0"/>
        <v>39333.217615000533</v>
      </c>
      <c r="X16" s="151"/>
      <c r="Y16" s="151">
        <f t="shared" si="0"/>
        <v>40709.880231525545</v>
      </c>
      <c r="Z16" s="151"/>
      <c r="AA16" s="151">
        <f t="shared" si="0"/>
        <v>42134.726039628935</v>
      </c>
      <c r="AB16" s="151"/>
      <c r="AC16" s="151">
        <f t="shared" si="0"/>
        <v>43609.441451015948</v>
      </c>
      <c r="AD16" s="151"/>
      <c r="AE16" s="151">
        <f t="shared" si="0"/>
        <v>45135.771901801505</v>
      </c>
      <c r="AF16" s="151"/>
      <c r="AG16" s="151">
        <f t="shared" si="0"/>
        <v>46715.523918364554</v>
      </c>
    </row>
    <row r="17" spans="1:33" s="140" customFormat="1" ht="14.25">
      <c r="A17" s="140" t="s">
        <v>230</v>
      </c>
      <c r="C17" s="851"/>
      <c r="E17" s="151">
        <f>Application!W863</f>
        <v>42600</v>
      </c>
      <c r="F17" s="151"/>
      <c r="G17" s="151">
        <f t="shared" si="0"/>
        <v>44091</v>
      </c>
      <c r="H17" s="151"/>
      <c r="I17" s="151">
        <f t="shared" si="0"/>
        <v>45634.184999999998</v>
      </c>
      <c r="J17" s="151"/>
      <c r="K17" s="151">
        <f t="shared" si="0"/>
        <v>47231.381474999995</v>
      </c>
      <c r="L17" s="151"/>
      <c r="M17" s="151">
        <f t="shared" si="0"/>
        <v>48884.479826624993</v>
      </c>
      <c r="N17" s="151"/>
      <c r="O17" s="151">
        <f t="shared" si="0"/>
        <v>50595.436620556866</v>
      </c>
      <c r="P17" s="151"/>
      <c r="Q17" s="151">
        <f t="shared" si="0"/>
        <v>52366.276902276353</v>
      </c>
      <c r="R17" s="151"/>
      <c r="S17" s="151">
        <f t="shared" si="0"/>
        <v>54199.096593856018</v>
      </c>
      <c r="T17" s="151"/>
      <c r="U17" s="151">
        <f t="shared" si="0"/>
        <v>56096.064974640976</v>
      </c>
      <c r="V17" s="151"/>
      <c r="W17" s="151">
        <f t="shared" si="0"/>
        <v>58059.427248753404</v>
      </c>
      <c r="X17" s="151"/>
      <c r="Y17" s="151">
        <f t="shared" si="0"/>
        <v>60091.507202459768</v>
      </c>
      <c r="Z17" s="151"/>
      <c r="AA17" s="151">
        <f t="shared" si="0"/>
        <v>62194.709954545855</v>
      </c>
      <c r="AB17" s="151"/>
      <c r="AC17" s="151">
        <f t="shared" si="0"/>
        <v>64371.524802954955</v>
      </c>
      <c r="AD17" s="151"/>
      <c r="AE17" s="151">
        <f t="shared" si="0"/>
        <v>66624.528171058366</v>
      </c>
      <c r="AF17" s="151"/>
      <c r="AG17" s="151">
        <f t="shared" si="0"/>
        <v>68956.386657045397</v>
      </c>
    </row>
    <row r="18" spans="1:33" s="140" customFormat="1" ht="14.25">
      <c r="A18" s="140" t="s">
        <v>2713</v>
      </c>
      <c r="C18" s="851"/>
      <c r="E18" s="151">
        <f>Application!W870</f>
        <v>95000</v>
      </c>
      <c r="F18" s="151"/>
      <c r="G18" s="151">
        <f t="shared" si="0"/>
        <v>98324.999999999985</v>
      </c>
      <c r="H18" s="151"/>
      <c r="I18" s="151">
        <f t="shared" si="0"/>
        <v>101766.37499999997</v>
      </c>
      <c r="J18" s="151"/>
      <c r="K18" s="151">
        <f t="shared" si="0"/>
        <v>105328.19812499997</v>
      </c>
      <c r="L18" s="151"/>
      <c r="M18" s="151">
        <f t="shared" si="0"/>
        <v>109014.68505937496</v>
      </c>
      <c r="N18" s="151"/>
      <c r="O18" s="151">
        <f t="shared" si="0"/>
        <v>112830.19903645306</v>
      </c>
      <c r="P18" s="151"/>
      <c r="Q18" s="151">
        <f t="shared" si="0"/>
        <v>116779.25600272891</v>
      </c>
      <c r="R18" s="151"/>
      <c r="S18" s="151">
        <f t="shared" si="0"/>
        <v>120866.52996282441</v>
      </c>
      <c r="T18" s="151"/>
      <c r="U18" s="151">
        <f t="shared" si="0"/>
        <v>125096.85851152326</v>
      </c>
      <c r="V18" s="151"/>
      <c r="W18" s="151">
        <f t="shared" si="0"/>
        <v>129475.24855942656</v>
      </c>
      <c r="X18" s="151"/>
      <c r="Y18" s="151">
        <f t="shared" si="0"/>
        <v>134006.88225900647</v>
      </c>
      <c r="Z18" s="151"/>
      <c r="AA18" s="151">
        <f t="shared" si="0"/>
        <v>138697.12313807168</v>
      </c>
      <c r="AB18" s="151"/>
      <c r="AC18" s="151">
        <f t="shared" si="0"/>
        <v>143551.52244790416</v>
      </c>
      <c r="AD18" s="151"/>
      <c r="AE18" s="151">
        <f t="shared" si="0"/>
        <v>148575.8257335808</v>
      </c>
      <c r="AF18" s="151"/>
      <c r="AG18" s="151">
        <f t="shared" si="0"/>
        <v>153775.97963425613</v>
      </c>
    </row>
    <row r="19" spans="1:33" s="140" customFormat="1" ht="14.25">
      <c r="A19" s="140" t="s">
        <v>1549</v>
      </c>
      <c r="C19" s="851"/>
      <c r="E19" s="151">
        <f>Application!W872</f>
        <v>6000</v>
      </c>
      <c r="F19" s="151"/>
      <c r="G19" s="151">
        <f t="shared" si="0"/>
        <v>6209.9999999999991</v>
      </c>
      <c r="H19" s="151"/>
      <c r="I19" s="151">
        <f t="shared" si="0"/>
        <v>6427.3499999999985</v>
      </c>
      <c r="J19" s="151"/>
      <c r="K19" s="151">
        <f t="shared" si="0"/>
        <v>6652.307249999998</v>
      </c>
      <c r="L19" s="151"/>
      <c r="M19" s="151">
        <f t="shared" si="0"/>
        <v>6885.1380037499976</v>
      </c>
      <c r="N19" s="151"/>
      <c r="O19" s="151">
        <f t="shared" si="0"/>
        <v>7126.117833881247</v>
      </c>
      <c r="P19" s="151"/>
      <c r="Q19" s="151">
        <f t="shared" si="0"/>
        <v>7375.5319580670903</v>
      </c>
      <c r="R19" s="151"/>
      <c r="S19" s="151">
        <f t="shared" si="0"/>
        <v>7633.6755765994376</v>
      </c>
      <c r="T19" s="151"/>
      <c r="U19" s="151">
        <f t="shared" si="0"/>
        <v>7900.854221780417</v>
      </c>
      <c r="V19" s="151"/>
      <c r="W19" s="151">
        <f t="shared" si="0"/>
        <v>8177.3841195427312</v>
      </c>
      <c r="X19" s="151"/>
      <c r="Y19" s="151">
        <f t="shared" si="0"/>
        <v>8463.5925637267264</v>
      </c>
      <c r="Z19" s="151"/>
      <c r="AA19" s="151">
        <f t="shared" si="0"/>
        <v>8759.8183034571612</v>
      </c>
      <c r="AB19" s="151"/>
      <c r="AC19" s="151">
        <f t="shared" si="0"/>
        <v>9066.4119440781615</v>
      </c>
      <c r="AD19" s="151"/>
      <c r="AE19" s="151">
        <f t="shared" si="0"/>
        <v>9383.736362120897</v>
      </c>
      <c r="AF19" s="151"/>
      <c r="AG19" s="151">
        <f t="shared" si="0"/>
        <v>9712.1671347951269</v>
      </c>
    </row>
    <row r="20" spans="1:33" s="140" customFormat="1" ht="14.25">
      <c r="A20" s="140" t="s">
        <v>232</v>
      </c>
      <c r="C20" s="851"/>
      <c r="E20" s="151">
        <f>Application!W881</f>
        <v>72700</v>
      </c>
      <c r="F20" s="151"/>
      <c r="G20" s="151">
        <f t="shared" si="0"/>
        <v>75244.5</v>
      </c>
      <c r="H20" s="151"/>
      <c r="I20" s="151">
        <f t="shared" si="0"/>
        <v>77878.057499999995</v>
      </c>
      <c r="J20" s="151"/>
      <c r="K20" s="151">
        <f t="shared" si="0"/>
        <v>80603.789512499992</v>
      </c>
      <c r="L20" s="151"/>
      <c r="M20" s="151">
        <f t="shared" si="0"/>
        <v>83424.922145437478</v>
      </c>
      <c r="N20" s="151"/>
      <c r="O20" s="151">
        <f t="shared" si="0"/>
        <v>86344.794420527789</v>
      </c>
      <c r="P20" s="151"/>
      <c r="Q20" s="151">
        <f t="shared" si="0"/>
        <v>89366.862225246252</v>
      </c>
      <c r="R20" s="151"/>
      <c r="S20" s="151">
        <f t="shared" si="0"/>
        <v>92494.702403129864</v>
      </c>
      <c r="T20" s="151"/>
      <c r="U20" s="151">
        <f t="shared" si="0"/>
        <v>95732.016987239404</v>
      </c>
      <c r="V20" s="151"/>
      <c r="W20" s="151">
        <f t="shared" si="0"/>
        <v>99082.637581792776</v>
      </c>
      <c r="X20" s="151"/>
      <c r="Y20" s="151">
        <f t="shared" si="0"/>
        <v>102550.52989715552</v>
      </c>
      <c r="Z20" s="151"/>
      <c r="AA20" s="151">
        <f t="shared" si="0"/>
        <v>106139.79844355595</v>
      </c>
      <c r="AB20" s="151"/>
      <c r="AC20" s="151">
        <f t="shared" si="0"/>
        <v>109854.6913890804</v>
      </c>
      <c r="AD20" s="151"/>
      <c r="AE20" s="151">
        <f t="shared" si="0"/>
        <v>113699.6055876982</v>
      </c>
      <c r="AF20" s="151"/>
      <c r="AG20" s="151">
        <f t="shared" si="0"/>
        <v>117679.09178326762</v>
      </c>
    </row>
    <row r="21" spans="1:33" s="140" customFormat="1" ht="14.25">
      <c r="A21" s="155" t="s">
        <v>2714</v>
      </c>
      <c r="B21" s="155"/>
      <c r="C21" s="851"/>
      <c r="E21" s="161">
        <f>Application!W888</f>
        <v>34000</v>
      </c>
      <c r="F21" s="151"/>
      <c r="G21" s="161">
        <f t="shared" si="0"/>
        <v>35190</v>
      </c>
      <c r="H21" s="151"/>
      <c r="I21" s="161">
        <f t="shared" si="0"/>
        <v>36421.649999999994</v>
      </c>
      <c r="J21" s="151"/>
      <c r="K21" s="161">
        <f t="shared" si="0"/>
        <v>37696.407749999991</v>
      </c>
      <c r="L21" s="151"/>
      <c r="M21" s="161">
        <f t="shared" si="0"/>
        <v>39015.782021249986</v>
      </c>
      <c r="N21" s="151"/>
      <c r="O21" s="161">
        <f t="shared" si="0"/>
        <v>40381.334391993732</v>
      </c>
      <c r="P21" s="151"/>
      <c r="Q21" s="161">
        <f t="shared" si="0"/>
        <v>41794.681095713509</v>
      </c>
      <c r="R21" s="151"/>
      <c r="S21" s="161">
        <f t="shared" si="0"/>
        <v>43257.494934063478</v>
      </c>
      <c r="T21" s="151"/>
      <c r="U21" s="161">
        <f t="shared" si="0"/>
        <v>44771.507256755693</v>
      </c>
      <c r="V21" s="151"/>
      <c r="W21" s="161">
        <f t="shared" si="0"/>
        <v>46338.510010742139</v>
      </c>
      <c r="X21" s="151"/>
      <c r="Y21" s="161">
        <f t="shared" si="0"/>
        <v>47960.357861118107</v>
      </c>
      <c r="Z21" s="151"/>
      <c r="AA21" s="161">
        <f t="shared" si="0"/>
        <v>49638.970386257235</v>
      </c>
      <c r="AB21" s="151"/>
      <c r="AC21" s="161">
        <f t="shared" si="0"/>
        <v>51376.334349776233</v>
      </c>
      <c r="AD21" s="151"/>
      <c r="AE21" s="161">
        <f t="shared" si="0"/>
        <v>53174.506052018398</v>
      </c>
      <c r="AF21" s="151"/>
      <c r="AG21" s="161">
        <f t="shared" si="0"/>
        <v>55035.613763839036</v>
      </c>
    </row>
    <row r="22" spans="1:33" s="152" customFormat="1" ht="15">
      <c r="A22" s="152" t="s">
        <v>2715</v>
      </c>
      <c r="C22" s="851"/>
      <c r="E22" s="152">
        <f>SUM(E15:E21)</f>
        <v>293160</v>
      </c>
      <c r="G22" s="152">
        <f>SUM(G15:G21)</f>
        <v>303420.59999999998</v>
      </c>
      <c r="I22" s="152">
        <f>SUM(I15:I21)</f>
        <v>314040.321</v>
      </c>
      <c r="K22" s="152">
        <f>SUM(K15:K21)</f>
        <v>325031.73223499994</v>
      </c>
      <c r="M22" s="152">
        <f>SUM(M15:M21)</f>
        <v>336407.84286322491</v>
      </c>
      <c r="O22" s="152">
        <f>SUM(O15:O21)</f>
        <v>348182.11736343778</v>
      </c>
      <c r="Q22" s="152">
        <f>SUM(Q15:Q21)</f>
        <v>360368.49147115805</v>
      </c>
      <c r="S22" s="152">
        <f>SUM(S15:S21)</f>
        <v>372981.38867264852</v>
      </c>
      <c r="U22" s="152">
        <f>SUM(U15:U21)</f>
        <v>386035.73727619112</v>
      </c>
      <c r="W22" s="152">
        <f>SUM(W15:W21)</f>
        <v>399546.98808085779</v>
      </c>
      <c r="Y22" s="152">
        <f>SUM(Y15:Y21)</f>
        <v>413531.13266368781</v>
      </c>
      <c r="AA22" s="152">
        <f>SUM(AA15:AA21)</f>
        <v>428004.72230691684</v>
      </c>
      <c r="AC22" s="152">
        <f>SUM(AC15:AC21)</f>
        <v>442984.88758765889</v>
      </c>
      <c r="AE22" s="152">
        <f>SUM(AE15:AE21)</f>
        <v>458489.35865322687</v>
      </c>
      <c r="AG22" s="152">
        <f>SUM(AG15:AG21)</f>
        <v>474536.48620608984</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2716</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2717</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2312</v>
      </c>
      <c r="C27" s="1224">
        <v>1.0349999999999999</v>
      </c>
      <c r="E27" s="151">
        <f>Application!AC897</f>
        <v>15000</v>
      </c>
      <c r="F27" s="151"/>
      <c r="G27" s="151">
        <f>E27*$C$27</f>
        <v>15524.999999999998</v>
      </c>
      <c r="H27" s="151"/>
      <c r="I27" s="151">
        <f>G27*$C$27</f>
        <v>16068.374999999996</v>
      </c>
      <c r="J27" s="151"/>
      <c r="K27" s="151">
        <f>I27*$C$27</f>
        <v>16630.768124999995</v>
      </c>
      <c r="L27" s="151"/>
      <c r="M27" s="151">
        <f>K27*$C$27</f>
        <v>17212.845009374993</v>
      </c>
      <c r="N27" s="151"/>
      <c r="O27" s="151">
        <f>M27*$C$27</f>
        <v>17815.294584703115</v>
      </c>
      <c r="P27" s="151"/>
      <c r="Q27" s="151">
        <f>O27*$C$27</f>
        <v>18438.829895167724</v>
      </c>
      <c r="R27" s="151"/>
      <c r="S27" s="151">
        <f>Q27*$C$27</f>
        <v>19084.188941498593</v>
      </c>
      <c r="T27" s="151"/>
      <c r="U27" s="151">
        <f>S27*$C$27</f>
        <v>19752.135554451041</v>
      </c>
      <c r="V27" s="151"/>
      <c r="W27" s="151">
        <f>U27*$C$27</f>
        <v>20443.460298856826</v>
      </c>
      <c r="X27" s="151"/>
      <c r="Y27" s="151">
        <f>W27*$C$27</f>
        <v>21158.981409316813</v>
      </c>
      <c r="Z27" s="151"/>
      <c r="AA27" s="151">
        <f>Y27*$C$27</f>
        <v>21899.5457586429</v>
      </c>
      <c r="AB27" s="151"/>
      <c r="AC27" s="151">
        <f>AA27*$C$27</f>
        <v>22666.029860195398</v>
      </c>
      <c r="AD27" s="151"/>
      <c r="AE27" s="151">
        <f>AC27*$C$27</f>
        <v>23459.340905302237</v>
      </c>
      <c r="AF27" s="151"/>
      <c r="AG27" s="151">
        <f>AE27*$C$27</f>
        <v>24280.417836987814</v>
      </c>
    </row>
    <row r="28" spans="1:33" s="140" customFormat="1" ht="14.25">
      <c r="A28" s="140" t="s">
        <v>2718</v>
      </c>
      <c r="C28" s="1224"/>
      <c r="E28" s="151">
        <f>Application!AC898</f>
        <v>22200</v>
      </c>
      <c r="F28" s="151"/>
      <c r="G28" s="151">
        <f>$E$28</f>
        <v>22200</v>
      </c>
      <c r="H28" s="151"/>
      <c r="I28" s="151">
        <f>$E$28</f>
        <v>22200</v>
      </c>
      <c r="J28" s="151"/>
      <c r="K28" s="151">
        <f>$E$28</f>
        <v>22200</v>
      </c>
      <c r="L28" s="151"/>
      <c r="M28" s="151">
        <f>$E$28</f>
        <v>22200</v>
      </c>
      <c r="N28" s="151"/>
      <c r="O28" s="151">
        <f>$E$28</f>
        <v>22200</v>
      </c>
      <c r="P28" s="151"/>
      <c r="Q28" s="151">
        <f>$E$28</f>
        <v>22200</v>
      </c>
      <c r="R28" s="151"/>
      <c r="S28" s="151">
        <f>$E$28</f>
        <v>22200</v>
      </c>
      <c r="T28" s="151"/>
      <c r="U28" s="151">
        <f>$E$28</f>
        <v>22200</v>
      </c>
      <c r="V28" s="151"/>
      <c r="W28" s="151">
        <f>$E$28</f>
        <v>22200</v>
      </c>
      <c r="X28" s="151"/>
      <c r="Y28" s="151">
        <f>$E$28</f>
        <v>22200</v>
      </c>
      <c r="Z28" s="151"/>
      <c r="AA28" s="151">
        <f>$E$28</f>
        <v>22200</v>
      </c>
      <c r="AB28" s="151"/>
      <c r="AC28" s="151">
        <f>$E$28</f>
        <v>22200</v>
      </c>
      <c r="AD28" s="151"/>
      <c r="AE28" s="151">
        <f>$E$28</f>
        <v>22200</v>
      </c>
      <c r="AF28" s="151"/>
      <c r="AG28" s="151">
        <f>$E$28</f>
        <v>22200</v>
      </c>
    </row>
    <row r="29" spans="1:33" s="140" customFormat="1" ht="14.25">
      <c r="A29" s="140" t="s">
        <v>2719</v>
      </c>
      <c r="C29" s="1224"/>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2720</v>
      </c>
      <c r="C30" s="1224">
        <v>1.02</v>
      </c>
      <c r="E30" s="151">
        <f>Application!AC900</f>
        <v>2400</v>
      </c>
      <c r="F30" s="151"/>
      <c r="G30" s="151">
        <f>E30*$C$30</f>
        <v>2448</v>
      </c>
      <c r="H30" s="151"/>
      <c r="I30" s="151">
        <f>G30*$C$30</f>
        <v>2496.96</v>
      </c>
      <c r="J30" s="151"/>
      <c r="K30" s="151">
        <f>I30*$C$30</f>
        <v>2546.8992000000003</v>
      </c>
      <c r="L30" s="151"/>
      <c r="M30" s="151">
        <f>K30*$C$30</f>
        <v>2597.8371840000004</v>
      </c>
      <c r="N30" s="151"/>
      <c r="O30" s="151">
        <f>M30*$C$30</f>
        <v>2649.7939276800007</v>
      </c>
      <c r="P30" s="151"/>
      <c r="Q30" s="151">
        <f>O30*$C$30</f>
        <v>2702.7898062336008</v>
      </c>
      <c r="R30" s="151"/>
      <c r="S30" s="151">
        <f>Q30*$C$30</f>
        <v>2756.845602358273</v>
      </c>
      <c r="T30" s="151"/>
      <c r="U30" s="151">
        <f>S30*$C$30</f>
        <v>2811.9825144054385</v>
      </c>
      <c r="V30" s="151"/>
      <c r="W30" s="151">
        <f>U30*$C$30</f>
        <v>2868.2221646935473</v>
      </c>
      <c r="X30" s="151"/>
      <c r="Y30" s="151">
        <f>W30*$C$30</f>
        <v>2925.5866079874181</v>
      </c>
      <c r="Z30" s="151"/>
      <c r="AA30" s="151">
        <f>Y30*$C$30</f>
        <v>2984.0983401471667</v>
      </c>
      <c r="AB30" s="151"/>
      <c r="AC30" s="151">
        <f>AA30*$C$30</f>
        <v>3043.7803069501101</v>
      </c>
      <c r="AD30" s="151"/>
      <c r="AE30" s="151">
        <f>AC30*$C$30</f>
        <v>3104.6559130891123</v>
      </c>
      <c r="AF30" s="151"/>
      <c r="AG30" s="151">
        <f>AE30*$C$30</f>
        <v>3166.7490313508947</v>
      </c>
    </row>
    <row r="31" spans="1:33" s="140" customFormat="1" ht="14.25">
      <c r="A31" s="140" t="s">
        <v>2721</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1565</v>
      </c>
      <c r="C35" s="153"/>
      <c r="E35" s="152">
        <f>SUM(E22:E33)</f>
        <v>332760</v>
      </c>
      <c r="G35" s="152">
        <f>SUM(G22:G33)</f>
        <v>343593.6</v>
      </c>
      <c r="I35" s="152">
        <f>SUM(I22:I33)</f>
        <v>354805.65600000002</v>
      </c>
      <c r="K35" s="152">
        <f>SUM(K22:K33)</f>
        <v>366409.39955999993</v>
      </c>
      <c r="M35" s="152">
        <f>SUM(M22:M33)</f>
        <v>378418.52505659993</v>
      </c>
      <c r="O35" s="152">
        <f>SUM(O22:O33)</f>
        <v>390847.20587582089</v>
      </c>
      <c r="Q35" s="152">
        <f>SUM(Q22:Q33)</f>
        <v>403710.11117255938</v>
      </c>
      <c r="S35" s="152">
        <f>SUM(S22:S33)</f>
        <v>417022.42321650538</v>
      </c>
      <c r="U35" s="152">
        <f>SUM(U22:U33)</f>
        <v>430799.8553450476</v>
      </c>
      <c r="W35" s="152">
        <f>SUM(W22:W33)</f>
        <v>445058.67054440815</v>
      </c>
      <c r="Y35" s="152">
        <f>SUM(Y22:Y33)</f>
        <v>459815.70068099204</v>
      </c>
      <c r="AA35" s="152">
        <f>SUM(AA22:AA33)</f>
        <v>475088.36640570691</v>
      </c>
      <c r="AC35" s="152">
        <f>SUM(AC22:AC33)</f>
        <v>490894.69775480439</v>
      </c>
      <c r="AE35" s="152">
        <f>SUM(AE22:AE33)</f>
        <v>507253.35547161824</v>
      </c>
      <c r="AG35" s="152">
        <f>SUM(AG22:AG33)</f>
        <v>524183.65307442856</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2722</v>
      </c>
      <c r="C37" s="153"/>
      <c r="E37" s="152">
        <f>E11-E35</f>
        <v>307175.19999999995</v>
      </c>
      <c r="G37" s="152">
        <f>G11-G35</f>
        <v>312339.98</v>
      </c>
      <c r="I37" s="152">
        <f>I11-I35</f>
        <v>317526.26349999983</v>
      </c>
      <c r="K37" s="152">
        <f>K11-K35</f>
        <v>322730.81792749988</v>
      </c>
      <c r="M37" s="152">
        <f>M11-M35</f>
        <v>327950.19786808715</v>
      </c>
      <c r="O37" s="152">
        <f>O11-O35</f>
        <v>333180.73512198363</v>
      </c>
      <c r="Q37" s="152">
        <f>Q11-Q35</f>
        <v>338418.52835018997</v>
      </c>
      <c r="S37" s="152">
        <f>S11-S35</f>
        <v>343659.43229431269</v>
      </c>
      <c r="U37" s="152">
        <f>U11-U35</f>
        <v>348899.04655354092</v>
      </c>
      <c r="W37" s="152">
        <f>W11-W35</f>
        <v>354132.70390164515</v>
      </c>
      <c r="Y37" s="152">
        <f>Y11-Y35</f>
        <v>359355.45812621241</v>
      </c>
      <c r="AA37" s="152">
        <f>AA11-AA35</f>
        <v>364562.07137167762</v>
      </c>
      <c r="AC37" s="152">
        <f>AC11-AC35</f>
        <v>369747.00096701458</v>
      </c>
      <c r="AE37" s="152">
        <f>AE11-AE35</f>
        <v>374904.38571824611</v>
      </c>
      <c r="AG37" s="152">
        <f>AG11-AG35</f>
        <v>380028.0316451824</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2723</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Banc of California</v>
      </c>
      <c r="B40" s="155"/>
      <c r="C40" s="149"/>
      <c r="E40" s="151">
        <f>Application!AF635</f>
        <v>256845</v>
      </c>
      <c r="F40" s="151"/>
      <c r="G40" s="151">
        <f>$E$40</f>
        <v>256845</v>
      </c>
      <c r="H40" s="151"/>
      <c r="I40" s="151">
        <f>$E$40</f>
        <v>256845</v>
      </c>
      <c r="J40" s="151"/>
      <c r="K40" s="151">
        <f>$E$40</f>
        <v>256845</v>
      </c>
      <c r="L40" s="151"/>
      <c r="M40" s="151">
        <f>$E$40</f>
        <v>256845</v>
      </c>
      <c r="N40" s="151"/>
      <c r="O40" s="151">
        <f>$E$40</f>
        <v>256845</v>
      </c>
      <c r="P40" s="151"/>
      <c r="Q40" s="151">
        <f>$E$40</f>
        <v>256845</v>
      </c>
      <c r="R40" s="151"/>
      <c r="S40" s="151">
        <f>$E$40</f>
        <v>256845</v>
      </c>
      <c r="T40" s="151"/>
      <c r="U40" s="151">
        <f>$E$40</f>
        <v>256845</v>
      </c>
      <c r="V40" s="151"/>
      <c r="W40" s="151">
        <f>$E$40</f>
        <v>256845</v>
      </c>
      <c r="X40" s="151"/>
      <c r="Y40" s="151">
        <f>$E$40</f>
        <v>256845</v>
      </c>
      <c r="Z40" s="151"/>
      <c r="AA40" s="151">
        <f>$E$40</f>
        <v>256845</v>
      </c>
      <c r="AB40" s="151"/>
      <c r="AC40" s="151">
        <f>$E$40</f>
        <v>256845</v>
      </c>
      <c r="AD40" s="151"/>
      <c r="AE40" s="151">
        <f>$E$40</f>
        <v>256845</v>
      </c>
      <c r="AF40" s="151"/>
      <c r="AG40" s="151">
        <f>$E$40</f>
        <v>256845</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2724</v>
      </c>
      <c r="C43" s="153"/>
      <c r="E43" s="152">
        <f>SUM(E40:E42)</f>
        <v>256845</v>
      </c>
      <c r="G43" s="152">
        <f>SUM(G40:G42)</f>
        <v>256845</v>
      </c>
      <c r="I43" s="152">
        <f>SUM(I40:I42)</f>
        <v>256845</v>
      </c>
      <c r="K43" s="152">
        <f>SUM(K40:K42)</f>
        <v>256845</v>
      </c>
      <c r="M43" s="152">
        <f>SUM(M40:M42)</f>
        <v>256845</v>
      </c>
      <c r="O43" s="152">
        <f>SUM(O40:O42)</f>
        <v>256845</v>
      </c>
      <c r="Q43" s="152">
        <f>SUM(Q40:Q42)</f>
        <v>256845</v>
      </c>
      <c r="S43" s="152">
        <f>SUM(S40:S42)</f>
        <v>256845</v>
      </c>
      <c r="U43" s="152">
        <f>SUM(U40:U42)</f>
        <v>256845</v>
      </c>
      <c r="W43" s="152">
        <f>SUM(W40:W42)</f>
        <v>256845</v>
      </c>
      <c r="Y43" s="152">
        <f>SUM(Y40:Y42)</f>
        <v>256845</v>
      </c>
      <c r="AA43" s="152">
        <f>SUM(AA40:AA42)</f>
        <v>256845</v>
      </c>
      <c r="AC43" s="152">
        <f>SUM(AC40:AC42)</f>
        <v>256845</v>
      </c>
      <c r="AE43" s="152">
        <f>SUM(AE40:AE42)</f>
        <v>256845</v>
      </c>
      <c r="AG43" s="152">
        <f>SUM(AG40:AG42)</f>
        <v>256845</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2725</v>
      </c>
      <c r="C45" s="153"/>
      <c r="E45" s="152">
        <f>E37-E43</f>
        <v>50330.199999999953</v>
      </c>
      <c r="G45" s="152">
        <f>G37-G43</f>
        <v>55494.979999999981</v>
      </c>
      <c r="I45" s="152">
        <f>I37-I43</f>
        <v>60681.263499999826</v>
      </c>
      <c r="K45" s="152">
        <f>K37-K43</f>
        <v>65885.817927499884</v>
      </c>
      <c r="M45" s="152">
        <f>M37-M43</f>
        <v>71105.197868087154</v>
      </c>
      <c r="O45" s="152">
        <f>O37-O43</f>
        <v>76335.735121983627</v>
      </c>
      <c r="Q45" s="152">
        <f>Q37-Q43</f>
        <v>81573.528350189968</v>
      </c>
      <c r="S45" s="152">
        <f>S37-S43</f>
        <v>86814.43229431269</v>
      </c>
      <c r="U45" s="152">
        <f>U37-U43</f>
        <v>92054.046553540917</v>
      </c>
      <c r="W45" s="152">
        <f>W37-W43</f>
        <v>97287.703901645145</v>
      </c>
      <c r="Y45" s="152">
        <f>Y37-Y43</f>
        <v>102510.45812621241</v>
      </c>
      <c r="AA45" s="152">
        <f>AA37-AA43</f>
        <v>107717.07137167762</v>
      </c>
      <c r="AC45" s="152">
        <f>AC37-AC43</f>
        <v>112902.00096701458</v>
      </c>
      <c r="AE45" s="152">
        <f>AE37-AE43</f>
        <v>118059.38571824611</v>
      </c>
      <c r="AG45" s="152">
        <f>AG37-AG43</f>
        <v>123183.0316451824</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2726</v>
      </c>
      <c r="C47" s="149"/>
      <c r="E47" s="156">
        <f>E45/(E4+E6+E8)</f>
        <v>7.4716455666136133E-2</v>
      </c>
      <c r="G47" s="156">
        <f>G45/(G4+G6+G8)</f>
        <v>8.0374343694982031E-2</v>
      </c>
      <c r="I47" s="156">
        <f>I45/(I4+I6+I8)</f>
        <v>8.5742173847511122E-2</v>
      </c>
      <c r="K47" s="156">
        <f>K45/(K4+K6+K8)</f>
        <v>9.0825532225247363E-2</v>
      </c>
      <c r="M47" s="156">
        <f>M45/(M4+M6+M8)</f>
        <v>9.5629854185779045E-2</v>
      </c>
      <c r="O47" s="156">
        <f>O45/(O4+O6+O8)</f>
        <v>0.10016042787788539</v>
      </c>
      <c r="Q47" s="156">
        <f>Q45/(Q4+Q6+Q8)</f>
        <v>0.10442239768905311</v>
      </c>
      <c r="S47" s="156">
        <f>S45/(S4+S6+S8)</f>
        <v>0.10842076760752203</v>
      </c>
      <c r="U47" s="156">
        <f>U45/(U4+U6+U8)</f>
        <v>0.11216040450091364</v>
      </c>
      <c r="W47" s="156">
        <f>W45/(W4+W6+W8)</f>
        <v>0.11564604131347721</v>
      </c>
      <c r="Y47" s="156">
        <f>Y45/(Y4+Y6+Y8)</f>
        <v>0.11888228018391669</v>
      </c>
      <c r="AA47" s="156">
        <f>AA45/(AA4+AA6+AA8)</f>
        <v>0.12187359548572604</v>
      </c>
      <c r="AC47" s="156">
        <f>AC45/(AC4+AC6+AC8)</f>
        <v>0.12462433679190343</v>
      </c>
      <c r="AE47" s="156">
        <f>AE45/(AE4+AE6+AE8)</f>
        <v>0.1271387317658812</v>
      </c>
      <c r="AG47" s="156">
        <f>AG45/(AG4+AG6+AG8)</f>
        <v>0.12942088898045098</v>
      </c>
    </row>
    <row r="48" spans="1:33" s="156" customFormat="1" ht="14.25">
      <c r="A48" s="156" t="s">
        <v>2727</v>
      </c>
      <c r="C48" s="149"/>
      <c r="E48" s="156">
        <f>E45/E43</f>
        <v>0.19595553738636123</v>
      </c>
      <c r="G48" s="156">
        <f>G45/G43</f>
        <v>0.21606408534330035</v>
      </c>
      <c r="I48" s="156">
        <f>I45/I43</f>
        <v>0.23625635500009665</v>
      </c>
      <c r="K48" s="156">
        <f>K45/K43</f>
        <v>0.25651976066304533</v>
      </c>
      <c r="M48" s="156">
        <f>M45/M43</f>
        <v>0.27684088796000372</v>
      </c>
      <c r="O48" s="156">
        <f>O45/O43</f>
        <v>0.29720545512656904</v>
      </c>
      <c r="Q48" s="156">
        <f>Q45/Q43</f>
        <v>0.31759827269438756</v>
      </c>
      <c r="S48" s="156">
        <f>S45/S43</f>
        <v>0.33800320151964292</v>
      </c>
      <c r="U48" s="156">
        <f>U45/U43</f>
        <v>0.35840310908735196</v>
      </c>
      <c r="W48" s="156">
        <f>W45/W43</f>
        <v>0.37877982402478205</v>
      </c>
      <c r="Y48" s="156">
        <f>Y45/Y43</f>
        <v>0.39911408875474474</v>
      </c>
      <c r="AA48" s="156">
        <f>AA45/AA43</f>
        <v>0.41938551021696985</v>
      </c>
      <c r="AC48" s="156">
        <f>AC45/AC43</f>
        <v>0.4395725085830543</v>
      </c>
      <c r="AE48" s="156">
        <f>AE45/AE43</f>
        <v>0.45965226388773817</v>
      </c>
      <c r="AG48" s="156">
        <f>AG45/AG43</f>
        <v>0.47960066049633981</v>
      </c>
    </row>
    <row r="49" spans="1:34" s="157" customFormat="1" ht="14.25">
      <c r="A49" s="157" t="s">
        <v>2266</v>
      </c>
      <c r="C49" s="158"/>
      <c r="E49" s="157">
        <f>E37/E43</f>
        <v>1.1959555373863613</v>
      </c>
      <c r="G49" s="157">
        <f>G37/G43</f>
        <v>1.2160640853433005</v>
      </c>
      <c r="I49" s="157">
        <f>I37/I43</f>
        <v>1.2362563550000967</v>
      </c>
      <c r="K49" s="157">
        <f>K37/K43</f>
        <v>1.2565197606630454</v>
      </c>
      <c r="M49" s="157">
        <f>M37/M43</f>
        <v>1.2768408879600037</v>
      </c>
      <c r="O49" s="157">
        <f>O37/O43</f>
        <v>1.297205455126569</v>
      </c>
      <c r="Q49" s="157">
        <f>Q37/Q43</f>
        <v>1.3175982726943876</v>
      </c>
      <c r="S49" s="157">
        <f>S37/S43</f>
        <v>1.338003201519643</v>
      </c>
      <c r="U49" s="157">
        <f>U37/U43</f>
        <v>1.3584031090873521</v>
      </c>
      <c r="W49" s="157">
        <f>W37/W43</f>
        <v>1.3787798240247819</v>
      </c>
      <c r="Y49" s="157">
        <f>Y37/Y43</f>
        <v>1.3991140887547446</v>
      </c>
      <c r="AA49" s="157">
        <f>AA37/AA43</f>
        <v>1.4193855102169699</v>
      </c>
      <c r="AC49" s="157">
        <f>AC37/AC43</f>
        <v>1.4395725085830542</v>
      </c>
      <c r="AE49" s="157">
        <f>AE37/AE43</f>
        <v>1.4596522638877381</v>
      </c>
      <c r="AG49" s="157">
        <f>AG37/AG43</f>
        <v>1.4796006604963399</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2728</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4" t="s">
        <v>2729</v>
      </c>
      <c r="B52" s="2614"/>
      <c r="C52" s="2614"/>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2038</v>
      </c>
      <c r="C53" s="853"/>
      <c r="E53" s="854"/>
      <c r="G53" s="850">
        <f>E53*$C$53</f>
        <v>0</v>
      </c>
      <c r="I53" s="850">
        <f>G53*$C$53</f>
        <v>0</v>
      </c>
      <c r="K53" s="850">
        <f>I53*$C$53</f>
        <v>0</v>
      </c>
      <c r="M53" s="850">
        <v>0</v>
      </c>
      <c r="O53" s="850">
        <f>M53*1.03</f>
        <v>0</v>
      </c>
      <c r="Q53" s="850">
        <f>O53*1.03</f>
        <v>0</v>
      </c>
      <c r="S53" s="850">
        <f>Q53*1.03</f>
        <v>0</v>
      </c>
      <c r="U53" s="850">
        <f>S53*1.03</f>
        <v>0</v>
      </c>
      <c r="W53" s="850">
        <f>U53*1.03</f>
        <v>0</v>
      </c>
      <c r="Y53" s="850">
        <v>4500</v>
      </c>
      <c r="AA53" s="850">
        <f>Y53*1.03</f>
        <v>4635</v>
      </c>
      <c r="AC53" s="850">
        <f>AA53*1.03</f>
        <v>4774.05</v>
      </c>
      <c r="AE53" s="850">
        <f>AC53*1.03</f>
        <v>4917.2715000000007</v>
      </c>
      <c r="AG53" s="850">
        <f>AE53*1.03</f>
        <v>5064.7896450000007</v>
      </c>
    </row>
    <row r="54" spans="1:34" s="3" customFormat="1">
      <c r="A54" s="3" t="s">
        <v>2730</v>
      </c>
      <c r="C54" s="848"/>
      <c r="E54" s="855">
        <v>4000</v>
      </c>
      <c r="F54" s="850"/>
      <c r="G54" s="850">
        <f>E54*1.03</f>
        <v>4120</v>
      </c>
      <c r="H54" s="850"/>
      <c r="I54" s="850">
        <f>G54*1.03</f>
        <v>4243.6000000000004</v>
      </c>
      <c r="J54" s="850"/>
      <c r="K54" s="850">
        <f>I54*1.03</f>
        <v>4370.9080000000004</v>
      </c>
      <c r="L54" s="850"/>
      <c r="M54" s="850">
        <f>K54*1.03</f>
        <v>4502.0352400000002</v>
      </c>
      <c r="N54" s="850"/>
      <c r="O54" s="850">
        <f>M54*1.03</f>
        <v>4637.0962972000007</v>
      </c>
      <c r="P54" s="850"/>
      <c r="Q54" s="850">
        <f>O54*1.03</f>
        <v>4776.2091861160006</v>
      </c>
      <c r="R54" s="850"/>
      <c r="S54" s="850">
        <f>Q54*1.03</f>
        <v>4919.495461699481</v>
      </c>
      <c r="T54" s="850"/>
      <c r="U54" s="850">
        <f>S54*1.03</f>
        <v>5067.0803255504652</v>
      </c>
      <c r="V54" s="850"/>
      <c r="W54" s="850">
        <f>U54*1.03</f>
        <v>5219.0927353169791</v>
      </c>
      <c r="X54" s="850"/>
      <c r="Y54" s="850">
        <f>W54*1.03</f>
        <v>5375.6655173764884</v>
      </c>
      <c r="Z54" s="850"/>
      <c r="AA54" s="850">
        <f>Y54*1.03</f>
        <v>5536.935482897783</v>
      </c>
      <c r="AB54" s="850"/>
      <c r="AC54" s="850">
        <f>AA54*1.03</f>
        <v>5703.0435473847165</v>
      </c>
      <c r="AD54" s="850"/>
      <c r="AE54" s="850">
        <f>AC54*1.03</f>
        <v>5874.1348538062584</v>
      </c>
      <c r="AF54" s="850"/>
      <c r="AG54" s="850">
        <f>AE54*1.03</f>
        <v>6050.3588994204465</v>
      </c>
      <c r="AH54" s="850"/>
    </row>
    <row r="55" spans="1:34" s="3" customFormat="1">
      <c r="A55" s="3" t="s">
        <v>2731</v>
      </c>
      <c r="C55" s="848"/>
      <c r="E55" s="855"/>
      <c r="F55" s="850"/>
      <c r="G55" s="850">
        <f t="shared" ref="G55:AG57" si="1">E55*$C$53</f>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2732</v>
      </c>
      <c r="C58" s="851"/>
      <c r="E58" s="850">
        <f>SUM(E53:E57)</f>
        <v>4000</v>
      </c>
      <c r="F58" s="850"/>
      <c r="G58" s="850">
        <f>SUM(G53:G57)</f>
        <v>4120</v>
      </c>
      <c r="H58" s="850"/>
      <c r="I58" s="850">
        <f>SUM(I53:I57)</f>
        <v>4243.6000000000004</v>
      </c>
      <c r="J58" s="850"/>
      <c r="K58" s="850">
        <f>SUM(K53:K57)</f>
        <v>4370.9080000000004</v>
      </c>
      <c r="L58" s="850"/>
      <c r="M58" s="850">
        <f>SUM(M53:M57)</f>
        <v>4502.0352400000002</v>
      </c>
      <c r="N58" s="850"/>
      <c r="O58" s="850">
        <f>SUM(O53:O57)</f>
        <v>4637.0962972000007</v>
      </c>
      <c r="P58" s="850"/>
      <c r="Q58" s="850">
        <f>SUM(Q53:Q57)</f>
        <v>4776.2091861160006</v>
      </c>
      <c r="R58" s="850"/>
      <c r="S58" s="850">
        <f>SUM(S53:S57)</f>
        <v>4919.495461699481</v>
      </c>
      <c r="T58" s="850"/>
      <c r="U58" s="850">
        <f>SUM(U53:U57)</f>
        <v>5067.0803255504652</v>
      </c>
      <c r="V58" s="850"/>
      <c r="W58" s="850">
        <f>SUM(W53:W57)</f>
        <v>5219.0927353169791</v>
      </c>
      <c r="X58" s="850"/>
      <c r="Y58" s="850">
        <f>SUM(Y53:Y57)</f>
        <v>9875.6655173764884</v>
      </c>
      <c r="Z58" s="850"/>
      <c r="AA58" s="850">
        <f>SUM(AA53:AA57)</f>
        <v>10171.935482897783</v>
      </c>
      <c r="AB58" s="850"/>
      <c r="AC58" s="850">
        <f>SUM(AC53:AC57)</f>
        <v>10477.093547384717</v>
      </c>
      <c r="AD58" s="850"/>
      <c r="AE58" s="850">
        <f>SUM(AE53:AE57)</f>
        <v>10791.406353806258</v>
      </c>
      <c r="AF58" s="850"/>
      <c r="AG58" s="850">
        <f>SUM(AG53:AG57)</f>
        <v>11115.148544420448</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2733</v>
      </c>
      <c r="C60" s="859"/>
      <c r="E60" s="852">
        <f>E45-E58</f>
        <v>46330.199999999953</v>
      </c>
      <c r="G60" s="852">
        <f>G45-G58</f>
        <v>51374.979999999981</v>
      </c>
      <c r="I60" s="852">
        <f>I45-I58</f>
        <v>56437.663499999828</v>
      </c>
      <c r="K60" s="852">
        <f>K45-K58</f>
        <v>61514.909927499881</v>
      </c>
      <c r="M60" s="852">
        <f>M45-M58</f>
        <v>66603.162628087157</v>
      </c>
      <c r="O60" s="852">
        <f>O45-O58</f>
        <v>71698.638824783629</v>
      </c>
      <c r="Q60" s="852">
        <f>Q45-Q58</f>
        <v>76797.319164073968</v>
      </c>
      <c r="S60" s="852">
        <f>S45-S58</f>
        <v>81894.93683261321</v>
      </c>
      <c r="U60" s="852">
        <f>U45-U58</f>
        <v>86986.966227990459</v>
      </c>
      <c r="W60" s="852">
        <f>W45-W58</f>
        <v>92068.611166328163</v>
      </c>
      <c r="Y60" s="852">
        <f>Y45-Y58</f>
        <v>92634.792608835924</v>
      </c>
      <c r="AA60" s="852">
        <f>AA45-AA58</f>
        <v>97545.135888779841</v>
      </c>
      <c r="AC60" s="852">
        <f>AC45-AC58</f>
        <v>102424.90741962986</v>
      </c>
      <c r="AE60" s="852">
        <f>AE45-AE58</f>
        <v>107267.97936443985</v>
      </c>
      <c r="AG60" s="852">
        <f>AG45-AG58</f>
        <v>112067.88310076196</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2734</v>
      </c>
      <c r="C62" s="849">
        <v>1</v>
      </c>
      <c r="E62" s="854">
        <f>E60*$C$62</f>
        <v>46330.199999999953</v>
      </c>
      <c r="G62" s="852">
        <f>G60*$C$62</f>
        <v>51374.979999999981</v>
      </c>
      <c r="I62" s="852">
        <f>I60*$C$62</f>
        <v>56437.663499999828</v>
      </c>
      <c r="K62" s="852">
        <f>K60</f>
        <v>61514.909927499881</v>
      </c>
      <c r="M62" s="852">
        <f>M60</f>
        <v>66603.162628087157</v>
      </c>
      <c r="O62" s="852">
        <f>O60</f>
        <v>71698.638824783629</v>
      </c>
      <c r="Q62" s="852">
        <f>Q60</f>
        <v>76797.319164073968</v>
      </c>
      <c r="S62" s="852">
        <f>S60</f>
        <v>81894.93683261321</v>
      </c>
      <c r="U62" s="852">
        <f>U60</f>
        <v>86986.966227990459</v>
      </c>
      <c r="W62" s="852">
        <f>W60</f>
        <v>92068.611166328163</v>
      </c>
      <c r="Y62" s="852">
        <f>Y60-27869</f>
        <v>64765.792608835924</v>
      </c>
      <c r="AC62" s="852">
        <v>0</v>
      </c>
      <c r="AE62" s="852">
        <v>0</v>
      </c>
      <c r="AG62" s="852">
        <v>0</v>
      </c>
    </row>
    <row r="63" spans="1:34" s="852" customFormat="1">
      <c r="A63" s="2614" t="s">
        <v>2729</v>
      </c>
      <c r="B63" s="2614"/>
      <c r="C63" s="2614"/>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2735</v>
      </c>
      <c r="C65" s="849">
        <v>0.25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t="s">
        <v>2736</v>
      </c>
      <c r="B66" s="854"/>
      <c r="C66" s="853"/>
      <c r="E66" s="854">
        <v>0</v>
      </c>
      <c r="G66" s="850">
        <f t="shared" ref="G66:AG69" si="2">E66*$C$66</f>
        <v>0</v>
      </c>
      <c r="I66" s="850">
        <f t="shared" si="2"/>
        <v>0</v>
      </c>
      <c r="K66" s="850">
        <f>K60-K62</f>
        <v>0</v>
      </c>
      <c r="M66" s="850">
        <f>M60-M62</f>
        <v>0</v>
      </c>
      <c r="O66" s="850">
        <f>O60-O62</f>
        <v>0</v>
      </c>
      <c r="Q66" s="850">
        <f>Q60-Q62</f>
        <v>0</v>
      </c>
      <c r="S66" s="850">
        <f>S60-S62</f>
        <v>0</v>
      </c>
      <c r="U66" s="850">
        <f>U60-U62</f>
        <v>0</v>
      </c>
      <c r="W66" s="850">
        <f>W60-W62</f>
        <v>0</v>
      </c>
      <c r="Y66" s="850">
        <f>Y60-Y62</f>
        <v>27869</v>
      </c>
      <c r="AA66" s="850">
        <f>AA60-AA62</f>
        <v>97545.135888779841</v>
      </c>
      <c r="AC66" s="850">
        <f>AC60-AC62</f>
        <v>102424.90741962986</v>
      </c>
      <c r="AE66" s="850">
        <f>AE60-AE62</f>
        <v>107267.97936443985</v>
      </c>
      <c r="AG66" s="850">
        <f>AG60-AG62</f>
        <v>112067.88310076196</v>
      </c>
    </row>
    <row r="67" spans="1:34" s="850" customFormat="1">
      <c r="A67" s="855"/>
      <c r="B67" s="855"/>
      <c r="C67" s="860"/>
      <c r="E67" s="854"/>
      <c r="G67" s="850">
        <f t="shared" si="2"/>
        <v>0</v>
      </c>
      <c r="I67" s="850">
        <f t="shared" si="2"/>
        <v>0</v>
      </c>
      <c r="K67" s="850">
        <f t="shared" si="2"/>
        <v>0</v>
      </c>
      <c r="M67" s="850">
        <f t="shared" si="2"/>
        <v>0</v>
      </c>
      <c r="O67" s="850">
        <f t="shared" si="2"/>
        <v>0</v>
      </c>
      <c r="Q67" s="850">
        <f t="shared" si="2"/>
        <v>0</v>
      </c>
      <c r="S67" s="850">
        <f t="shared" si="2"/>
        <v>0</v>
      </c>
      <c r="U67" s="850">
        <f t="shared" si="2"/>
        <v>0</v>
      </c>
      <c r="W67" s="850">
        <f t="shared" si="2"/>
        <v>0</v>
      </c>
      <c r="Y67" s="850">
        <f t="shared" si="2"/>
        <v>0</v>
      </c>
      <c r="AA67" s="850">
        <f t="shared" si="2"/>
        <v>0</v>
      </c>
      <c r="AC67" s="850">
        <f t="shared" si="2"/>
        <v>0</v>
      </c>
      <c r="AE67" s="850">
        <f t="shared" si="2"/>
        <v>0</v>
      </c>
      <c r="AG67" s="850">
        <f t="shared" si="2"/>
        <v>0</v>
      </c>
    </row>
    <row r="68" spans="1:34" s="850" customFormat="1">
      <c r="A68" s="855"/>
      <c r="B68" s="855"/>
      <c r="C68" s="860"/>
      <c r="E68" s="855"/>
      <c r="G68" s="850">
        <f t="shared" si="2"/>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2732</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27869</v>
      </c>
      <c r="AA70" s="850">
        <f>SUM(AA66:AA69)</f>
        <v>97545.135888779841</v>
      </c>
      <c r="AC70" s="850">
        <f>SUM(AC66:AC69)</f>
        <v>102424.90741962986</v>
      </c>
      <c r="AE70" s="850">
        <f>SUM(AE66:AE69)</f>
        <v>107267.97936443985</v>
      </c>
      <c r="AG70" s="850">
        <f>SUM(AG66:AG69)</f>
        <v>112067.88310076196</v>
      </c>
    </row>
    <row r="71" spans="1:34" s="850" customFormat="1">
      <c r="A71" s="852"/>
      <c r="C71" s="860"/>
    </row>
    <row r="72" spans="1:34" s="850" customFormat="1">
      <c r="A72" s="852" t="s">
        <v>2737</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2738</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3" t="s">
        <v>2739</v>
      </c>
      <c r="B77" s="2613"/>
      <c r="C77" s="2613"/>
      <c r="D77" s="2613"/>
      <c r="E77" s="2613"/>
      <c r="F77" s="2613"/>
      <c r="G77" s="2613"/>
      <c r="H77" s="2613"/>
      <c r="I77" s="2613"/>
      <c r="J77" s="2613"/>
      <c r="K77" s="2613"/>
      <c r="L77" s="2613"/>
      <c r="M77" s="2613"/>
      <c r="N77" s="2613"/>
      <c r="O77" s="2613"/>
      <c r="P77" s="2613"/>
      <c r="Q77" s="2613"/>
      <c r="R77" s="2613"/>
      <c r="S77" s="2613"/>
      <c r="T77" s="2613"/>
      <c r="U77" s="2613"/>
      <c r="V77" s="2613"/>
      <c r="W77" s="2613"/>
      <c r="X77" s="2613"/>
      <c r="Y77" s="2613"/>
      <c r="Z77" s="2613"/>
      <c r="AA77" s="2613"/>
      <c r="AB77" s="2613"/>
      <c r="AC77" s="2613"/>
      <c r="AD77" s="2613"/>
      <c r="AE77" s="2613"/>
      <c r="AF77" s="2613"/>
      <c r="AG77" s="2613"/>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2740</v>
      </c>
    </row>
    <row r="2" spans="1:1" ht="15.75">
      <c r="A2" s="221"/>
    </row>
    <row r="3" spans="1:1" ht="15.75">
      <c r="A3" s="222" t="s">
        <v>2741</v>
      </c>
    </row>
    <row r="4" spans="1:1" ht="15.75">
      <c r="A4" s="222" t="s">
        <v>2742</v>
      </c>
    </row>
    <row r="5" spans="1:1" ht="15.75">
      <c r="A5" s="222" t="s">
        <v>2743</v>
      </c>
    </row>
    <row r="6" spans="1:1" ht="15.75">
      <c r="A6" s="222" t="s">
        <v>2744</v>
      </c>
    </row>
    <row r="7" spans="1:1" ht="15.75">
      <c r="A7" s="222" t="s">
        <v>2745</v>
      </c>
    </row>
    <row r="8" spans="1:1" ht="15.75">
      <c r="A8" s="249" t="s">
        <v>2746</v>
      </c>
    </row>
    <row r="9" spans="1:1" ht="15.75">
      <c r="A9" s="222" t="s">
        <v>2747</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2748</v>
      </c>
      <c r="D1" s="192"/>
    </row>
    <row r="2" spans="1:6" s="187" customFormat="1">
      <c r="A2" s="171" t="s">
        <v>2749</v>
      </c>
      <c r="B2" s="173"/>
      <c r="C2" s="173"/>
      <c r="D2" s="170"/>
      <c r="E2" s="174"/>
      <c r="F2" s="173"/>
    </row>
    <row r="3" spans="1:6" s="254" customFormat="1" ht="80.25" customHeight="1">
      <c r="A3" s="189"/>
      <c r="B3" s="175" t="s">
        <v>2750</v>
      </c>
      <c r="C3" s="175" t="s">
        <v>2751</v>
      </c>
      <c r="D3" s="175" t="s">
        <v>2752</v>
      </c>
      <c r="E3" s="172" t="s">
        <v>2753</v>
      </c>
      <c r="F3" s="172"/>
    </row>
    <row r="4" spans="1:6" s="255" customFormat="1">
      <c r="A4" s="176" t="s">
        <v>1752</v>
      </c>
      <c r="B4" s="176"/>
      <c r="C4" s="176"/>
      <c r="D4" s="176"/>
      <c r="E4" s="194"/>
      <c r="F4" s="176"/>
    </row>
    <row r="5" spans="1:6" s="255" customFormat="1">
      <c r="A5" s="267" t="s">
        <v>1753</v>
      </c>
      <c r="B5" s="178">
        <f>'Sources and Uses Budget'!$C4</f>
        <v>560000</v>
      </c>
      <c r="C5" s="178">
        <f>'Sources and Uses Budget'!$C4</f>
        <v>560000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1754</v>
      </c>
      <c r="B7" s="178">
        <f>'Sources and Uses Budget'!$C6</f>
        <v>0</v>
      </c>
      <c r="C7" s="178">
        <f>'Sources and Uses Budget'!$C6</f>
        <v>0</v>
      </c>
      <c r="D7" s="182">
        <f t="shared" si="0"/>
        <v>0</v>
      </c>
      <c r="E7" s="180"/>
      <c r="F7" s="179"/>
    </row>
    <row r="8" spans="1:6" s="255" customFormat="1">
      <c r="A8" s="267" t="s">
        <v>1755</v>
      </c>
      <c r="B8" s="178">
        <f>'Sources and Uses Budget'!$C7</f>
        <v>0</v>
      </c>
      <c r="C8" s="178">
        <f>'Sources and Uses Budget'!$C7</f>
        <v>0</v>
      </c>
      <c r="D8" s="182">
        <f t="shared" si="0"/>
        <v>0</v>
      </c>
      <c r="E8" s="180"/>
      <c r="F8" s="179"/>
    </row>
    <row r="9" spans="1:6" s="255" customFormat="1">
      <c r="A9" s="268" t="s">
        <v>1756</v>
      </c>
      <c r="B9" s="182">
        <f>SUM(B5:B8)</f>
        <v>560000</v>
      </c>
      <c r="C9" s="182">
        <f>SUM(C5:C8)</f>
        <v>560000</v>
      </c>
      <c r="D9" s="182">
        <f t="shared" si="0"/>
        <v>0</v>
      </c>
      <c r="E9" s="180"/>
      <c r="F9" s="179"/>
    </row>
    <row r="10" spans="1:6" s="255" customFormat="1">
      <c r="A10" s="267" t="s">
        <v>1757</v>
      </c>
      <c r="B10" s="178">
        <f>'Sources and Uses Budget'!$C9</f>
        <v>7850000</v>
      </c>
      <c r="C10" s="178">
        <f>'Sources and Uses Budget'!$C9</f>
        <v>7850000</v>
      </c>
      <c r="D10" s="182">
        <f t="shared" si="0"/>
        <v>0</v>
      </c>
      <c r="E10" s="180"/>
      <c r="F10" s="179"/>
    </row>
    <row r="11" spans="1:6" s="255" customFormat="1">
      <c r="A11" s="267" t="s">
        <v>1758</v>
      </c>
      <c r="B11" s="178">
        <f>'Sources and Uses Budget'!$C10</f>
        <v>0</v>
      </c>
      <c r="C11" s="178">
        <f>'Sources and Uses Budget'!$C10</f>
        <v>0</v>
      </c>
      <c r="D11" s="182">
        <f t="shared" si="0"/>
        <v>0</v>
      </c>
      <c r="E11" s="180"/>
      <c r="F11" s="179"/>
    </row>
    <row r="12" spans="1:6" s="255" customFormat="1">
      <c r="A12" s="268" t="s">
        <v>1759</v>
      </c>
      <c r="B12" s="182">
        <f>SUM(B10:B11)</f>
        <v>7850000</v>
      </c>
      <c r="C12" s="182">
        <f>SUM(C10:C11)</f>
        <v>7850000</v>
      </c>
      <c r="D12" s="182">
        <f t="shared" si="0"/>
        <v>0</v>
      </c>
      <c r="E12" s="180"/>
      <c r="F12" s="179"/>
    </row>
    <row r="13" spans="1:6" s="255" customFormat="1">
      <c r="A13" s="268" t="s">
        <v>1760</v>
      </c>
      <c r="B13" s="182">
        <f>SUM(B9+B12)</f>
        <v>8410000</v>
      </c>
      <c r="C13" s="182">
        <f>SUM(C9+C12)</f>
        <v>8410000</v>
      </c>
      <c r="D13" s="182">
        <f t="shared" si="0"/>
        <v>0</v>
      </c>
      <c r="E13" s="180"/>
      <c r="F13" s="179"/>
    </row>
    <row r="14" spans="1:6" s="255" customFormat="1">
      <c r="A14" s="269" t="s">
        <v>1761</v>
      </c>
      <c r="B14" s="178">
        <f>'Sources and Uses Budget'!$C13</f>
        <v>0</v>
      </c>
      <c r="C14" s="178">
        <f>'Sources and Uses Budget'!$C13</f>
        <v>0</v>
      </c>
      <c r="D14" s="182">
        <f t="shared" si="0"/>
        <v>0</v>
      </c>
      <c r="E14" s="180"/>
      <c r="F14" s="179"/>
    </row>
    <row r="15" spans="1:6" s="255" customFormat="1" ht="24">
      <c r="A15" s="267" t="s">
        <v>1879</v>
      </c>
      <c r="B15" s="178">
        <f>'Sources and Uses Budget'!$C14</f>
        <v>0</v>
      </c>
      <c r="C15" s="178">
        <f>'Sources and Uses Budget'!$C14</f>
        <v>0</v>
      </c>
      <c r="D15" s="182">
        <f t="shared" si="0"/>
        <v>0</v>
      </c>
      <c r="E15" s="180"/>
      <c r="F15" s="179"/>
    </row>
    <row r="16" spans="1:6" s="255" customFormat="1">
      <c r="A16" s="267" t="s">
        <v>1763</v>
      </c>
      <c r="B16" s="178">
        <f>'Sources and Uses Budget'!$C15</f>
        <v>0</v>
      </c>
      <c r="C16" s="178">
        <f>'Sources and Uses Budget'!$C15</f>
        <v>0</v>
      </c>
      <c r="D16" s="182">
        <f t="shared" si="0"/>
        <v>0</v>
      </c>
      <c r="E16" s="180"/>
      <c r="F16" s="179"/>
    </row>
    <row r="17" spans="1:6" s="255" customFormat="1">
      <c r="A17" s="176" t="s">
        <v>1764</v>
      </c>
      <c r="B17" s="176"/>
      <c r="C17" s="176"/>
      <c r="D17" s="176"/>
      <c r="E17" s="194"/>
      <c r="F17" s="176"/>
    </row>
    <row r="18" spans="1:6" s="255" customFormat="1">
      <c r="A18" s="195" t="s">
        <v>1765</v>
      </c>
      <c r="B18" s="178">
        <f>'Sources and Uses Budget'!$C17</f>
        <v>350000</v>
      </c>
      <c r="C18" s="178">
        <f>'Sources and Uses Budget'!$C17</f>
        <v>350000</v>
      </c>
      <c r="D18" s="182">
        <f t="shared" si="0"/>
        <v>0</v>
      </c>
      <c r="E18" s="180"/>
      <c r="F18" s="179"/>
    </row>
    <row r="19" spans="1:6" s="255" customFormat="1">
      <c r="A19" s="195" t="s">
        <v>1766</v>
      </c>
      <c r="B19" s="178">
        <f>'Sources and Uses Budget'!$C18</f>
        <v>4470000</v>
      </c>
      <c r="C19" s="178">
        <f>'Sources and Uses Budget'!$C18</f>
        <v>4470000</v>
      </c>
      <c r="D19" s="182">
        <f t="shared" si="0"/>
        <v>0</v>
      </c>
      <c r="E19" s="180"/>
      <c r="F19" s="179"/>
    </row>
    <row r="20" spans="1:6" s="255" customFormat="1">
      <c r="A20" s="195" t="s">
        <v>1767</v>
      </c>
      <c r="B20" s="178">
        <f>'Sources and Uses Budget'!$C19</f>
        <v>270000</v>
      </c>
      <c r="C20" s="178">
        <f>'Sources and Uses Budget'!$C19</f>
        <v>270000</v>
      </c>
      <c r="D20" s="182">
        <f t="shared" si="0"/>
        <v>0</v>
      </c>
      <c r="E20" s="180"/>
      <c r="F20" s="179"/>
    </row>
    <row r="21" spans="1:6" s="255" customFormat="1">
      <c r="A21" s="195" t="s">
        <v>1768</v>
      </c>
      <c r="B21" s="178">
        <f>'Sources and Uses Budget'!$C20</f>
        <v>180000</v>
      </c>
      <c r="C21" s="178">
        <f>'Sources and Uses Budget'!$C20</f>
        <v>180000</v>
      </c>
      <c r="D21" s="182">
        <f t="shared" si="0"/>
        <v>0</v>
      </c>
      <c r="E21" s="180"/>
      <c r="F21" s="179"/>
    </row>
    <row r="22" spans="1:6" s="255" customFormat="1">
      <c r="A22" s="195" t="s">
        <v>1769</v>
      </c>
      <c r="B22" s="178">
        <f>'Sources and Uses Budget'!$C21</f>
        <v>180000</v>
      </c>
      <c r="C22" s="178">
        <f>'Sources and Uses Budget'!$C21</f>
        <v>180000</v>
      </c>
      <c r="D22" s="182">
        <f t="shared" si="0"/>
        <v>0</v>
      </c>
      <c r="E22" s="180"/>
      <c r="F22" s="179"/>
    </row>
    <row r="23" spans="1:6" s="255" customFormat="1">
      <c r="A23" s="195" t="s">
        <v>1770</v>
      </c>
      <c r="B23" s="178">
        <f>'Sources and Uses Budget'!$C22</f>
        <v>0</v>
      </c>
      <c r="C23" s="178">
        <f>'Sources and Uses Budget'!$C22</f>
        <v>0</v>
      </c>
      <c r="D23" s="182">
        <f t="shared" si="0"/>
        <v>0</v>
      </c>
      <c r="E23" s="180"/>
      <c r="F23" s="179"/>
    </row>
    <row r="24" spans="1:6" s="255" customFormat="1">
      <c r="A24" s="195" t="s">
        <v>1771</v>
      </c>
      <c r="B24" s="178">
        <f>'Sources and Uses Budget'!$C23</f>
        <v>50000</v>
      </c>
      <c r="C24" s="178">
        <f>'Sources and Uses Budget'!$C23</f>
        <v>50000</v>
      </c>
      <c r="D24" s="182">
        <f t="shared" si="0"/>
        <v>0</v>
      </c>
      <c r="E24" s="180"/>
      <c r="F24" s="179"/>
    </row>
    <row r="25" spans="1:6" s="255" customFormat="1">
      <c r="A25" s="409" t="s">
        <v>1772</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1774</v>
      </c>
      <c r="B27" s="182">
        <f>SUM(B18:B26)</f>
        <v>5500000</v>
      </c>
      <c r="C27" s="182">
        <f>SUM(C18:C26)</f>
        <v>5500000</v>
      </c>
      <c r="D27" s="182">
        <f>SUM(D18:D26)</f>
        <v>0</v>
      </c>
      <c r="E27" s="180"/>
      <c r="F27" s="179"/>
    </row>
    <row r="28" spans="1:6" s="255" customFormat="1">
      <c r="A28" s="183" t="s">
        <v>1775</v>
      </c>
      <c r="B28" s="178">
        <f>'Sources and Uses Budget'!$C$27</f>
        <v>74000</v>
      </c>
      <c r="C28" s="178">
        <f>'Sources and Uses Budget'!$C$27</f>
        <v>74000</v>
      </c>
      <c r="D28" s="182">
        <f t="shared" si="0"/>
        <v>0</v>
      </c>
      <c r="E28" s="180"/>
      <c r="F28" s="179"/>
    </row>
    <row r="29" spans="1:6" s="255" customFormat="1">
      <c r="A29" s="176" t="s">
        <v>1776</v>
      </c>
      <c r="B29" s="176"/>
      <c r="C29" s="176"/>
      <c r="D29" s="176"/>
      <c r="E29" s="194"/>
      <c r="F29" s="176"/>
    </row>
    <row r="30" spans="1:6" s="255" customFormat="1">
      <c r="A30" s="195" t="s">
        <v>1765</v>
      </c>
      <c r="B30" s="178">
        <f>'Sources and Uses Budget'!$C29</f>
        <v>0</v>
      </c>
      <c r="C30" s="178">
        <f>'Sources and Uses Budget'!$C29</f>
        <v>0</v>
      </c>
      <c r="D30" s="182">
        <f t="shared" si="0"/>
        <v>0</v>
      </c>
      <c r="E30" s="180"/>
      <c r="F30" s="179"/>
    </row>
    <row r="31" spans="1:6" s="255" customFormat="1">
      <c r="A31" s="195" t="s">
        <v>1766</v>
      </c>
      <c r="B31" s="178">
        <f>'Sources and Uses Budget'!$C30</f>
        <v>0</v>
      </c>
      <c r="C31" s="178">
        <f>'Sources and Uses Budget'!$C30</f>
        <v>0</v>
      </c>
      <c r="D31" s="182">
        <f t="shared" si="0"/>
        <v>0</v>
      </c>
      <c r="E31" s="180"/>
      <c r="F31" s="179"/>
    </row>
    <row r="32" spans="1:6" s="255" customFormat="1">
      <c r="A32" s="195" t="s">
        <v>1767</v>
      </c>
      <c r="B32" s="178">
        <f>'Sources and Uses Budget'!$C31</f>
        <v>0</v>
      </c>
      <c r="C32" s="178">
        <f>'Sources and Uses Budget'!$C31</f>
        <v>0</v>
      </c>
      <c r="D32" s="182">
        <f t="shared" si="0"/>
        <v>0</v>
      </c>
      <c r="E32" s="180"/>
      <c r="F32" s="179"/>
    </row>
    <row r="33" spans="1:6" s="255" customFormat="1">
      <c r="A33" s="195" t="s">
        <v>1768</v>
      </c>
      <c r="B33" s="178">
        <f>'Sources and Uses Budget'!$C32</f>
        <v>0</v>
      </c>
      <c r="C33" s="178">
        <f>'Sources and Uses Budget'!$C32</f>
        <v>0</v>
      </c>
      <c r="D33" s="182">
        <f t="shared" si="0"/>
        <v>0</v>
      </c>
      <c r="E33" s="180"/>
      <c r="F33" s="179"/>
    </row>
    <row r="34" spans="1:6" s="255" customFormat="1">
      <c r="A34" s="195" t="s">
        <v>1769</v>
      </c>
      <c r="B34" s="178">
        <f>'Sources and Uses Budget'!$C33</f>
        <v>0</v>
      </c>
      <c r="C34" s="178">
        <f>'Sources and Uses Budget'!$C33</f>
        <v>0</v>
      </c>
      <c r="D34" s="182">
        <f t="shared" si="0"/>
        <v>0</v>
      </c>
      <c r="E34" s="180"/>
      <c r="F34" s="179"/>
    </row>
    <row r="35" spans="1:6" s="255" customFormat="1">
      <c r="A35" s="195" t="s">
        <v>1770</v>
      </c>
      <c r="B35" s="178">
        <f>'Sources and Uses Budget'!$C34</f>
        <v>0</v>
      </c>
      <c r="C35" s="178">
        <f>'Sources and Uses Budget'!$C34</f>
        <v>0</v>
      </c>
      <c r="D35" s="182">
        <f t="shared" si="0"/>
        <v>0</v>
      </c>
      <c r="E35" s="180"/>
      <c r="F35" s="179"/>
    </row>
    <row r="36" spans="1:6" s="255" customFormat="1">
      <c r="A36" s="195" t="s">
        <v>1771</v>
      </c>
      <c r="B36" s="178">
        <f>'Sources and Uses Budget'!$C35</f>
        <v>0</v>
      </c>
      <c r="C36" s="178">
        <f>'Sources and Uses Budget'!$C35</f>
        <v>0</v>
      </c>
      <c r="D36" s="182">
        <f t="shared" si="0"/>
        <v>0</v>
      </c>
      <c r="E36" s="180"/>
      <c r="F36" s="179"/>
    </row>
    <row r="37" spans="1:6" s="255" customFormat="1">
      <c r="A37" s="195" t="s">
        <v>1772</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1777</v>
      </c>
      <c r="B39" s="182">
        <f>SUM(B30:B38)</f>
        <v>0</v>
      </c>
      <c r="C39" s="182">
        <f>SUM(C30:C38)</f>
        <v>0</v>
      </c>
      <c r="D39" s="182">
        <f t="shared" si="0"/>
        <v>0</v>
      </c>
      <c r="E39" s="180"/>
      <c r="F39" s="179"/>
    </row>
    <row r="40" spans="1:6" s="255" customFormat="1">
      <c r="A40" s="176" t="s">
        <v>1778</v>
      </c>
      <c r="B40" s="176"/>
      <c r="C40" s="176"/>
      <c r="D40" s="176"/>
      <c r="E40" s="194"/>
      <c r="F40" s="176"/>
    </row>
    <row r="41" spans="1:6" s="255" customFormat="1">
      <c r="A41" s="181" t="s">
        <v>1779</v>
      </c>
      <c r="B41" s="178">
        <f>'Sources and Uses Budget'!$C40</f>
        <v>225000</v>
      </c>
      <c r="C41" s="178">
        <f>'Sources and Uses Budget'!$C40</f>
        <v>225000</v>
      </c>
      <c r="D41" s="182">
        <f t="shared" si="0"/>
        <v>0</v>
      </c>
      <c r="E41" s="180"/>
      <c r="F41" s="179"/>
    </row>
    <row r="42" spans="1:6" s="255" customFormat="1">
      <c r="A42" s="181" t="s">
        <v>1780</v>
      </c>
      <c r="B42" s="178">
        <f>'Sources and Uses Budget'!$C41</f>
        <v>25000</v>
      </c>
      <c r="C42" s="178">
        <f>'Sources and Uses Budget'!$C41</f>
        <v>25000</v>
      </c>
      <c r="D42" s="182">
        <f t="shared" si="0"/>
        <v>0</v>
      </c>
      <c r="E42" s="180"/>
      <c r="F42" s="179"/>
    </row>
    <row r="43" spans="1:6" s="255" customFormat="1">
      <c r="A43" s="183" t="s">
        <v>1781</v>
      </c>
      <c r="B43" s="182">
        <f>SUM(B41:B42)</f>
        <v>250000</v>
      </c>
      <c r="C43" s="182">
        <f>SUM(C41:C42)</f>
        <v>250000</v>
      </c>
      <c r="D43" s="182">
        <f t="shared" si="0"/>
        <v>0</v>
      </c>
      <c r="E43" s="180"/>
      <c r="F43" s="179"/>
    </row>
    <row r="44" spans="1:6" s="255" customFormat="1">
      <c r="A44" s="183" t="s">
        <v>1782</v>
      </c>
      <c r="B44" s="178">
        <f>'Sources and Uses Budget'!$C43</f>
        <v>75000</v>
      </c>
      <c r="C44" s="178">
        <f>'Sources and Uses Budget'!$C43</f>
        <v>75000</v>
      </c>
      <c r="D44" s="182">
        <f t="shared" si="0"/>
        <v>0</v>
      </c>
      <c r="E44" s="180"/>
      <c r="F44" s="179"/>
    </row>
    <row r="45" spans="1:6" s="255" customFormat="1" ht="12" customHeight="1">
      <c r="A45" s="176" t="s">
        <v>1783</v>
      </c>
      <c r="B45" s="176"/>
      <c r="C45" s="176"/>
      <c r="D45" s="176"/>
      <c r="E45" s="194"/>
      <c r="F45" s="176"/>
    </row>
    <row r="46" spans="1:6" s="255" customFormat="1">
      <c r="A46" s="195" t="s">
        <v>1784</v>
      </c>
      <c r="B46" s="178">
        <f>'Sources and Uses Budget'!$C45</f>
        <v>490000</v>
      </c>
      <c r="C46" s="178">
        <f>'Sources and Uses Budget'!$C45</f>
        <v>490000</v>
      </c>
      <c r="D46" s="182">
        <f t="shared" si="0"/>
        <v>0</v>
      </c>
      <c r="E46" s="180"/>
      <c r="F46" s="179"/>
    </row>
    <row r="47" spans="1:6" s="255" customFormat="1">
      <c r="A47" s="195" t="s">
        <v>1785</v>
      </c>
      <c r="B47" s="178">
        <f>'Sources and Uses Budget'!$C46</f>
        <v>50000</v>
      </c>
      <c r="C47" s="178">
        <f>'Sources and Uses Budget'!$C46</f>
        <v>50000</v>
      </c>
      <c r="D47" s="182">
        <f t="shared" si="0"/>
        <v>0</v>
      </c>
      <c r="E47" s="180"/>
      <c r="F47" s="179"/>
    </row>
    <row r="48" spans="1:6" s="255" customFormat="1" ht="12" customHeight="1">
      <c r="A48" s="1210" t="s">
        <v>1786</v>
      </c>
      <c r="B48" s="178">
        <f>'Sources and Uses Budget'!$C47</f>
        <v>0</v>
      </c>
      <c r="C48" s="178">
        <f>'Sources and Uses Budget'!$C47</f>
        <v>0</v>
      </c>
      <c r="D48" s="182">
        <f t="shared" si="0"/>
        <v>0</v>
      </c>
      <c r="E48" s="180"/>
      <c r="F48" s="179"/>
    </row>
    <row r="49" spans="1:6" s="255" customFormat="1">
      <c r="A49" s="195" t="s">
        <v>1787</v>
      </c>
      <c r="B49" s="178">
        <f>'Sources and Uses Budget'!$C48</f>
        <v>6250</v>
      </c>
      <c r="C49" s="178">
        <f>'Sources and Uses Budget'!$C48</f>
        <v>6250</v>
      </c>
      <c r="D49" s="182">
        <f t="shared" si="0"/>
        <v>0</v>
      </c>
      <c r="E49" s="180"/>
      <c r="F49" s="179"/>
    </row>
    <row r="50" spans="1:6" s="255" customFormat="1">
      <c r="A50" s="195" t="s">
        <v>1788</v>
      </c>
      <c r="B50" s="178">
        <f>'Sources and Uses Budget'!$C49</f>
        <v>0</v>
      </c>
      <c r="C50" s="178">
        <f>'Sources and Uses Budget'!$C49</f>
        <v>0</v>
      </c>
      <c r="D50" s="182">
        <f t="shared" si="0"/>
        <v>0</v>
      </c>
      <c r="E50" s="180"/>
      <c r="F50" s="179"/>
    </row>
    <row r="51" spans="1:6" s="255" customFormat="1">
      <c r="A51" s="195" t="s">
        <v>1789</v>
      </c>
      <c r="B51" s="178">
        <f>'Sources and Uses Budget'!$C50</f>
        <v>45000</v>
      </c>
      <c r="C51" s="178">
        <f>'Sources and Uses Budget'!$C50</f>
        <v>45000</v>
      </c>
      <c r="D51" s="182">
        <f t="shared" si="0"/>
        <v>0</v>
      </c>
      <c r="E51" s="180"/>
      <c r="F51" s="179"/>
    </row>
    <row r="52" spans="1:6" s="255" customFormat="1">
      <c r="A52" s="195" t="s">
        <v>1790</v>
      </c>
      <c r="B52" s="178">
        <f>'Sources and Uses Budget'!$C51</f>
        <v>0</v>
      </c>
      <c r="C52" s="178">
        <f>'Sources and Uses Budget'!$C51</f>
        <v>0</v>
      </c>
      <c r="D52" s="182">
        <f t="shared" si="0"/>
        <v>0</v>
      </c>
      <c r="E52" s="180"/>
      <c r="F52" s="179"/>
    </row>
    <row r="53" spans="1:6" s="255" customFormat="1">
      <c r="A53" s="195" t="s">
        <v>1549</v>
      </c>
      <c r="B53" s="178">
        <f>'Sources and Uses Budget'!$C52</f>
        <v>50000</v>
      </c>
      <c r="C53" s="178">
        <f>'Sources and Uses Budget'!$C52</f>
        <v>50000</v>
      </c>
      <c r="D53" s="182">
        <f t="shared" si="0"/>
        <v>0</v>
      </c>
      <c r="E53" s="180"/>
      <c r="F53" s="179"/>
    </row>
    <row r="54" spans="1:6" s="255" customFormat="1">
      <c r="A54" s="409" t="str">
        <f>'Sources and Uses Budget'!A53</f>
        <v>Other: Bank Consultant</v>
      </c>
      <c r="B54" s="178">
        <f>'Sources and Uses Budget'!$C53</f>
        <v>24000</v>
      </c>
      <c r="C54" s="178">
        <f>'Sources and Uses Budget'!$C53</f>
        <v>24000</v>
      </c>
      <c r="D54" s="182">
        <f t="shared" si="0"/>
        <v>0</v>
      </c>
      <c r="E54" s="180"/>
      <c r="F54" s="179"/>
    </row>
    <row r="55" spans="1:6" s="256" customFormat="1">
      <c r="A55" s="183" t="s">
        <v>1792</v>
      </c>
      <c r="B55" s="185">
        <f>SUM(B46:B54)</f>
        <v>665250</v>
      </c>
      <c r="C55" s="185">
        <f>SUM(C46:C54)</f>
        <v>665250</v>
      </c>
      <c r="D55" s="182">
        <f t="shared" si="0"/>
        <v>0</v>
      </c>
      <c r="E55" s="180"/>
      <c r="F55" s="179"/>
    </row>
    <row r="56" spans="1:6" s="255" customFormat="1">
      <c r="A56" s="176" t="s">
        <v>1348</v>
      </c>
      <c r="B56" s="176"/>
      <c r="C56" s="176"/>
      <c r="D56" s="176"/>
      <c r="E56" s="194"/>
      <c r="F56" s="176"/>
    </row>
    <row r="57" spans="1:6" s="255" customFormat="1">
      <c r="A57" s="181" t="s">
        <v>1793</v>
      </c>
      <c r="B57" s="178">
        <f>'Sources and Uses Budget'!$C56</f>
        <v>0</v>
      </c>
      <c r="C57" s="178">
        <f>'Sources and Uses Budget'!$C56</f>
        <v>0</v>
      </c>
      <c r="D57" s="182">
        <f t="shared" si="0"/>
        <v>0</v>
      </c>
      <c r="E57" s="180"/>
      <c r="F57" s="179"/>
    </row>
    <row r="58" spans="1:6" s="255" customFormat="1" ht="12" customHeight="1">
      <c r="A58" s="181" t="s">
        <v>1786</v>
      </c>
      <c r="B58" s="178">
        <f>'Sources and Uses Budget'!$C57</f>
        <v>0</v>
      </c>
      <c r="C58" s="178">
        <f>'Sources and Uses Budget'!$C57</f>
        <v>0</v>
      </c>
      <c r="D58" s="182">
        <f t="shared" si="0"/>
        <v>0</v>
      </c>
      <c r="E58" s="180"/>
      <c r="F58" s="179"/>
    </row>
    <row r="59" spans="1:6" s="255" customFormat="1">
      <c r="A59" s="181" t="s">
        <v>1789</v>
      </c>
      <c r="B59" s="178">
        <f>'Sources and Uses Budget'!$C58</f>
        <v>10000</v>
      </c>
      <c r="C59" s="178">
        <f>'Sources and Uses Budget'!$C58</f>
        <v>10000</v>
      </c>
      <c r="D59" s="182">
        <f t="shared" si="0"/>
        <v>0</v>
      </c>
      <c r="E59" s="180"/>
      <c r="F59" s="179"/>
    </row>
    <row r="60" spans="1:6" s="255" customFormat="1">
      <c r="A60" s="181" t="s">
        <v>1790</v>
      </c>
      <c r="B60" s="178">
        <f>'Sources and Uses Budget'!$C59</f>
        <v>0</v>
      </c>
      <c r="C60" s="178">
        <f>'Sources and Uses Budget'!$C59</f>
        <v>0</v>
      </c>
      <c r="D60" s="182">
        <f t="shared" si="0"/>
        <v>0</v>
      </c>
      <c r="E60" s="180"/>
      <c r="F60" s="179"/>
    </row>
    <row r="61" spans="1:6" s="255" customFormat="1">
      <c r="A61" s="181" t="s">
        <v>1549</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1794</v>
      </c>
      <c r="B63" s="182">
        <f>SUM(B57:B62)</f>
        <v>10000</v>
      </c>
      <c r="C63" s="182">
        <f>SUM(C57:C62)</f>
        <v>10000</v>
      </c>
      <c r="D63" s="182">
        <f t="shared" si="0"/>
        <v>0</v>
      </c>
      <c r="E63" s="180"/>
      <c r="F63" s="179"/>
    </row>
    <row r="64" spans="1:6" s="255" customFormat="1">
      <c r="A64" s="186" t="s">
        <v>1795</v>
      </c>
      <c r="B64" s="182">
        <f>SUM(B9+B12+B14+B15+B17+B26+B28+B39+B43+B44+B55+B63)</f>
        <v>9484250</v>
      </c>
      <c r="C64" s="182">
        <f>SUM(C9+C12+C14+C15+C17+C26+C28+C39+C43+C44+C55+C63)</f>
        <v>9484250</v>
      </c>
      <c r="D64" s="182">
        <f t="shared" si="0"/>
        <v>0</v>
      </c>
      <c r="E64" s="180"/>
      <c r="F64" s="179"/>
    </row>
    <row r="65" spans="1:6" s="255" customFormat="1" ht="24">
      <c r="A65" s="104" t="s">
        <v>1796</v>
      </c>
      <c r="B65" s="176"/>
      <c r="C65" s="176"/>
      <c r="D65" s="176"/>
      <c r="E65" s="194"/>
      <c r="F65" s="176"/>
    </row>
    <row r="66" spans="1:6" s="255" customFormat="1">
      <c r="A66" s="195" t="s">
        <v>1797</v>
      </c>
      <c r="B66" s="178">
        <f>'Sources and Uses Budget'!$C65</f>
        <v>55000</v>
      </c>
      <c r="C66" s="178">
        <f>'Sources and Uses Budget'!$C65</f>
        <v>55000</v>
      </c>
      <c r="D66" s="182">
        <f t="shared" si="0"/>
        <v>0</v>
      </c>
      <c r="E66" s="180"/>
      <c r="F66" s="179"/>
    </row>
    <row r="67" spans="1:6" s="255" customFormat="1" ht="24">
      <c r="A67" s="195" t="s">
        <v>1798</v>
      </c>
      <c r="B67" s="178">
        <f>'Sources and Uses Budget'!$C66</f>
        <v>0</v>
      </c>
      <c r="C67" s="178">
        <f>'Sources and Uses Budget'!$C66</f>
        <v>0</v>
      </c>
      <c r="D67" s="182"/>
      <c r="E67" s="180"/>
      <c r="F67" s="179"/>
    </row>
    <row r="68" spans="1:6" s="255" customFormat="1" ht="24">
      <c r="A68" s="195" t="s">
        <v>1799</v>
      </c>
      <c r="B68" s="178">
        <f>'Sources and Uses Budget'!$C67</f>
        <v>0</v>
      </c>
      <c r="C68" s="178">
        <f>'Sources and Uses Budget'!$C67</f>
        <v>0</v>
      </c>
      <c r="D68" s="182"/>
      <c r="E68" s="180"/>
      <c r="F68" s="179"/>
    </row>
    <row r="69" spans="1:6" s="255" customFormat="1">
      <c r="A69" s="195" t="s">
        <v>1800</v>
      </c>
      <c r="B69" s="178">
        <f>'Sources and Uses Budget'!$C68</f>
        <v>0</v>
      </c>
      <c r="C69" s="178">
        <f>'Sources and Uses Budget'!$C68</f>
        <v>0</v>
      </c>
      <c r="D69" s="182"/>
      <c r="E69" s="180"/>
      <c r="F69" s="179"/>
    </row>
    <row r="70" spans="1:6" s="255" customFormat="1" ht="24">
      <c r="A70" s="409" t="str">
        <f>'Sources and Uses Budget'!A69</f>
        <v>Other: Bond Counsel $50K; Transaction Legal $100K</v>
      </c>
      <c r="B70" s="178">
        <f>'Sources and Uses Budget'!$C69</f>
        <v>150000</v>
      </c>
      <c r="C70" s="178">
        <f>'Sources and Uses Budget'!$C69</f>
        <v>150000</v>
      </c>
      <c r="D70" s="182">
        <f t="shared" si="0"/>
        <v>0</v>
      </c>
      <c r="E70" s="180"/>
      <c r="F70" s="179"/>
    </row>
    <row r="71" spans="1:6" s="255" customFormat="1">
      <c r="A71" s="106" t="s">
        <v>1802</v>
      </c>
      <c r="B71" s="182">
        <f>SUM(B66:B70)</f>
        <v>205000</v>
      </c>
      <c r="C71" s="182">
        <f>SUM(C66:C70)</f>
        <v>205000</v>
      </c>
      <c r="D71" s="182">
        <f t="shared" si="0"/>
        <v>0</v>
      </c>
      <c r="E71" s="180"/>
      <c r="F71" s="179"/>
    </row>
    <row r="72" spans="1:6" s="255" customFormat="1">
      <c r="A72" s="176" t="s">
        <v>1803</v>
      </c>
      <c r="B72" s="176"/>
      <c r="C72" s="176"/>
      <c r="D72" s="176"/>
      <c r="E72" s="194"/>
      <c r="F72" s="176"/>
    </row>
    <row r="73" spans="1:6" s="255" customFormat="1">
      <c r="A73" s="181" t="s">
        <v>1804</v>
      </c>
      <c r="B73" s="178">
        <f>'Sources and Uses Budget'!$C72</f>
        <v>0</v>
      </c>
      <c r="C73" s="178">
        <f>'Sources and Uses Budget'!$C72</f>
        <v>0</v>
      </c>
      <c r="D73" s="182">
        <f t="shared" si="0"/>
        <v>0</v>
      </c>
      <c r="E73" s="180"/>
      <c r="F73" s="179"/>
    </row>
    <row r="74" spans="1:6" s="255" customFormat="1">
      <c r="A74" s="181" t="s">
        <v>1805</v>
      </c>
      <c r="B74" s="178">
        <f>'Sources and Uses Budget'!$C73</f>
        <v>0</v>
      </c>
      <c r="C74" s="178">
        <f>'Sources and Uses Budget'!$C73</f>
        <v>0</v>
      </c>
      <c r="D74" s="182">
        <f t="shared" si="0"/>
        <v>0</v>
      </c>
      <c r="E74" s="180"/>
      <c r="F74" s="179"/>
    </row>
    <row r="75" spans="1:6" s="255" customFormat="1">
      <c r="A75" s="197" t="s">
        <v>1806</v>
      </c>
      <c r="B75" s="178">
        <f>'Sources and Uses Budget'!$C74</f>
        <v>100000</v>
      </c>
      <c r="C75" s="178">
        <f>'Sources and Uses Budget'!$C74</f>
        <v>100000</v>
      </c>
      <c r="D75" s="182">
        <f t="shared" si="0"/>
        <v>0</v>
      </c>
      <c r="E75" s="180"/>
      <c r="F75" s="179"/>
    </row>
    <row r="76" spans="1:6" s="255" customFormat="1">
      <c r="A76" s="181" t="s">
        <v>1807</v>
      </c>
      <c r="B76" s="178">
        <f>'Sources and Uses Budget'!$C75</f>
        <v>148000</v>
      </c>
      <c r="C76" s="178">
        <f>'Sources and Uses Budget'!$C75</f>
        <v>148000</v>
      </c>
      <c r="D76" s="182">
        <f t="shared" si="0"/>
        <v>0</v>
      </c>
      <c r="E76" s="180"/>
      <c r="F76" s="179"/>
    </row>
    <row r="77" spans="1:6" s="255" customFormat="1">
      <c r="A77" s="184" t="s">
        <v>1773</v>
      </c>
      <c r="B77" s="178">
        <f>'Sources and Uses Budget'!$C76</f>
        <v>0</v>
      </c>
      <c r="C77" s="178">
        <f>'Sources and Uses Budget'!$C76</f>
        <v>0</v>
      </c>
      <c r="D77" s="182">
        <f t="shared" si="0"/>
        <v>0</v>
      </c>
      <c r="E77" s="180"/>
      <c r="F77" s="179"/>
    </row>
    <row r="78" spans="1:6" s="255" customFormat="1">
      <c r="A78" s="183" t="s">
        <v>1808</v>
      </c>
      <c r="B78" s="182">
        <f>SUM(B73:B77)</f>
        <v>248000</v>
      </c>
      <c r="C78" s="182">
        <f>SUM(C73:C77)</f>
        <v>248000</v>
      </c>
      <c r="D78" s="182">
        <f t="shared" ref="D78:D106" si="1">C78-B78</f>
        <v>0</v>
      </c>
      <c r="E78" s="180"/>
      <c r="F78" s="179"/>
    </row>
    <row r="79" spans="1:6" s="255" customFormat="1">
      <c r="A79" s="176" t="s">
        <v>1809</v>
      </c>
      <c r="B79" s="176"/>
      <c r="C79" s="176"/>
      <c r="D79" s="176"/>
      <c r="E79" s="194"/>
      <c r="F79" s="176"/>
    </row>
    <row r="80" spans="1:6" s="255" customFormat="1">
      <c r="A80" s="410" t="s">
        <v>1810</v>
      </c>
      <c r="B80" s="178">
        <f>'Sources and Uses Budget'!$C79</f>
        <v>550000</v>
      </c>
      <c r="C80" s="178">
        <f>'Sources and Uses Budget'!$C79</f>
        <v>550000</v>
      </c>
      <c r="D80" s="182">
        <f t="shared" si="1"/>
        <v>0</v>
      </c>
      <c r="E80" s="180"/>
      <c r="F80" s="179"/>
    </row>
    <row r="81" spans="1:6" s="255" customFormat="1">
      <c r="A81" s="410" t="s">
        <v>1811</v>
      </c>
      <c r="B81" s="178">
        <f>'Sources and Uses Budget'!$C80</f>
        <v>150000</v>
      </c>
      <c r="C81" s="178">
        <f>'Sources and Uses Budget'!$C80</f>
        <v>150000</v>
      </c>
      <c r="D81" s="182">
        <f>C81-B81</f>
        <v>0</v>
      </c>
      <c r="E81" s="180"/>
      <c r="F81" s="179"/>
    </row>
    <row r="82" spans="1:6" s="255" customFormat="1">
      <c r="A82" s="183" t="s">
        <v>1812</v>
      </c>
      <c r="B82" s="182">
        <f>SUM(B80:B81)</f>
        <v>700000</v>
      </c>
      <c r="C82" s="182">
        <f>SUM(C80:C81)</f>
        <v>700000</v>
      </c>
      <c r="D82" s="182">
        <f t="shared" si="1"/>
        <v>0</v>
      </c>
      <c r="E82" s="180"/>
      <c r="F82" s="179"/>
    </row>
    <row r="83" spans="1:6" s="255" customFormat="1">
      <c r="A83" s="176" t="s">
        <v>1813</v>
      </c>
      <c r="B83" s="176"/>
      <c r="C83" s="176"/>
      <c r="D83" s="176"/>
      <c r="E83" s="194"/>
      <c r="F83" s="176"/>
    </row>
    <row r="84" spans="1:6" s="255" customFormat="1" ht="13.7" customHeight="1">
      <c r="A84" s="181" t="s">
        <v>2754</v>
      </c>
      <c r="B84" s="178">
        <f>'Sources and Uses Budget'!$C83</f>
        <v>24782</v>
      </c>
      <c r="C84" s="178">
        <f>'Sources and Uses Budget'!$C83</f>
        <v>24782</v>
      </c>
      <c r="D84" s="182">
        <f t="shared" si="1"/>
        <v>0</v>
      </c>
      <c r="E84" s="180"/>
      <c r="F84" s="179"/>
    </row>
    <row r="85" spans="1:6" s="255" customFormat="1">
      <c r="A85" s="181" t="s">
        <v>1815</v>
      </c>
      <c r="B85" s="178">
        <f>'Sources and Uses Budget'!$C84</f>
        <v>15250</v>
      </c>
      <c r="C85" s="178">
        <f>'Sources and Uses Budget'!$C84</f>
        <v>15250</v>
      </c>
      <c r="D85" s="182">
        <f t="shared" si="1"/>
        <v>0</v>
      </c>
      <c r="E85" s="180"/>
      <c r="F85" s="179"/>
    </row>
    <row r="86" spans="1:6" s="255" customFormat="1">
      <c r="A86" s="181" t="s">
        <v>1816</v>
      </c>
      <c r="B86" s="178">
        <f>'Sources and Uses Budget'!$C85</f>
        <v>5000</v>
      </c>
      <c r="C86" s="178">
        <f>'Sources and Uses Budget'!$C85</f>
        <v>5000</v>
      </c>
      <c r="D86" s="182">
        <f t="shared" si="1"/>
        <v>0</v>
      </c>
      <c r="E86" s="180"/>
      <c r="F86" s="179"/>
    </row>
    <row r="87" spans="1:6" s="255" customFormat="1">
      <c r="A87" s="181" t="s">
        <v>1817</v>
      </c>
      <c r="B87" s="178">
        <f>'Sources and Uses Budget'!$C86</f>
        <v>55000</v>
      </c>
      <c r="C87" s="178">
        <f>'Sources and Uses Budget'!$C86</f>
        <v>55000</v>
      </c>
      <c r="D87" s="182">
        <f t="shared" si="1"/>
        <v>0</v>
      </c>
      <c r="E87" s="180"/>
      <c r="F87" s="179"/>
    </row>
    <row r="88" spans="1:6" s="255" customFormat="1">
      <c r="A88" s="181" t="s">
        <v>1818</v>
      </c>
      <c r="B88" s="178">
        <f>'Sources and Uses Budget'!$C87</f>
        <v>0</v>
      </c>
      <c r="C88" s="178">
        <f>'Sources and Uses Budget'!$C87</f>
        <v>0</v>
      </c>
      <c r="D88" s="182">
        <f t="shared" si="1"/>
        <v>0</v>
      </c>
      <c r="E88" s="180"/>
      <c r="F88" s="179"/>
    </row>
    <row r="89" spans="1:6" s="255" customFormat="1">
      <c r="A89" s="181" t="s">
        <v>1819</v>
      </c>
      <c r="B89" s="178">
        <f>'Sources and Uses Budget'!$C88</f>
        <v>5000</v>
      </c>
      <c r="C89" s="178">
        <f>'Sources and Uses Budget'!$C88</f>
        <v>5000</v>
      </c>
      <c r="D89" s="182">
        <f t="shared" si="1"/>
        <v>0</v>
      </c>
      <c r="E89" s="180"/>
      <c r="F89" s="179"/>
    </row>
    <row r="90" spans="1:6" s="255" customFormat="1">
      <c r="A90" s="181" t="s">
        <v>1820</v>
      </c>
      <c r="B90" s="178">
        <f>'Sources and Uses Budget'!$C89</f>
        <v>20000</v>
      </c>
      <c r="C90" s="178">
        <f>'Sources and Uses Budget'!$C89</f>
        <v>20000</v>
      </c>
      <c r="D90" s="182">
        <f t="shared" si="1"/>
        <v>0</v>
      </c>
      <c r="E90" s="180"/>
      <c r="F90" s="179"/>
    </row>
    <row r="91" spans="1:6" s="255" customFormat="1">
      <c r="A91" s="181" t="s">
        <v>1821</v>
      </c>
      <c r="B91" s="178">
        <f>'Sources and Uses Budget'!$C90</f>
        <v>7500</v>
      </c>
      <c r="C91" s="178">
        <f>'Sources and Uses Budget'!$C90</f>
        <v>7500</v>
      </c>
      <c r="D91" s="182">
        <f t="shared" si="1"/>
        <v>0</v>
      </c>
      <c r="E91" s="180"/>
      <c r="F91" s="179"/>
    </row>
    <row r="92" spans="1:6" s="255" customFormat="1">
      <c r="A92" s="181" t="s">
        <v>1822</v>
      </c>
      <c r="B92" s="178">
        <f>'Sources and Uses Budget'!$C91</f>
        <v>0</v>
      </c>
      <c r="C92" s="178">
        <f>'Sources and Uses Budget'!$C91</f>
        <v>0</v>
      </c>
      <c r="D92" s="182">
        <f t="shared" si="1"/>
        <v>0</v>
      </c>
      <c r="E92" s="180"/>
      <c r="F92" s="179"/>
    </row>
    <row r="93" spans="1:6" s="255" customFormat="1">
      <c r="A93" s="410" t="s">
        <v>1823</v>
      </c>
      <c r="B93" s="178">
        <f>'Sources and Uses Budget'!$C92</f>
        <v>12000</v>
      </c>
      <c r="C93" s="178">
        <f>'Sources and Uses Budget'!$C92</f>
        <v>12000</v>
      </c>
      <c r="D93" s="182">
        <f t="shared" si="1"/>
        <v>0</v>
      </c>
      <c r="E93" s="180"/>
      <c r="F93" s="179"/>
    </row>
    <row r="94" spans="1:6" s="255" customFormat="1">
      <c r="A94" s="184" t="s">
        <v>1773</v>
      </c>
      <c r="B94" s="178">
        <f>'Sources and Uses Budget'!$C93</f>
        <v>1500</v>
      </c>
      <c r="C94" s="178">
        <f>'Sources and Uses Budget'!$C93</f>
        <v>1500</v>
      </c>
      <c r="D94" s="182">
        <f t="shared" si="1"/>
        <v>0</v>
      </c>
      <c r="E94" s="180"/>
      <c r="F94" s="179"/>
    </row>
    <row r="95" spans="1:6" s="255" customFormat="1">
      <c r="A95" s="184" t="s">
        <v>1773</v>
      </c>
      <c r="B95" s="178">
        <f>'Sources and Uses Budget'!$C94</f>
        <v>15000</v>
      </c>
      <c r="C95" s="178">
        <f>'Sources and Uses Budget'!$C94</f>
        <v>15000</v>
      </c>
      <c r="D95" s="182">
        <f t="shared" si="1"/>
        <v>0</v>
      </c>
      <c r="E95" s="180"/>
      <c r="F95" s="179"/>
    </row>
    <row r="96" spans="1:6" s="255" customFormat="1">
      <c r="A96" s="184" t="s">
        <v>1773</v>
      </c>
      <c r="B96" s="178">
        <f>'Sources and Uses Budget'!$C95</f>
        <v>15000</v>
      </c>
      <c r="C96" s="178">
        <f>'Sources and Uses Budget'!$C95</f>
        <v>15000</v>
      </c>
      <c r="D96" s="182">
        <f t="shared" si="1"/>
        <v>0</v>
      </c>
      <c r="E96" s="180"/>
      <c r="F96" s="179"/>
    </row>
    <row r="97" spans="1:6" s="255" customFormat="1">
      <c r="A97" s="183" t="s">
        <v>1827</v>
      </c>
      <c r="B97" s="182">
        <f>SUM(B84:B96)</f>
        <v>176032</v>
      </c>
      <c r="C97" s="182">
        <f>SUM(C84:C96)</f>
        <v>176032</v>
      </c>
      <c r="D97" s="182">
        <f t="shared" si="1"/>
        <v>0</v>
      </c>
      <c r="E97" s="180"/>
      <c r="F97" s="179"/>
    </row>
    <row r="98" spans="1:6" s="255" customFormat="1">
      <c r="A98" s="183" t="s">
        <v>1828</v>
      </c>
      <c r="B98" s="182">
        <f>SUM(B64+B71+B78+B82+B97)</f>
        <v>10813282</v>
      </c>
      <c r="C98" s="182">
        <f>SUM(C64+C71+C78+C82+C97)</f>
        <v>10813282</v>
      </c>
      <c r="D98" s="182">
        <f t="shared" si="1"/>
        <v>0</v>
      </c>
      <c r="E98" s="180"/>
      <c r="F98" s="179"/>
    </row>
    <row r="99" spans="1:6" s="255" customFormat="1">
      <c r="A99" s="176" t="s">
        <v>1829</v>
      </c>
      <c r="B99" s="176"/>
      <c r="C99" s="176"/>
      <c r="D99" s="176"/>
      <c r="E99" s="194"/>
      <c r="F99" s="176"/>
    </row>
    <row r="100" spans="1:6" s="255" customFormat="1">
      <c r="A100" s="195" t="s">
        <v>1830</v>
      </c>
      <c r="B100" s="178">
        <f>'Sources and Uses Budget'!$C99</f>
        <v>2247375</v>
      </c>
      <c r="C100" s="178">
        <f>'Sources and Uses Budget'!$C99</f>
        <v>2247375</v>
      </c>
      <c r="D100" s="182">
        <f t="shared" si="1"/>
        <v>0</v>
      </c>
      <c r="E100" s="180"/>
      <c r="F100" s="179"/>
    </row>
    <row r="101" spans="1:6" s="255" customFormat="1">
      <c r="A101" s="195" t="s">
        <v>1831</v>
      </c>
      <c r="B101" s="178">
        <f>'Sources and Uses Budget'!$C100</f>
        <v>0</v>
      </c>
      <c r="C101" s="178">
        <f>'Sources and Uses Budget'!$C100</f>
        <v>0</v>
      </c>
      <c r="D101" s="182">
        <f t="shared" si="1"/>
        <v>0</v>
      </c>
      <c r="E101" s="180"/>
      <c r="F101" s="179"/>
    </row>
    <row r="102" spans="1:6" s="255" customFormat="1">
      <c r="A102" s="195" t="s">
        <v>1832</v>
      </c>
      <c r="B102" s="178">
        <f>'Sources and Uses Budget'!$C101</f>
        <v>0</v>
      </c>
      <c r="C102" s="178">
        <f>'Sources and Uses Budget'!$C101</f>
        <v>0</v>
      </c>
      <c r="D102" s="182">
        <f t="shared" si="1"/>
        <v>0</v>
      </c>
      <c r="E102" s="180"/>
      <c r="F102" s="179"/>
    </row>
    <row r="103" spans="1:6" s="255" customFormat="1" ht="12" customHeight="1">
      <c r="A103" s="195" t="s">
        <v>1833</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1834</v>
      </c>
      <c r="B105" s="182">
        <f>SUM(B100:B104)</f>
        <v>2247375</v>
      </c>
      <c r="C105" s="182">
        <f>SUM(C100:C104)</f>
        <v>2247375</v>
      </c>
      <c r="D105" s="182">
        <f t="shared" si="1"/>
        <v>0</v>
      </c>
      <c r="E105" s="180"/>
      <c r="F105" s="179"/>
    </row>
    <row r="106" spans="1:6" s="255" customFormat="1">
      <c r="A106" s="183" t="s">
        <v>1835</v>
      </c>
      <c r="B106" s="185">
        <f>SUM(B98+B105)</f>
        <v>13060657</v>
      </c>
      <c r="C106" s="185">
        <f>SUM(C98+C105)</f>
        <v>13060657</v>
      </c>
      <c r="D106" s="182">
        <f t="shared" si="1"/>
        <v>0</v>
      </c>
      <c r="E106" s="180"/>
      <c r="F106" s="179"/>
    </row>
    <row r="107" spans="1:6" s="255" customFormat="1">
      <c r="A107" s="189" t="s">
        <v>2755</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305" customWidth="1"/>
    <col min="11" max="16384" width="8.85546875" style="305" hidden="1"/>
  </cols>
  <sheetData>
    <row r="1" spans="1:10" ht="15.75">
      <c r="A1" s="1242" t="s">
        <v>293</v>
      </c>
      <c r="B1" s="1243"/>
      <c r="C1" s="1243"/>
      <c r="D1" s="1243"/>
      <c r="E1" s="1243"/>
      <c r="F1" s="1243"/>
      <c r="G1" s="1243"/>
      <c r="H1" s="1243"/>
      <c r="I1" s="1243"/>
      <c r="J1" s="1243"/>
    </row>
    <row r="2" spans="1:10" ht="15">
      <c r="A2" s="1246" t="s">
        <v>294</v>
      </c>
      <c r="B2" s="1247"/>
      <c r="C2" s="1247"/>
      <c r="D2" s="1247"/>
      <c r="E2" s="1247"/>
      <c r="F2" s="1247"/>
      <c r="G2" s="1247"/>
      <c r="H2" s="1247"/>
      <c r="I2" s="1247"/>
      <c r="J2" s="1247"/>
    </row>
    <row r="3" spans="1:10" ht="12.75"/>
    <row r="4" spans="1:10" ht="12.75" customHeight="1">
      <c r="A4" s="1244" t="s">
        <v>295</v>
      </c>
      <c r="B4" s="1244"/>
      <c r="C4" s="1244"/>
      <c r="D4" s="1244"/>
      <c r="E4" s="1244"/>
      <c r="F4" s="1244"/>
      <c r="G4" s="1244"/>
      <c r="H4" s="1244"/>
      <c r="I4" s="1244"/>
      <c r="J4" s="1244"/>
    </row>
    <row r="5" spans="1:10" ht="12.75">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8" t="s">
        <v>297</v>
      </c>
      <c r="B10" s="1248"/>
      <c r="C10" s="1248"/>
      <c r="D10" s="1248"/>
      <c r="E10" s="1248"/>
      <c r="F10" s="1248"/>
      <c r="G10" s="1248"/>
      <c r="H10" s="1248"/>
      <c r="I10" s="1248"/>
      <c r="J10" s="1248"/>
    </row>
    <row r="11" spans="1:10" ht="12.75">
      <c r="A11" s="1248"/>
      <c r="B11" s="1248"/>
      <c r="C11" s="1248"/>
      <c r="D11" s="1248"/>
      <c r="E11" s="1248"/>
      <c r="F11" s="1248"/>
      <c r="G11" s="1248"/>
      <c r="H11" s="1248"/>
      <c r="I11" s="1248"/>
      <c r="J11" s="1248"/>
    </row>
    <row r="12" spans="1:10" ht="12.75">
      <c r="A12" s="1248"/>
      <c r="B12" s="1248"/>
      <c r="C12" s="1248"/>
      <c r="D12" s="1248"/>
      <c r="E12" s="1248"/>
      <c r="F12" s="1248"/>
      <c r="G12" s="1248"/>
      <c r="H12" s="1248"/>
      <c r="I12" s="1248"/>
      <c r="J12" s="1248"/>
    </row>
    <row r="13" spans="1:10" ht="12.75">
      <c r="A13" s="1248"/>
      <c r="B13" s="1248"/>
      <c r="C13" s="1248"/>
      <c r="D13" s="1248"/>
      <c r="E13" s="1248"/>
      <c r="F13" s="1248"/>
      <c r="G13" s="1248"/>
      <c r="H13" s="1248"/>
      <c r="I13" s="1248"/>
      <c r="J13" s="1248"/>
    </row>
    <row r="14" spans="1:10" ht="12.75">
      <c r="A14" s="1248"/>
      <c r="B14" s="1248"/>
      <c r="C14" s="1248"/>
      <c r="D14" s="1248"/>
      <c r="E14" s="1248"/>
      <c r="F14" s="1248"/>
      <c r="G14" s="1248"/>
      <c r="H14" s="1248"/>
      <c r="I14" s="1248"/>
      <c r="J14" s="1248"/>
    </row>
    <row r="15" spans="1:10" ht="12.75">
      <c r="A15" s="1248"/>
      <c r="B15" s="1248"/>
      <c r="C15" s="1248"/>
      <c r="D15" s="1248"/>
      <c r="E15" s="1248"/>
      <c r="F15" s="1248"/>
      <c r="G15" s="1248"/>
      <c r="H15" s="1248"/>
      <c r="I15" s="1248"/>
      <c r="J15" s="1248"/>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7" t="s">
        <v>299</v>
      </c>
      <c r="B19" s="1247"/>
      <c r="C19" s="1247"/>
      <c r="D19" s="1247"/>
      <c r="E19" s="124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4" t="s">
        <v>300</v>
      </c>
      <c r="B76" s="1244"/>
      <c r="C76" s="1244"/>
      <c r="D76" s="1244"/>
      <c r="E76" s="1244"/>
      <c r="F76" s="1244"/>
      <c r="G76" s="1244"/>
      <c r="H76" s="1244"/>
      <c r="I76" s="1244"/>
      <c r="J76" s="1244"/>
    </row>
    <row r="77" spans="1:10" ht="12.75">
      <c r="A77" s="1244"/>
      <c r="B77" s="1244"/>
      <c r="C77" s="1244"/>
      <c r="D77" s="1244"/>
      <c r="E77" s="1244"/>
      <c r="F77" s="1244"/>
      <c r="G77" s="1244"/>
      <c r="H77" s="1244"/>
      <c r="I77" s="1244"/>
      <c r="J77" s="1244"/>
    </row>
    <row r="78" spans="1:10" ht="12.75">
      <c r="A78" s="1244"/>
      <c r="B78" s="1244"/>
      <c r="C78" s="1244"/>
      <c r="D78" s="1244"/>
      <c r="E78" s="1244"/>
      <c r="F78" s="1244"/>
      <c r="G78" s="1244"/>
      <c r="H78" s="1244"/>
      <c r="I78" s="1244"/>
      <c r="J78" s="1244"/>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245" t="s">
        <v>301</v>
      </c>
      <c r="B89" s="1245"/>
      <c r="C89" s="1245"/>
      <c r="D89" s="1245"/>
      <c r="E89" s="1245"/>
      <c r="F89" s="1245"/>
      <c r="G89" s="1245"/>
      <c r="H89" s="1245"/>
      <c r="I89" s="1245"/>
    </row>
    <row r="90" spans="1:9" ht="12.75">
      <c r="A90" s="1237" t="s">
        <v>302</v>
      </c>
      <c r="B90" s="1237"/>
      <c r="C90" s="1237"/>
      <c r="D90" s="1237"/>
      <c r="E90" s="1237"/>
    </row>
    <row r="91" spans="1:9" ht="12.75">
      <c r="A91" s="1237" t="s">
        <v>303</v>
      </c>
      <c r="B91" s="1237"/>
      <c r="C91" s="1237"/>
      <c r="D91" s="1237"/>
      <c r="E91" s="1237"/>
    </row>
    <row r="92" spans="1:9" ht="12.75">
      <c r="A92" s="1237" t="s">
        <v>304</v>
      </c>
      <c r="B92" s="1237"/>
      <c r="C92" s="1237"/>
      <c r="D92" s="1237"/>
      <c r="E92" s="123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95" workbookViewId="0">
      <selection activeCell="H951" sqref="H951"/>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3" width="8.85546875" style="305" hidden="1" customWidth="1"/>
    <col min="14" max="16384" width="0" style="305" hidden="1"/>
  </cols>
  <sheetData>
    <row r="1" spans="1:13"/>
    <row r="2" spans="1:13">
      <c r="A2" s="1300" t="s">
        <v>305</v>
      </c>
      <c r="B2" s="1300"/>
      <c r="C2" s="1300"/>
      <c r="D2" s="1300"/>
      <c r="E2" s="1300"/>
      <c r="F2" s="1300"/>
      <c r="G2" s="1300"/>
      <c r="H2" s="1300"/>
      <c r="I2" s="1300"/>
    </row>
    <row r="3" spans="1:13">
      <c r="A3" s="1290" t="s">
        <v>306</v>
      </c>
      <c r="B3" s="1290"/>
      <c r="C3" s="1290"/>
      <c r="D3" s="1290"/>
      <c r="E3" s="1290"/>
      <c r="F3" s="1290"/>
      <c r="G3" s="1290"/>
      <c r="H3" s="1290"/>
      <c r="I3" s="1290"/>
    </row>
    <row r="4" spans="1:13">
      <c r="A4" s="1290"/>
      <c r="B4" s="1290"/>
      <c r="C4" s="1247"/>
      <c r="D4" s="1247"/>
      <c r="E4" s="1247"/>
      <c r="F4" s="1247"/>
      <c r="G4" s="1247"/>
    </row>
    <row r="5" spans="1:13">
      <c r="A5" s="1290"/>
      <c r="B5" s="1290"/>
      <c r="C5" s="1247"/>
      <c r="D5" s="1247"/>
      <c r="E5" s="1247"/>
      <c r="F5" s="1247"/>
      <c r="G5" s="1247"/>
    </row>
    <row r="6" spans="1:13" ht="12.75" customHeight="1">
      <c r="A6" s="1293" t="s">
        <v>307</v>
      </c>
      <c r="B6" s="1293"/>
      <c r="C6" s="1293"/>
      <c r="D6" s="1293"/>
      <c r="E6" s="1293"/>
      <c r="F6" s="1293"/>
      <c r="G6" s="1293"/>
      <c r="I6" s="391"/>
    </row>
    <row r="7" spans="1:13">
      <c r="A7" s="1293"/>
      <c r="B7" s="1293"/>
      <c r="C7" s="1293"/>
      <c r="D7" s="1293"/>
      <c r="E7" s="1293"/>
      <c r="F7" s="1293"/>
      <c r="G7" s="1293"/>
      <c r="I7" s="391"/>
    </row>
    <row r="8" spans="1:13">
      <c r="A8" s="382"/>
      <c r="B8" s="382"/>
      <c r="C8" s="383"/>
      <c r="D8" s="383"/>
      <c r="E8" s="383"/>
      <c r="F8" s="383"/>
    </row>
    <row r="9" spans="1:13">
      <c r="A9" s="1269" t="s">
        <v>308</v>
      </c>
      <c r="B9" s="1269"/>
      <c r="C9" s="1269"/>
      <c r="D9" s="1269"/>
      <c r="E9" s="1269"/>
      <c r="F9" s="1269"/>
      <c r="G9" s="1269"/>
      <c r="H9" s="914"/>
      <c r="I9" s="915"/>
    </row>
    <row r="10" spans="1:13">
      <c r="A10" s="383"/>
      <c r="B10" s="383"/>
      <c r="E10" s="307"/>
    </row>
    <row r="11" spans="1:13" ht="13.7" customHeight="1">
      <c r="C11" s="383"/>
      <c r="D11" s="1292" t="s">
        <v>309</v>
      </c>
      <c r="E11" s="1292"/>
      <c r="F11" s="1292"/>
    </row>
    <row r="12" spans="1:13">
      <c r="C12" s="383"/>
      <c r="D12" s="1292"/>
      <c r="E12" s="1292"/>
      <c r="F12" s="1292"/>
    </row>
    <row r="13" spans="1:13">
      <c r="A13" s="384"/>
      <c r="B13" s="384"/>
      <c r="C13" s="384"/>
      <c r="D13" s="1270" t="s">
        <v>310</v>
      </c>
      <c r="E13" s="1270"/>
      <c r="F13" s="1270"/>
      <c r="M13" s="71"/>
    </row>
    <row r="14" spans="1:13">
      <c r="A14" s="384"/>
      <c r="B14" s="384"/>
      <c r="C14" s="384"/>
      <c r="D14" s="377"/>
      <c r="L14" s="219"/>
    </row>
    <row r="15" spans="1:13" ht="14.25">
      <c r="A15" s="385"/>
      <c r="B15" s="386" t="s">
        <v>311</v>
      </c>
      <c r="C15" s="384"/>
      <c r="D15" s="1268" t="s">
        <v>312</v>
      </c>
      <c r="E15" s="1268"/>
      <c r="F15" s="1268"/>
      <c r="I15" s="391"/>
    </row>
    <row r="16" spans="1:13">
      <c r="A16" s="384"/>
      <c r="B16" s="384"/>
      <c r="C16" s="384"/>
      <c r="D16" s="1268"/>
      <c r="E16" s="1268"/>
      <c r="F16" s="1268"/>
      <c r="I16" s="391"/>
    </row>
    <row r="17" spans="1:9">
      <c r="A17" s="384"/>
      <c r="B17" s="384"/>
      <c r="C17" s="384"/>
      <c r="D17" s="1268"/>
      <c r="E17" s="1268"/>
      <c r="F17" s="1268"/>
      <c r="I17" s="391"/>
    </row>
    <row r="18" spans="1:9">
      <c r="A18" s="384"/>
      <c r="B18" s="384"/>
      <c r="C18" s="384"/>
      <c r="D18" s="347"/>
      <c r="E18" s="219" t="s">
        <v>313</v>
      </c>
      <c r="F18" s="347"/>
      <c r="I18" s="391"/>
    </row>
    <row r="19" spans="1:9">
      <c r="A19" s="384"/>
      <c r="B19" s="384"/>
      <c r="C19" s="384"/>
      <c r="I19" s="391"/>
    </row>
    <row r="20" spans="1:9" ht="14.25">
      <c r="A20" s="385"/>
      <c r="B20" s="386" t="s">
        <v>311</v>
      </c>
      <c r="D20" s="1268" t="s">
        <v>314</v>
      </c>
      <c r="E20" s="1268"/>
      <c r="F20" s="1268"/>
      <c r="I20" s="391"/>
    </row>
    <row r="21" spans="1:9" ht="14.25">
      <c r="A21" s="385"/>
      <c r="D21" s="1268"/>
      <c r="E21" s="1268"/>
      <c r="F21" s="1268"/>
      <c r="I21" s="391"/>
    </row>
    <row r="22" spans="1:9" ht="14.25">
      <c r="A22" s="385"/>
      <c r="D22" s="295"/>
      <c r="E22" s="71" t="s">
        <v>315</v>
      </c>
      <c r="F22" s="295"/>
      <c r="I22" s="391"/>
    </row>
    <row r="23" spans="1:9" ht="14.25">
      <c r="A23" s="385"/>
      <c r="B23" s="385"/>
      <c r="D23" s="348"/>
      <c r="I23" s="391"/>
    </row>
    <row r="24" spans="1:9" ht="14.25">
      <c r="A24" s="385"/>
      <c r="B24" s="386" t="s">
        <v>316</v>
      </c>
      <c r="D24" s="1268" t="s">
        <v>317</v>
      </c>
      <c r="E24" s="1268"/>
      <c r="F24" s="1268"/>
      <c r="I24" s="391"/>
    </row>
    <row r="25" spans="1:9" ht="14.25">
      <c r="A25" s="385"/>
      <c r="B25" s="385"/>
      <c r="D25" s="1268"/>
      <c r="E25" s="1268"/>
      <c r="F25" s="1268"/>
      <c r="I25" s="391"/>
    </row>
    <row r="26" spans="1:9">
      <c r="I26" s="391"/>
    </row>
    <row r="27" spans="1:9" ht="14.25">
      <c r="A27" s="385"/>
      <c r="B27" s="386" t="s">
        <v>311</v>
      </c>
      <c r="D27" s="1268" t="s">
        <v>318</v>
      </c>
      <c r="E27" s="1268"/>
      <c r="F27" s="1268"/>
      <c r="I27" s="391"/>
    </row>
    <row r="28" spans="1:9">
      <c r="D28" s="1268"/>
      <c r="E28" s="1268"/>
      <c r="F28" s="1268"/>
      <c r="I28" s="391"/>
    </row>
    <row r="29" spans="1:9">
      <c r="D29" s="1268"/>
      <c r="E29" s="1268"/>
      <c r="F29" s="1268"/>
      <c r="I29" s="391"/>
    </row>
    <row r="30" spans="1:9">
      <c r="D30" s="1268"/>
      <c r="E30" s="1268"/>
      <c r="F30" s="1268"/>
      <c r="I30" s="391"/>
    </row>
    <row r="31" spans="1:9">
      <c r="D31" s="1268"/>
      <c r="E31" s="1268"/>
      <c r="F31" s="1268"/>
      <c r="I31" s="391"/>
    </row>
    <row r="32" spans="1:9">
      <c r="D32" s="349"/>
      <c r="I32" s="391"/>
    </row>
    <row r="33" spans="1:9">
      <c r="B33" s="386" t="s">
        <v>316</v>
      </c>
      <c r="D33" s="1268" t="s">
        <v>319</v>
      </c>
      <c r="E33" s="1268"/>
      <c r="F33" s="1268"/>
      <c r="I33" s="391"/>
    </row>
    <row r="34" spans="1:9">
      <c r="D34" s="1268"/>
      <c r="E34" s="1268"/>
      <c r="F34" s="1268"/>
      <c r="I34" s="391"/>
    </row>
    <row r="35" spans="1:9" ht="14.25">
      <c r="A35" s="385"/>
      <c r="B35" s="385"/>
      <c r="D35" s="349"/>
      <c r="I35" s="391"/>
    </row>
    <row r="36" spans="1:9" ht="14.45" customHeight="1">
      <c r="A36" s="385"/>
      <c r="B36" s="386" t="s">
        <v>311</v>
      </c>
      <c r="D36" s="1268" t="s">
        <v>320</v>
      </c>
      <c r="E36" s="1268"/>
      <c r="F36" s="1268"/>
      <c r="I36" s="391"/>
    </row>
    <row r="37" spans="1:9" ht="14.25">
      <c r="A37" s="385"/>
      <c r="B37" s="385"/>
      <c r="D37" s="1268"/>
      <c r="E37" s="1268"/>
      <c r="F37" s="1268"/>
      <c r="I37" s="391"/>
    </row>
    <row r="38" spans="1:9" ht="14.25">
      <c r="A38" s="385"/>
      <c r="B38" s="385"/>
      <c r="D38" s="1268"/>
      <c r="E38" s="1268"/>
      <c r="F38" s="1268"/>
      <c r="I38" s="391"/>
    </row>
    <row r="39" spans="1:9" ht="14.25">
      <c r="A39" s="385"/>
      <c r="B39" s="385"/>
      <c r="D39" s="1268"/>
      <c r="E39" s="1268"/>
      <c r="F39" s="1268"/>
      <c r="I39" s="391"/>
    </row>
    <row r="40" spans="1:9" ht="14.25">
      <c r="A40" s="385"/>
      <c r="B40" s="385"/>
      <c r="I40" s="391"/>
    </row>
    <row r="41" spans="1:9" ht="14.25">
      <c r="A41" s="385"/>
      <c r="B41" s="386" t="s">
        <v>316</v>
      </c>
      <c r="D41" s="1268" t="s">
        <v>321</v>
      </c>
      <c r="E41" s="1268"/>
      <c r="F41" s="1268"/>
      <c r="I41" s="391"/>
    </row>
    <row r="42" spans="1:9" ht="14.25">
      <c r="A42" s="385"/>
      <c r="B42" s="385"/>
      <c r="D42" s="1268"/>
      <c r="E42" s="1268"/>
      <c r="F42" s="1268"/>
      <c r="I42" s="391"/>
    </row>
    <row r="43" spans="1:9" ht="14.25">
      <c r="A43" s="385"/>
      <c r="B43" s="385"/>
      <c r="D43" s="1268"/>
      <c r="E43" s="1268"/>
      <c r="F43" s="1268"/>
      <c r="I43" s="391"/>
    </row>
    <row r="44" spans="1:9" ht="14.25">
      <c r="A44" s="385"/>
      <c r="B44" s="385"/>
      <c r="D44" s="1268"/>
      <c r="E44" s="1268"/>
      <c r="F44" s="1268"/>
      <c r="I44" s="391"/>
    </row>
    <row r="45" spans="1:9" ht="14.25">
      <c r="A45" s="385"/>
      <c r="B45" s="385"/>
      <c r="D45" s="1268"/>
      <c r="E45" s="1268"/>
      <c r="F45" s="1268"/>
      <c r="I45" s="391"/>
    </row>
    <row r="46" spans="1:9" ht="14.25">
      <c r="A46" s="385"/>
      <c r="B46" s="385"/>
      <c r="D46" s="347"/>
      <c r="E46" s="347"/>
      <c r="F46" s="347"/>
      <c r="I46" s="391"/>
    </row>
    <row r="47" spans="1:9" ht="14.25">
      <c r="A47" s="385"/>
      <c r="B47" s="386" t="s">
        <v>316</v>
      </c>
      <c r="D47" s="1268" t="s">
        <v>322</v>
      </c>
      <c r="E47" s="1268"/>
      <c r="F47" s="1268"/>
      <c r="I47" s="391"/>
    </row>
    <row r="48" spans="1:9" ht="14.25">
      <c r="A48" s="385"/>
      <c r="B48" s="385"/>
      <c r="D48" s="1268"/>
      <c r="E48" s="1268"/>
      <c r="F48" s="1268"/>
      <c r="I48" s="391"/>
    </row>
    <row r="49" spans="1:9" ht="14.25">
      <c r="A49" s="385"/>
      <c r="B49" s="385"/>
      <c r="D49" s="1268"/>
      <c r="E49" s="1268"/>
      <c r="F49" s="1268"/>
      <c r="I49" s="391"/>
    </row>
    <row r="50" spans="1:9" ht="23.25" customHeight="1">
      <c r="A50" s="385"/>
      <c r="B50" s="385"/>
      <c r="D50" s="1268"/>
      <c r="E50" s="1268"/>
      <c r="F50" s="1268"/>
      <c r="I50" s="391"/>
    </row>
    <row r="51" spans="1:9" ht="14.25">
      <c r="A51" s="385"/>
      <c r="B51" s="385"/>
      <c r="D51" s="348"/>
      <c r="I51" s="391"/>
    </row>
    <row r="52" spans="1:9" ht="14.45" customHeight="1">
      <c r="A52" s="385"/>
      <c r="B52" s="386" t="s">
        <v>311</v>
      </c>
      <c r="D52" s="1268" t="s">
        <v>323</v>
      </c>
      <c r="E52" s="1268"/>
      <c r="F52" s="1268"/>
      <c r="I52" s="391"/>
    </row>
    <row r="53" spans="1:9" ht="14.25">
      <c r="A53" s="385"/>
      <c r="B53" s="385"/>
      <c r="D53" s="1268"/>
      <c r="E53" s="1268"/>
      <c r="F53" s="1268"/>
      <c r="I53" s="391"/>
    </row>
    <row r="54" spans="1:9" ht="14.25">
      <c r="A54" s="385"/>
      <c r="B54" s="385"/>
      <c r="D54" s="1268"/>
      <c r="E54" s="1268"/>
      <c r="F54" s="1268"/>
      <c r="I54" s="391"/>
    </row>
    <row r="55" spans="1:9" ht="14.25">
      <c r="A55" s="385"/>
      <c r="B55" s="385"/>
      <c r="I55" s="391"/>
    </row>
    <row r="56" spans="1:9" ht="14.25">
      <c r="A56" s="385"/>
      <c r="B56" s="386" t="s">
        <v>311</v>
      </c>
      <c r="D56" s="1295" t="s">
        <v>324</v>
      </c>
      <c r="E56" s="1295"/>
      <c r="F56" s="1295"/>
      <c r="I56" s="391"/>
    </row>
    <row r="57" spans="1:9" ht="14.25">
      <c r="A57" s="385"/>
      <c r="B57" s="385"/>
      <c r="D57" s="1295"/>
      <c r="E57" s="1295"/>
      <c r="F57" s="1295"/>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316</v>
      </c>
      <c r="D61" s="1268" t="s">
        <v>326</v>
      </c>
      <c r="E61" s="1268"/>
      <c r="F61" s="1268"/>
      <c r="I61" s="391"/>
    </row>
    <row r="62" spans="1:9">
      <c r="D62" s="1268"/>
      <c r="E62" s="1268"/>
      <c r="F62" s="1268"/>
      <c r="I62" s="391"/>
    </row>
    <row r="63" spans="1:9">
      <c r="D63" s="1268"/>
      <c r="E63" s="1268"/>
      <c r="F63" s="1268"/>
      <c r="I63" s="391"/>
    </row>
    <row r="64" spans="1:9">
      <c r="I64" s="391"/>
    </row>
    <row r="65" spans="1:9" ht="14.25">
      <c r="A65" s="385"/>
      <c r="B65" s="386" t="s">
        <v>316</v>
      </c>
      <c r="D65" s="1268" t="s">
        <v>327</v>
      </c>
      <c r="E65" s="1268"/>
      <c r="F65" s="1268"/>
      <c r="I65" s="391"/>
    </row>
    <row r="66" spans="1:9">
      <c r="D66" s="1268"/>
      <c r="E66" s="1268"/>
      <c r="F66" s="1268"/>
      <c r="I66" s="391"/>
    </row>
    <row r="67" spans="1:9">
      <c r="I67" s="391"/>
    </row>
    <row r="68" spans="1:9" ht="14.25">
      <c r="A68" s="385"/>
      <c r="B68" s="386" t="s">
        <v>311</v>
      </c>
      <c r="D68" s="1268" t="s">
        <v>328</v>
      </c>
      <c r="E68" s="1268"/>
      <c r="F68" s="1268"/>
      <c r="I68" s="391"/>
    </row>
    <row r="69" spans="1:9">
      <c r="D69" s="1268"/>
      <c r="E69" s="1268"/>
      <c r="F69" s="1268"/>
      <c r="I69" s="391"/>
    </row>
    <row r="70" spans="1:9">
      <c r="D70" s="1268"/>
      <c r="E70" s="1268"/>
      <c r="F70" s="1268"/>
      <c r="I70" s="391"/>
    </row>
    <row r="71" spans="1:9">
      <c r="I71" s="391"/>
    </row>
    <row r="72" spans="1:9" ht="14.25">
      <c r="A72" s="385"/>
      <c r="B72" s="386" t="s">
        <v>316</v>
      </c>
      <c r="D72" s="1268" t="s">
        <v>329</v>
      </c>
      <c r="E72" s="1268"/>
      <c r="F72" s="1268"/>
      <c r="I72" s="391"/>
    </row>
    <row r="73" spans="1:9">
      <c r="D73" s="1268"/>
      <c r="E73" s="1268"/>
      <c r="F73" s="1268"/>
      <c r="I73" s="391"/>
    </row>
    <row r="74" spans="1:9" ht="14.25">
      <c r="A74" s="385"/>
      <c r="B74" s="385"/>
      <c r="D74" s="348"/>
      <c r="I74" s="391"/>
    </row>
    <row r="75" spans="1:9">
      <c r="A75" s="1269" t="s">
        <v>330</v>
      </c>
      <c r="B75" s="1269"/>
      <c r="C75" s="1269"/>
      <c r="D75" s="1269"/>
      <c r="E75" s="1269"/>
      <c r="F75" s="1269"/>
      <c r="G75" s="1269"/>
      <c r="H75" s="914"/>
      <c r="I75" s="1036"/>
    </row>
    <row r="76" spans="1:9">
      <c r="I76" s="391"/>
    </row>
    <row r="77" spans="1:9">
      <c r="C77" s="387"/>
      <c r="D77" s="1288" t="s">
        <v>331</v>
      </c>
      <c r="E77" s="1288"/>
      <c r="F77" s="1288"/>
      <c r="I77" s="391"/>
    </row>
    <row r="78" spans="1:9">
      <c r="A78" s="348"/>
      <c r="B78" s="348"/>
      <c r="D78" s="1268" t="s">
        <v>332</v>
      </c>
      <c r="E78" s="1268"/>
      <c r="F78" s="1268"/>
      <c r="I78" s="391"/>
    </row>
    <row r="79" spans="1:9">
      <c r="A79" s="348"/>
      <c r="B79" s="348"/>
      <c r="I79" s="391"/>
    </row>
    <row r="80" spans="1:9" ht="13.7" customHeight="1">
      <c r="A80" s="385"/>
      <c r="B80" s="386" t="s">
        <v>311</v>
      </c>
      <c r="D80" s="1268" t="s">
        <v>333</v>
      </c>
      <c r="E80" s="1268"/>
      <c r="F80" s="1268"/>
      <c r="I80" s="391"/>
    </row>
    <row r="81" spans="1:9" ht="14.25">
      <c r="A81" s="385"/>
      <c r="B81" s="385"/>
      <c r="D81" s="1268"/>
      <c r="E81" s="1268"/>
      <c r="F81" s="1268"/>
      <c r="I81" s="391"/>
    </row>
    <row r="82" spans="1:9" ht="14.25">
      <c r="A82" s="385"/>
      <c r="B82" s="385"/>
      <c r="D82" s="1268"/>
      <c r="E82" s="1268"/>
      <c r="F82" s="1268"/>
      <c r="I82" s="391"/>
    </row>
    <row r="83" spans="1:9" ht="14.25">
      <c r="A83" s="385"/>
      <c r="B83" s="385"/>
      <c r="D83" s="1268"/>
      <c r="E83" s="1268"/>
      <c r="F83" s="1268"/>
      <c r="I83" s="391"/>
    </row>
    <row r="84" spans="1:9" ht="14.25">
      <c r="A84" s="385"/>
      <c r="B84" s="385"/>
      <c r="D84" s="1268"/>
      <c r="E84" s="1268"/>
      <c r="F84" s="1268"/>
      <c r="I84" s="391"/>
    </row>
    <row r="85" spans="1:9" ht="14.25">
      <c r="A85" s="385"/>
      <c r="B85" s="385"/>
      <c r="D85" s="1268"/>
      <c r="E85" s="1268"/>
      <c r="F85" s="1268"/>
      <c r="I85" s="391"/>
    </row>
    <row r="86" spans="1:9" ht="14.25">
      <c r="A86" s="385"/>
      <c r="B86" s="385"/>
      <c r="D86" s="1268"/>
      <c r="E86" s="1268"/>
      <c r="F86" s="1268"/>
      <c r="I86" s="391"/>
    </row>
    <row r="87" spans="1:9" ht="14.25">
      <c r="A87" s="385"/>
      <c r="B87" s="385"/>
      <c r="D87" s="1268"/>
      <c r="E87" s="1268"/>
      <c r="F87" s="1268"/>
      <c r="I87" s="391"/>
    </row>
    <row r="88" spans="1:9" ht="14.25">
      <c r="A88" s="385"/>
      <c r="B88" s="385"/>
      <c r="D88" s="288"/>
      <c r="E88" s="288"/>
      <c r="F88" s="288"/>
      <c r="I88" s="391"/>
    </row>
    <row r="89" spans="1:9" ht="15" customHeight="1">
      <c r="A89" s="385"/>
      <c r="B89" s="386" t="s">
        <v>311</v>
      </c>
      <c r="D89" s="1268" t="s">
        <v>334</v>
      </c>
      <c r="E89" s="1268"/>
      <c r="F89" s="1268"/>
      <c r="I89" s="391"/>
    </row>
    <row r="90" spans="1:9" ht="14.25">
      <c r="A90" s="385"/>
      <c r="B90" s="385"/>
      <c r="D90" s="1268"/>
      <c r="E90" s="1268"/>
      <c r="F90" s="1268"/>
      <c r="I90" s="391"/>
    </row>
    <row r="91" spans="1:9" ht="14.25">
      <c r="A91" s="385"/>
      <c r="B91" s="385"/>
      <c r="D91" s="347"/>
      <c r="E91" s="347"/>
      <c r="F91" s="347"/>
      <c r="I91" s="391"/>
    </row>
    <row r="92" spans="1:9" ht="14.25">
      <c r="A92" s="385"/>
      <c r="B92" s="386" t="s">
        <v>311</v>
      </c>
      <c r="D92" s="1268" t="s">
        <v>335</v>
      </c>
      <c r="E92" s="1268"/>
      <c r="F92" s="1268"/>
      <c r="I92" s="391"/>
    </row>
    <row r="93" spans="1:9" ht="14.25">
      <c r="A93" s="385"/>
      <c r="B93" s="385"/>
      <c r="D93" s="1268"/>
      <c r="E93" s="1268"/>
      <c r="F93" s="1268"/>
      <c r="I93" s="391"/>
    </row>
    <row r="94" spans="1:9" ht="14.25">
      <c r="A94" s="385"/>
      <c r="B94" s="385"/>
      <c r="D94" s="1268"/>
      <c r="E94" s="1268"/>
      <c r="F94" s="1268"/>
      <c r="I94" s="391"/>
    </row>
    <row r="95" spans="1:9" ht="14.25">
      <c r="A95" s="385"/>
      <c r="B95" s="385"/>
      <c r="D95" s="347"/>
      <c r="E95" s="347"/>
      <c r="F95" s="347"/>
      <c r="I95" s="391"/>
    </row>
    <row r="96" spans="1:9" ht="14.25">
      <c r="A96" s="385"/>
      <c r="B96" s="386" t="s">
        <v>311</v>
      </c>
      <c r="D96" s="1268" t="s">
        <v>336</v>
      </c>
      <c r="E96" s="1268"/>
      <c r="F96" s="1268"/>
      <c r="I96" s="391"/>
    </row>
    <row r="97" spans="1:9" s="876" customFormat="1" ht="14.25">
      <c r="A97" s="874"/>
      <c r="B97" s="874"/>
      <c r="C97" s="875"/>
      <c r="D97" s="1268"/>
      <c r="E97" s="1268"/>
      <c r="F97" s="1268"/>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316</v>
      </c>
      <c r="D100" s="1268" t="s">
        <v>338</v>
      </c>
      <c r="E100" s="1268"/>
      <c r="F100" s="1268"/>
      <c r="I100" s="391"/>
    </row>
    <row r="101" spans="1:9" ht="14.25">
      <c r="A101" s="385"/>
      <c r="B101" s="385"/>
      <c r="D101" s="1268"/>
      <c r="E101" s="1268"/>
      <c r="F101" s="1268"/>
      <c r="I101" s="391"/>
    </row>
    <row r="102" spans="1:9" ht="14.25">
      <c r="A102" s="385"/>
      <c r="B102" s="385"/>
      <c r="D102" s="347"/>
      <c r="E102" s="347"/>
      <c r="F102" s="347"/>
      <c r="I102" s="391"/>
    </row>
    <row r="103" spans="1:9" ht="14.45" customHeight="1">
      <c r="A103" s="385"/>
      <c r="B103" s="386" t="s">
        <v>316</v>
      </c>
      <c r="D103" s="1268" t="s">
        <v>339</v>
      </c>
      <c r="E103" s="1268"/>
      <c r="F103" s="1268"/>
      <c r="I103" s="391"/>
    </row>
    <row r="104" spans="1:9" ht="14.25">
      <c r="A104" s="385"/>
      <c r="B104" s="385"/>
      <c r="D104" s="1268"/>
      <c r="E104" s="1268"/>
      <c r="F104" s="1268"/>
      <c r="I104" s="391"/>
    </row>
    <row r="105" spans="1:9" ht="14.25">
      <c r="A105" s="385"/>
      <c r="B105" s="385"/>
      <c r="D105" s="1268"/>
      <c r="E105" s="1268"/>
      <c r="F105" s="1268"/>
      <c r="I105" s="391"/>
    </row>
    <row r="106" spans="1:9" ht="14.25">
      <c r="A106" s="385"/>
      <c r="B106" s="385"/>
      <c r="D106" s="1268"/>
      <c r="E106" s="1268"/>
      <c r="F106" s="1268"/>
      <c r="I106" s="391"/>
    </row>
    <row r="107" spans="1:9" ht="14.25">
      <c r="A107" s="385"/>
      <c r="B107" s="385"/>
      <c r="D107" s="1268"/>
      <c r="E107" s="1268"/>
      <c r="F107" s="1268"/>
      <c r="I107" s="391"/>
    </row>
    <row r="108" spans="1:9" ht="14.25">
      <c r="A108" s="385"/>
      <c r="B108" s="385"/>
      <c r="D108" s="1268"/>
      <c r="E108" s="1268"/>
      <c r="F108" s="1268"/>
      <c r="I108" s="391"/>
    </row>
    <row r="109" spans="1:9" ht="14.25">
      <c r="A109" s="385"/>
      <c r="B109" s="385"/>
      <c r="D109" s="1268"/>
      <c r="E109" s="1268"/>
      <c r="F109" s="1268"/>
      <c r="I109" s="391"/>
    </row>
    <row r="110" spans="1:9" ht="14.25">
      <c r="A110" s="385"/>
      <c r="B110" s="385"/>
      <c r="D110" s="1268"/>
      <c r="E110" s="1268"/>
      <c r="F110" s="1268"/>
      <c r="I110" s="391"/>
    </row>
    <row r="111" spans="1:9" ht="14.25">
      <c r="A111" s="385"/>
      <c r="B111" s="385"/>
      <c r="D111" s="1268"/>
      <c r="E111" s="1268"/>
      <c r="F111" s="1268"/>
      <c r="I111" s="391"/>
    </row>
    <row r="112" spans="1:9" ht="14.25">
      <c r="A112" s="385"/>
      <c r="B112" s="385"/>
      <c r="D112" s="1268"/>
      <c r="E112" s="1268"/>
      <c r="F112" s="1268"/>
      <c r="I112" s="391"/>
    </row>
    <row r="113" spans="1:9" ht="14.25">
      <c r="A113" s="385"/>
      <c r="B113" s="385"/>
      <c r="D113" s="1268"/>
      <c r="E113" s="1268"/>
      <c r="F113" s="1268"/>
      <c r="I113" s="391"/>
    </row>
    <row r="114" spans="1:9" ht="14.25">
      <c r="A114" s="385"/>
      <c r="B114" s="385"/>
      <c r="D114" s="1268"/>
      <c r="E114" s="1268"/>
      <c r="F114" s="1268"/>
      <c r="I114" s="391"/>
    </row>
    <row r="115" spans="1:9" ht="14.25">
      <c r="A115" s="385"/>
      <c r="B115" s="385"/>
      <c r="D115" s="1268"/>
      <c r="E115" s="1268"/>
      <c r="F115" s="1268"/>
      <c r="I115" s="391"/>
    </row>
    <row r="116" spans="1:9" ht="14.25">
      <c r="A116" s="385"/>
      <c r="B116" s="385"/>
      <c r="D116" s="1268"/>
      <c r="E116" s="1268"/>
      <c r="F116" s="1268"/>
      <c r="I116" s="391"/>
    </row>
    <row r="117" spans="1:9" ht="14.25">
      <c r="A117" s="385"/>
      <c r="B117" s="385"/>
      <c r="D117" s="1268"/>
      <c r="E117" s="1268"/>
      <c r="F117" s="1268"/>
      <c r="I117" s="391"/>
    </row>
    <row r="118" spans="1:9" ht="14.25">
      <c r="A118" s="385"/>
      <c r="B118" s="385"/>
      <c r="D118" s="424"/>
      <c r="E118" s="424"/>
      <c r="F118" s="424"/>
      <c r="I118" s="391"/>
    </row>
    <row r="119" spans="1:9" ht="14.25" customHeight="1">
      <c r="A119" s="385"/>
      <c r="B119" s="386" t="s">
        <v>316</v>
      </c>
      <c r="D119" s="1294" t="s">
        <v>340</v>
      </c>
      <c r="E119" s="1294"/>
      <c r="F119" s="1294"/>
      <c r="I119" s="391"/>
    </row>
    <row r="120" spans="1:9" ht="14.25">
      <c r="A120" s="385"/>
      <c r="B120" s="385"/>
      <c r="D120" s="1294"/>
      <c r="E120" s="1294"/>
      <c r="F120" s="1294"/>
      <c r="I120" s="391"/>
    </row>
    <row r="121" spans="1:9" ht="14.25">
      <c r="A121" s="385"/>
      <c r="B121" s="385"/>
      <c r="D121" s="1294"/>
      <c r="E121" s="1294"/>
      <c r="F121" s="1294"/>
      <c r="I121" s="391"/>
    </row>
    <row r="122" spans="1:9" ht="14.25">
      <c r="A122" s="385"/>
      <c r="B122" s="385"/>
      <c r="D122" s="1294"/>
      <c r="E122" s="1294"/>
      <c r="F122" s="1294"/>
      <c r="I122" s="391"/>
    </row>
    <row r="123" spans="1:9" ht="14.25">
      <c r="A123" s="385"/>
      <c r="B123" s="385"/>
      <c r="D123" s="1294"/>
      <c r="E123" s="1294"/>
      <c r="F123" s="1294"/>
      <c r="I123" s="391"/>
    </row>
    <row r="124" spans="1:9" ht="14.25">
      <c r="A124" s="385"/>
      <c r="B124" s="385"/>
      <c r="D124" s="1294"/>
      <c r="E124" s="1294"/>
      <c r="F124" s="1294"/>
      <c r="I124" s="391"/>
    </row>
    <row r="125" spans="1:9" ht="14.25">
      <c r="A125" s="385"/>
      <c r="B125" s="385"/>
      <c r="D125" s="1294"/>
      <c r="E125" s="1294"/>
      <c r="F125" s="1294"/>
      <c r="I125" s="391"/>
    </row>
    <row r="126" spans="1:9" ht="14.25">
      <c r="A126" s="385"/>
      <c r="B126" s="385"/>
      <c r="D126" s="1294"/>
      <c r="E126" s="1294"/>
      <c r="F126" s="1294"/>
      <c r="I126" s="391"/>
    </row>
    <row r="127" spans="1:9">
      <c r="C127" s="305"/>
      <c r="D127" s="425"/>
      <c r="E127" s="425"/>
      <c r="F127" s="425"/>
      <c r="I127" s="391"/>
    </row>
    <row r="128" spans="1:9" ht="14.25">
      <c r="A128" s="385"/>
      <c r="B128" s="386" t="s">
        <v>311</v>
      </c>
      <c r="C128" s="305"/>
      <c r="D128" s="1294" t="s">
        <v>341</v>
      </c>
      <c r="E128" s="1294"/>
      <c r="F128" s="1294"/>
      <c r="I128" s="391"/>
    </row>
    <row r="129" spans="1:9" ht="14.25">
      <c r="A129" s="385"/>
      <c r="B129" s="385"/>
      <c r="C129" s="305"/>
      <c r="D129" s="1294"/>
      <c r="E129" s="1294"/>
      <c r="F129" s="1294"/>
      <c r="I129" s="391"/>
    </row>
    <row r="130" spans="1:9">
      <c r="I130" s="391"/>
    </row>
    <row r="131" spans="1:9" ht="14.25">
      <c r="A131" s="385"/>
      <c r="B131" s="386" t="s">
        <v>311</v>
      </c>
      <c r="D131" s="1268" t="s">
        <v>342</v>
      </c>
      <c r="E131" s="1268"/>
      <c r="F131" s="1268"/>
      <c r="I131" s="391"/>
    </row>
    <row r="132" spans="1:9">
      <c r="D132" s="1268"/>
      <c r="E132" s="1268"/>
      <c r="F132" s="1268"/>
      <c r="I132" s="391"/>
    </row>
    <row r="133" spans="1:9">
      <c r="D133" s="1268"/>
      <c r="E133" s="1268"/>
      <c r="F133" s="1268"/>
      <c r="I133" s="391"/>
    </row>
    <row r="134" spans="1:9">
      <c r="D134" s="1268"/>
      <c r="E134" s="1268"/>
      <c r="F134" s="1268"/>
      <c r="I134" s="391"/>
    </row>
    <row r="135" spans="1:9">
      <c r="D135" s="1268"/>
      <c r="E135" s="1268"/>
      <c r="F135" s="1268"/>
      <c r="I135" s="391"/>
    </row>
    <row r="136" spans="1:9">
      <c r="I136" s="391"/>
    </row>
    <row r="137" spans="1:9" ht="14.25">
      <c r="A137" s="385"/>
      <c r="B137" s="386" t="s">
        <v>311</v>
      </c>
      <c r="D137" s="1268" t="s">
        <v>343</v>
      </c>
      <c r="E137" s="1268"/>
      <c r="F137" s="1268"/>
      <c r="I137" s="391"/>
    </row>
    <row r="138" spans="1:9" s="320" customFormat="1" ht="13.7" customHeight="1">
      <c r="A138" s="389"/>
      <c r="B138" s="389"/>
      <c r="C138" s="389"/>
      <c r="D138" s="1268"/>
      <c r="E138" s="1268"/>
      <c r="F138" s="1268"/>
      <c r="I138" s="1038"/>
    </row>
    <row r="139" spans="1:9" ht="13.7" customHeight="1">
      <c r="D139" s="1268"/>
      <c r="E139" s="1268"/>
      <c r="F139" s="1268"/>
      <c r="I139" s="391"/>
    </row>
    <row r="140" spans="1:9" ht="13.7" customHeight="1">
      <c r="D140" s="1268"/>
      <c r="E140" s="1268"/>
      <c r="F140" s="1268"/>
      <c r="I140" s="391"/>
    </row>
    <row r="141" spans="1:9" ht="13.7" customHeight="1">
      <c r="D141" s="1268"/>
      <c r="E141" s="1268"/>
      <c r="F141" s="1268"/>
      <c r="I141" s="391"/>
    </row>
    <row r="142" spans="1:9" ht="13.7" customHeight="1">
      <c r="A142" s="390"/>
      <c r="B142" s="390"/>
      <c r="D142" s="1268"/>
      <c r="E142" s="1268"/>
      <c r="F142" s="1268"/>
      <c r="I142" s="391"/>
    </row>
    <row r="143" spans="1:9" ht="13.7" customHeight="1">
      <c r="D143" s="1268"/>
      <c r="E143" s="1268"/>
      <c r="F143" s="1268"/>
      <c r="I143" s="391"/>
    </row>
    <row r="144" spans="1:9" ht="13.7" customHeight="1">
      <c r="D144" s="1268"/>
      <c r="E144" s="1268"/>
      <c r="F144" s="1268"/>
      <c r="I144" s="391"/>
    </row>
    <row r="145" spans="2:9" ht="13.7" customHeight="1">
      <c r="D145" s="1268"/>
      <c r="E145" s="1268"/>
      <c r="F145" s="1268"/>
      <c r="I145" s="391"/>
    </row>
    <row r="146" spans="2:9" ht="13.7" customHeight="1">
      <c r="D146" s="1268"/>
      <c r="E146" s="1268"/>
      <c r="F146" s="1268"/>
      <c r="I146" s="391"/>
    </row>
    <row r="147" spans="2:9" ht="13.7" customHeight="1">
      <c r="D147" s="1268"/>
      <c r="E147" s="1268"/>
      <c r="F147" s="1268"/>
      <c r="I147" s="391"/>
    </row>
    <row r="148" spans="2:9" ht="13.7" customHeight="1">
      <c r="D148" s="1268"/>
      <c r="E148" s="1268"/>
      <c r="F148" s="1268"/>
      <c r="I148" s="391"/>
    </row>
    <row r="149" spans="2:9" ht="13.7" customHeight="1">
      <c r="D149" s="1268"/>
      <c r="E149" s="1268"/>
      <c r="F149" s="1268"/>
      <c r="I149" s="391"/>
    </row>
    <row r="150" spans="2:9" ht="13.7" customHeight="1">
      <c r="D150" s="377"/>
      <c r="E150" s="348"/>
      <c r="F150" s="348"/>
      <c r="I150" s="391"/>
    </row>
    <row r="151" spans="2:9" ht="13.7" customHeight="1">
      <c r="B151" s="386" t="s">
        <v>316</v>
      </c>
      <c r="D151" s="1268" t="s">
        <v>344</v>
      </c>
      <c r="E151" s="1268"/>
      <c r="F151" s="1268"/>
      <c r="I151" s="391"/>
    </row>
    <row r="152" spans="2:9" ht="13.7" customHeight="1">
      <c r="D152" s="1268"/>
      <c r="E152" s="1268"/>
      <c r="F152" s="1268"/>
      <c r="I152" s="391"/>
    </row>
    <row r="153" spans="2:9" ht="13.7" customHeight="1">
      <c r="D153" s="1268"/>
      <c r="E153" s="1268"/>
      <c r="F153" s="1268"/>
      <c r="I153" s="391"/>
    </row>
    <row r="154" spans="2:9" ht="13.7" customHeight="1">
      <c r="D154" s="1268"/>
      <c r="E154" s="1268"/>
      <c r="F154" s="1268"/>
      <c r="I154" s="391"/>
    </row>
    <row r="155" spans="2:9" ht="13.7" customHeight="1">
      <c r="D155" s="1268"/>
      <c r="E155" s="1268"/>
      <c r="F155" s="1268"/>
      <c r="I155" s="391"/>
    </row>
    <row r="156" spans="2:9" ht="13.7" customHeight="1">
      <c r="D156" s="1268"/>
      <c r="E156" s="1268"/>
      <c r="F156" s="1268"/>
      <c r="I156" s="391"/>
    </row>
    <row r="157" spans="2:9" ht="13.7" customHeight="1">
      <c r="D157" s="1268"/>
      <c r="E157" s="1268"/>
      <c r="F157" s="1268"/>
      <c r="I157" s="391"/>
    </row>
    <row r="158" spans="2:9" ht="13.7" customHeight="1">
      <c r="D158" s="1268"/>
      <c r="E158" s="1268"/>
      <c r="F158" s="1268"/>
      <c r="I158" s="391"/>
    </row>
    <row r="159" spans="2:9" ht="13.7" customHeight="1">
      <c r="D159" s="1268"/>
      <c r="E159" s="1268"/>
      <c r="F159" s="1268"/>
      <c r="I159" s="391"/>
    </row>
    <row r="160" spans="2:9" ht="13.7" customHeight="1">
      <c r="D160" s="1268"/>
      <c r="E160" s="1268"/>
      <c r="F160" s="1268"/>
      <c r="I160" s="391"/>
    </row>
    <row r="161" spans="1:9" ht="13.7" customHeight="1">
      <c r="D161" s="1268"/>
      <c r="E161" s="1268"/>
      <c r="F161" s="1268"/>
      <c r="I161" s="391"/>
    </row>
    <row r="162" spans="1:9" ht="13.7" customHeight="1">
      <c r="D162" s="1268"/>
      <c r="E162" s="1268"/>
      <c r="F162" s="1268"/>
      <c r="I162" s="391"/>
    </row>
    <row r="163" spans="1:9" ht="13.7" customHeight="1">
      <c r="D163" s="1268"/>
      <c r="E163" s="1268"/>
      <c r="F163" s="1268"/>
      <c r="I163" s="391"/>
    </row>
    <row r="164" spans="1:9" ht="13.7" customHeight="1">
      <c r="D164" s="1268"/>
      <c r="E164" s="1268"/>
      <c r="F164" s="1268"/>
      <c r="I164" s="391"/>
    </row>
    <row r="165" spans="1:9" ht="13.7" customHeight="1">
      <c r="D165" s="1268"/>
      <c r="E165" s="1268"/>
      <c r="F165" s="1268"/>
      <c r="I165" s="391"/>
    </row>
    <row r="166" spans="1:9" ht="13.7" customHeight="1">
      <c r="D166" s="1268"/>
      <c r="E166" s="1268"/>
      <c r="F166" s="1268"/>
      <c r="I166" s="391"/>
    </row>
    <row r="167" spans="1:9" ht="13.7" customHeight="1">
      <c r="D167" s="1268"/>
      <c r="E167" s="1268"/>
      <c r="F167" s="1268"/>
      <c r="I167" s="391"/>
    </row>
    <row r="168" spans="1:9" ht="13.7" customHeight="1">
      <c r="D168" s="1268"/>
      <c r="E168" s="1268"/>
      <c r="F168" s="1268"/>
      <c r="I168" s="391"/>
    </row>
    <row r="169" spans="1:9" ht="13.7" customHeight="1">
      <c r="D169" s="1291" t="s">
        <v>345</v>
      </c>
      <c r="E169" s="1291"/>
      <c r="F169" s="1291"/>
      <c r="G169" s="408"/>
      <c r="I169" s="391"/>
    </row>
    <row r="170" spans="1:9" ht="13.7" customHeight="1">
      <c r="D170" s="1278"/>
      <c r="E170" s="1278"/>
      <c r="F170" s="1278"/>
      <c r="G170" s="1278"/>
      <c r="I170" s="391"/>
    </row>
    <row r="171" spans="1:9" ht="14.45" customHeight="1">
      <c r="A171" s="390"/>
      <c r="B171" s="386" t="s">
        <v>316</v>
      </c>
      <c r="C171" s="377"/>
      <c r="D171" s="1240" t="s">
        <v>346</v>
      </c>
      <c r="E171" s="1240"/>
      <c r="F171" s="1240"/>
      <c r="G171" s="377"/>
      <c r="I171" s="391"/>
    </row>
    <row r="172" spans="1:9" ht="14.45" customHeight="1">
      <c r="A172" s="390"/>
      <c r="B172" s="390"/>
      <c r="C172" s="377"/>
      <c r="D172" s="1240"/>
      <c r="E172" s="1240"/>
      <c r="F172" s="1240"/>
      <c r="G172" s="377"/>
      <c r="I172" s="391"/>
    </row>
    <row r="173" spans="1:9" ht="14.45" customHeight="1">
      <c r="A173" s="390"/>
      <c r="B173" s="390"/>
      <c r="C173" s="377"/>
      <c r="D173" s="1240"/>
      <c r="E173" s="1240"/>
      <c r="F173" s="1240"/>
      <c r="G173" s="377"/>
      <c r="I173" s="391"/>
    </row>
    <row r="174" spans="1:9" ht="14.45" customHeight="1">
      <c r="A174" s="390"/>
      <c r="B174" s="390"/>
      <c r="C174" s="377"/>
      <c r="D174" s="1240"/>
      <c r="E174" s="1240"/>
      <c r="F174" s="1240"/>
      <c r="G174" s="377"/>
      <c r="I174" s="391"/>
    </row>
    <row r="175" spans="1:9" ht="13.7" customHeight="1">
      <c r="A175" s="390"/>
      <c r="B175" s="390"/>
      <c r="C175" s="377"/>
      <c r="D175" s="1240"/>
      <c r="E175" s="1240"/>
      <c r="F175" s="1240"/>
      <c r="G175" s="377"/>
      <c r="I175" s="391"/>
    </row>
    <row r="176" spans="1:9" ht="13.7" customHeight="1">
      <c r="A176" s="390"/>
      <c r="B176" s="390"/>
      <c r="C176" s="377"/>
      <c r="D176" s="377"/>
      <c r="E176" s="377"/>
      <c r="F176" s="377"/>
      <c r="G176" s="377"/>
      <c r="I176" s="391"/>
    </row>
    <row r="177" spans="1:9" ht="13.7" customHeight="1">
      <c r="A177" s="390"/>
      <c r="B177" s="386" t="s">
        <v>316</v>
      </c>
      <c r="C177" s="377"/>
      <c r="D177" s="1240" t="s">
        <v>347</v>
      </c>
      <c r="E177" s="1240"/>
      <c r="F177" s="1240"/>
      <c r="G177" s="377"/>
      <c r="I177" s="391"/>
    </row>
    <row r="178" spans="1:9" ht="13.7" customHeight="1">
      <c r="A178" s="390"/>
      <c r="B178" s="390"/>
      <c r="C178" s="377"/>
      <c r="D178" s="1240"/>
      <c r="E178" s="1240"/>
      <c r="F178" s="1240"/>
      <c r="G178" s="377"/>
      <c r="I178" s="391"/>
    </row>
    <row r="179" spans="1:9" ht="13.7" customHeight="1">
      <c r="A179" s="390"/>
      <c r="B179" s="390"/>
      <c r="C179" s="377"/>
      <c r="D179" s="1240"/>
      <c r="E179" s="1240"/>
      <c r="F179" s="1240"/>
      <c r="G179" s="377"/>
      <c r="I179" s="391"/>
    </row>
    <row r="180" spans="1:9" ht="13.7" customHeight="1">
      <c r="A180" s="390"/>
      <c r="B180" s="390"/>
      <c r="C180" s="377"/>
      <c r="D180" s="1240"/>
      <c r="E180" s="1240"/>
      <c r="F180" s="1240"/>
      <c r="G180" s="377"/>
      <c r="I180" s="391"/>
    </row>
    <row r="181" spans="1:9" ht="13.7" customHeight="1">
      <c r="D181" s="348"/>
      <c r="E181" s="348"/>
      <c r="F181" s="348"/>
      <c r="I181" s="391"/>
    </row>
    <row r="182" spans="1:9" ht="13.7" hidden="1" customHeight="1">
      <c r="B182" s="386" t="s">
        <v>348</v>
      </c>
      <c r="D182" s="1284" t="s">
        <v>349</v>
      </c>
      <c r="E182" s="1284"/>
      <c r="F182" s="1284"/>
      <c r="I182" s="391"/>
    </row>
    <row r="183" spans="1:9" ht="13.7" hidden="1" customHeight="1">
      <c r="D183" s="1284"/>
      <c r="E183" s="1284"/>
      <c r="F183" s="1284"/>
      <c r="I183" s="391"/>
    </row>
    <row r="184" spans="1:9" ht="13.7" hidden="1" customHeight="1">
      <c r="D184" s="1284"/>
      <c r="E184" s="1284"/>
      <c r="F184" s="1284"/>
      <c r="I184" s="391"/>
    </row>
    <row r="185" spans="1:9" ht="13.7" customHeight="1">
      <c r="A185" s="391"/>
      <c r="B185" s="391"/>
      <c r="E185" s="348"/>
      <c r="F185" s="348"/>
      <c r="I185" s="391"/>
    </row>
    <row r="186" spans="1:9">
      <c r="A186" s="1269" t="s">
        <v>350</v>
      </c>
      <c r="B186" s="1269"/>
      <c r="C186" s="1269"/>
      <c r="D186" s="1269"/>
      <c r="E186" s="1269"/>
      <c r="F186" s="1269"/>
      <c r="G186" s="1269"/>
      <c r="H186" s="914"/>
      <c r="I186" s="1036"/>
    </row>
    <row r="187" spans="1:9" ht="12" customHeight="1">
      <c r="D187" s="348"/>
      <c r="E187" s="348"/>
      <c r="F187" s="348"/>
      <c r="I187" s="391"/>
    </row>
    <row r="188" spans="1:9">
      <c r="B188" s="1274" t="s">
        <v>351</v>
      </c>
      <c r="C188" s="1274"/>
      <c r="D188" s="1274"/>
      <c r="E188" s="1274"/>
      <c r="F188" s="1274"/>
      <c r="I188" s="391"/>
    </row>
    <row r="189" spans="1:9">
      <c r="B189" s="295" t="s">
        <v>352</v>
      </c>
      <c r="C189" s="295"/>
      <c r="D189" s="295"/>
      <c r="E189" s="295"/>
      <c r="F189" s="295"/>
      <c r="I189" s="391"/>
    </row>
    <row r="190" spans="1:9" ht="12" customHeight="1">
      <c r="A190" s="383"/>
      <c r="B190" s="383"/>
      <c r="C190" s="383"/>
      <c r="I190" s="391"/>
    </row>
    <row r="191" spans="1:9">
      <c r="A191" s="1269" t="s">
        <v>353</v>
      </c>
      <c r="B191" s="1269"/>
      <c r="C191" s="1269"/>
      <c r="D191" s="1269"/>
      <c r="E191" s="1269"/>
      <c r="F191" s="1269"/>
      <c r="G191" s="1269"/>
      <c r="H191" s="914"/>
      <c r="I191" s="1036"/>
    </row>
    <row r="192" spans="1:9" ht="12" customHeight="1">
      <c r="A192" s="307"/>
      <c r="B192" s="307"/>
      <c r="E192" s="307"/>
      <c r="I192" s="391"/>
    </row>
    <row r="193" spans="1:9" ht="13.7" customHeight="1">
      <c r="A193" s="307"/>
      <c r="B193" s="307"/>
      <c r="D193" s="1288" t="s">
        <v>354</v>
      </c>
      <c r="E193" s="1288"/>
      <c r="F193" s="1288"/>
      <c r="I193" s="391"/>
    </row>
    <row r="194" spans="1:9">
      <c r="A194" s="307"/>
      <c r="B194" s="307"/>
      <c r="D194" s="1288"/>
      <c r="E194" s="1288"/>
      <c r="F194" s="1288"/>
      <c r="I194" s="391"/>
    </row>
    <row r="195" spans="1:9">
      <c r="A195" s="307"/>
      <c r="B195" s="307"/>
      <c r="D195" s="1274" t="s">
        <v>355</v>
      </c>
      <c r="E195" s="1274"/>
      <c r="F195" s="1274"/>
      <c r="I195" s="391"/>
    </row>
    <row r="196" spans="1:9">
      <c r="A196" s="307"/>
      <c r="B196" s="307"/>
      <c r="D196" s="295"/>
      <c r="E196" s="295"/>
      <c r="F196" s="295"/>
      <c r="I196" s="391"/>
    </row>
    <row r="197" spans="1:9">
      <c r="A197" s="307"/>
      <c r="B197" s="386" t="s">
        <v>316</v>
      </c>
      <c r="D197" s="1258" t="s">
        <v>356</v>
      </c>
      <c r="E197" s="1258"/>
      <c r="F197" s="1258"/>
      <c r="I197" s="391"/>
    </row>
    <row r="198" spans="1:9">
      <c r="A198" s="307"/>
      <c r="B198" s="307"/>
      <c r="D198" s="1249" t="s">
        <v>357</v>
      </c>
      <c r="E198" s="1249"/>
      <c r="F198" s="1249"/>
      <c r="I198" s="391"/>
    </row>
    <row r="199" spans="1:9">
      <c r="A199" s="307"/>
      <c r="B199" s="307"/>
      <c r="D199" s="71" t="s">
        <v>358</v>
      </c>
      <c r="E199" s="1296" t="s">
        <v>359</v>
      </c>
      <c r="F199" s="1296"/>
      <c r="I199" s="391"/>
    </row>
    <row r="200" spans="1:9">
      <c r="A200" s="307"/>
      <c r="B200" s="307"/>
      <c r="D200" s="3"/>
      <c r="E200" s="3"/>
      <c r="F200" s="3"/>
      <c r="I200" s="391"/>
    </row>
    <row r="201" spans="1:9">
      <c r="A201" s="307"/>
      <c r="B201" s="386" t="s">
        <v>316</v>
      </c>
      <c r="D201" s="1249" t="s">
        <v>360</v>
      </c>
      <c r="E201" s="1249"/>
      <c r="F201" s="1249"/>
      <c r="I201" s="391"/>
    </row>
    <row r="202" spans="1:9">
      <c r="A202" s="307"/>
      <c r="B202" s="307"/>
      <c r="D202" s="1258" t="s">
        <v>357</v>
      </c>
      <c r="E202" s="1258"/>
      <c r="F202" s="1258"/>
      <c r="I202" s="391"/>
    </row>
    <row r="203" spans="1:9">
      <c r="A203" s="307"/>
      <c r="B203" s="307"/>
      <c r="D203" s="49" t="s">
        <v>361</v>
      </c>
      <c r="E203" s="1296" t="s">
        <v>362</v>
      </c>
      <c r="F203" s="1296"/>
      <c r="I203" s="391"/>
    </row>
    <row r="204" spans="1:9">
      <c r="A204" s="307"/>
      <c r="B204" s="307"/>
      <c r="D204" s="3"/>
      <c r="E204" s="3"/>
      <c r="F204" s="3"/>
      <c r="I204" s="391"/>
    </row>
    <row r="205" spans="1:9">
      <c r="A205" s="307"/>
      <c r="B205" s="386" t="s">
        <v>316</v>
      </c>
      <c r="D205" s="1249" t="s">
        <v>363</v>
      </c>
      <c r="E205" s="1249"/>
      <c r="F205" s="1249"/>
      <c r="I205" s="391"/>
    </row>
    <row r="206" spans="1:9">
      <c r="A206" s="307"/>
      <c r="B206" s="307"/>
      <c r="D206" s="1258" t="s">
        <v>357</v>
      </c>
      <c r="E206" s="1258"/>
      <c r="F206" s="1258"/>
      <c r="I206" s="391"/>
    </row>
    <row r="207" spans="1:9">
      <c r="A207" s="307"/>
      <c r="B207" s="307"/>
      <c r="D207" s="49" t="s">
        <v>358</v>
      </c>
      <c r="E207" s="1296" t="s">
        <v>364</v>
      </c>
      <c r="F207" s="1296"/>
      <c r="I207" s="391"/>
    </row>
    <row r="208" spans="1:9">
      <c r="A208" s="307"/>
      <c r="B208" s="307"/>
      <c r="D208" s="295"/>
      <c r="E208" s="295"/>
      <c r="F208" s="295"/>
      <c r="I208" s="391"/>
    </row>
    <row r="209" spans="1:9" ht="14.25" customHeight="1">
      <c r="A209" s="385"/>
      <c r="B209" s="386" t="s">
        <v>316</v>
      </c>
      <c r="D209" s="289" t="s">
        <v>365</v>
      </c>
      <c r="E209" s="288"/>
      <c r="F209" s="288"/>
      <c r="I209" s="391"/>
    </row>
    <row r="210" spans="1:9" ht="14.25">
      <c r="A210" s="385"/>
      <c r="B210" s="385"/>
      <c r="D210" s="1258" t="s">
        <v>357</v>
      </c>
      <c r="E210" s="1258"/>
      <c r="F210" s="1258"/>
      <c r="I210" s="391"/>
    </row>
    <row r="211" spans="1:9">
      <c r="D211" s="288"/>
      <c r="E211" s="1296" t="s">
        <v>366</v>
      </c>
      <c r="F211" s="1296"/>
      <c r="I211" s="391"/>
    </row>
    <row r="212" spans="1:9">
      <c r="D212" s="349"/>
      <c r="I212" s="391"/>
    </row>
    <row r="213" spans="1:9">
      <c r="B213" s="386" t="s">
        <v>316</v>
      </c>
      <c r="D213" s="1249" t="s">
        <v>367</v>
      </c>
      <c r="E213" s="1249"/>
      <c r="F213" s="1249"/>
      <c r="I213" s="391"/>
    </row>
    <row r="214" spans="1:9">
      <c r="D214" s="1258" t="s">
        <v>357</v>
      </c>
      <c r="E214" s="1258"/>
      <c r="F214" s="1258"/>
      <c r="I214" s="391"/>
    </row>
    <row r="215" spans="1:9">
      <c r="D215" s="49" t="s">
        <v>358</v>
      </c>
      <c r="E215" s="1296" t="s">
        <v>368</v>
      </c>
      <c r="F215" s="1296"/>
      <c r="I215" s="391"/>
    </row>
    <row r="216" spans="1:9">
      <c r="D216" s="353"/>
      <c r="E216" s="353"/>
      <c r="F216" s="353"/>
      <c r="I216" s="391"/>
    </row>
    <row r="217" spans="1:9" ht="14.25">
      <c r="A217" s="385"/>
      <c r="B217" s="386" t="s">
        <v>316</v>
      </c>
      <c r="D217" s="1268" t="s">
        <v>369</v>
      </c>
      <c r="E217" s="1268"/>
      <c r="F217" s="1268"/>
      <c r="I217" s="391"/>
    </row>
    <row r="218" spans="1:9" ht="14.45" customHeight="1">
      <c r="A218" s="385"/>
      <c r="B218" s="305"/>
      <c r="D218" s="1268"/>
      <c r="E218" s="1268"/>
      <c r="F218" s="1268"/>
      <c r="I218" s="391"/>
    </row>
    <row r="219" spans="1:9" ht="14.25">
      <c r="A219" s="385"/>
      <c r="D219" s="1268"/>
      <c r="E219" s="1268"/>
      <c r="F219" s="1268"/>
      <c r="I219" s="391"/>
    </row>
    <row r="220" spans="1:9" ht="14.25">
      <c r="A220" s="385"/>
      <c r="D220" s="1268"/>
      <c r="E220" s="1268"/>
      <c r="F220" s="1268"/>
      <c r="I220" s="391"/>
    </row>
    <row r="221" spans="1:9">
      <c r="D221" s="353"/>
      <c r="E221" s="353"/>
      <c r="F221" s="353"/>
      <c r="I221" s="391"/>
    </row>
    <row r="222" spans="1:9">
      <c r="A222" s="1269" t="s">
        <v>370</v>
      </c>
      <c r="B222" s="1269"/>
      <c r="C222" s="1269"/>
      <c r="D222" s="1269"/>
      <c r="E222" s="1269"/>
      <c r="F222" s="1269"/>
      <c r="G222" s="1269"/>
      <c r="H222" s="914"/>
      <c r="I222" s="1036"/>
    </row>
    <row r="223" spans="1:9" ht="12" customHeight="1">
      <c r="D223" s="348"/>
      <c r="E223" s="348"/>
      <c r="F223" s="348"/>
      <c r="I223" s="391"/>
    </row>
    <row r="224" spans="1:9">
      <c r="C224" s="387"/>
      <c r="D224" s="1271" t="s">
        <v>371</v>
      </c>
      <c r="E224" s="1271"/>
      <c r="F224" s="1271"/>
      <c r="I224" s="391"/>
    </row>
    <row r="225" spans="1:9">
      <c r="A225" s="383"/>
      <c r="B225" s="383"/>
      <c r="C225" s="383"/>
      <c r="D225" s="1270" t="s">
        <v>372</v>
      </c>
      <c r="E225" s="1270"/>
      <c r="F225" s="1270"/>
      <c r="I225" s="391"/>
    </row>
    <row r="226" spans="1:9" ht="12" customHeight="1">
      <c r="A226" s="391"/>
      <c r="B226" s="391"/>
      <c r="C226" s="391"/>
      <c r="I226" s="391"/>
    </row>
    <row r="227" spans="1:9" ht="13.7" customHeight="1">
      <c r="A227" s="391"/>
      <c r="C227" s="391"/>
      <c r="D227" s="1271" t="s">
        <v>373</v>
      </c>
      <c r="E227" s="1271"/>
      <c r="F227" s="1271"/>
      <c r="I227" s="391"/>
    </row>
    <row r="228" spans="1:9" ht="14.25">
      <c r="A228" s="385"/>
      <c r="B228" s="386" t="s">
        <v>311</v>
      </c>
      <c r="D228" s="1268" t="s">
        <v>374</v>
      </c>
      <c r="E228" s="1268"/>
      <c r="F228" s="1268"/>
      <c r="I228" s="391"/>
    </row>
    <row r="229" spans="1:9" ht="14.25" customHeight="1">
      <c r="A229" s="385"/>
      <c r="B229" s="385"/>
      <c r="D229" s="1268"/>
      <c r="E229" s="1268"/>
      <c r="F229" s="1268"/>
      <c r="I229" s="391"/>
    </row>
    <row r="230" spans="1:9" ht="14.25" customHeight="1">
      <c r="A230" s="385"/>
      <c r="B230" s="385"/>
      <c r="D230" s="1268"/>
      <c r="E230" s="1268"/>
      <c r="F230" s="1268"/>
      <c r="I230" s="391"/>
    </row>
    <row r="231" spans="1:9" ht="14.25">
      <c r="A231" s="385"/>
      <c r="B231" s="385"/>
      <c r="D231" s="1268"/>
      <c r="E231" s="1268"/>
      <c r="F231" s="1268"/>
      <c r="I231" s="391"/>
    </row>
    <row r="232" spans="1:9" ht="14.25">
      <c r="A232" s="385"/>
      <c r="B232" s="385"/>
      <c r="D232" s="347"/>
      <c r="E232" s="347"/>
      <c r="F232" s="347"/>
      <c r="I232" s="391"/>
    </row>
    <row r="233" spans="1:9" ht="14.25">
      <c r="A233" s="385"/>
      <c r="B233" s="386" t="s">
        <v>311</v>
      </c>
      <c r="D233" s="1268" t="s">
        <v>375</v>
      </c>
      <c r="E233" s="1268"/>
      <c r="F233" s="1268"/>
      <c r="I233" s="391"/>
    </row>
    <row r="234" spans="1:9" ht="14.25">
      <c r="A234" s="385"/>
      <c r="B234" s="385"/>
      <c r="D234" s="1268"/>
      <c r="E234" s="1268"/>
      <c r="F234" s="1268"/>
      <c r="I234" s="391"/>
    </row>
    <row r="235" spans="1:9" ht="14.25">
      <c r="A235" s="385"/>
      <c r="B235" s="385"/>
      <c r="D235" s="1268"/>
      <c r="E235" s="1268"/>
      <c r="F235" s="1268"/>
      <c r="I235" s="391"/>
    </row>
    <row r="236" spans="1:9" ht="14.25">
      <c r="A236" s="385"/>
      <c r="B236" s="385"/>
      <c r="D236" s="1268"/>
      <c r="E236" s="1268"/>
      <c r="F236" s="1268"/>
      <c r="I236" s="391"/>
    </row>
    <row r="237" spans="1:9" ht="14.25" customHeight="1">
      <c r="A237" s="385"/>
      <c r="B237" s="385"/>
      <c r="D237" s="1268"/>
      <c r="E237" s="1268"/>
      <c r="F237" s="1268"/>
      <c r="I237" s="391"/>
    </row>
    <row r="238" spans="1:9" ht="14.25" customHeight="1">
      <c r="A238" s="385"/>
      <c r="B238" s="385"/>
      <c r="D238" s="347"/>
      <c r="E238" s="347"/>
      <c r="F238" s="347"/>
      <c r="I238" s="391"/>
    </row>
    <row r="239" spans="1:9" ht="14.25">
      <c r="A239" s="385"/>
      <c r="B239" s="385"/>
      <c r="D239" s="1268" t="s">
        <v>376</v>
      </c>
      <c r="E239" s="1268"/>
      <c r="F239" s="1268"/>
      <c r="I239" s="391"/>
    </row>
    <row r="240" spans="1:9" ht="14.25">
      <c r="A240" s="385"/>
      <c r="B240" s="385"/>
      <c r="D240" s="1268"/>
      <c r="E240" s="1268"/>
      <c r="F240" s="1268"/>
      <c r="I240" s="391"/>
    </row>
    <row r="241" spans="1:9" ht="14.25">
      <c r="A241" s="385"/>
      <c r="B241" s="385"/>
      <c r="D241" s="1268"/>
      <c r="E241" s="1268"/>
      <c r="F241" s="1268"/>
      <c r="I241" s="391"/>
    </row>
    <row r="242" spans="1:9" ht="14.25">
      <c r="A242" s="385"/>
      <c r="B242" s="385"/>
      <c r="D242" s="1268"/>
      <c r="E242" s="1268"/>
      <c r="F242" s="1268"/>
      <c r="I242" s="391"/>
    </row>
    <row r="243" spans="1:9" ht="14.25">
      <c r="A243" s="385"/>
      <c r="B243" s="385"/>
      <c r="D243" s="1268"/>
      <c r="E243" s="1268"/>
      <c r="F243" s="1268"/>
      <c r="I243" s="391"/>
    </row>
    <row r="244" spans="1:9" ht="14.25">
      <c r="A244" s="385"/>
      <c r="B244" s="385"/>
      <c r="D244" s="348"/>
      <c r="E244" s="348"/>
      <c r="F244" s="348"/>
      <c r="I244" s="391"/>
    </row>
    <row r="245" spans="1:9" ht="14.25">
      <c r="A245" s="385"/>
      <c r="B245" s="386" t="s">
        <v>311</v>
      </c>
      <c r="D245" s="1268" t="s">
        <v>377</v>
      </c>
      <c r="E245" s="1268"/>
      <c r="F245" s="1268"/>
      <c r="I245" s="391"/>
    </row>
    <row r="246" spans="1:9" ht="14.25">
      <c r="A246" s="385"/>
      <c r="B246" s="385"/>
      <c r="D246" s="1268"/>
      <c r="E246" s="1268"/>
      <c r="F246" s="1268"/>
      <c r="I246" s="391"/>
    </row>
    <row r="247" spans="1:9" ht="14.25">
      <c r="A247" s="385"/>
      <c r="B247" s="385"/>
      <c r="D247" s="1268"/>
      <c r="E247" s="1268"/>
      <c r="F247" s="1268"/>
      <c r="I247" s="391"/>
    </row>
    <row r="248" spans="1:9" ht="14.25">
      <c r="A248" s="385"/>
      <c r="B248" s="385"/>
      <c r="E248" s="922" t="s">
        <v>378</v>
      </c>
      <c r="I248" s="391"/>
    </row>
    <row r="249" spans="1:9" ht="14.25">
      <c r="A249" s="385"/>
      <c r="B249" s="385"/>
      <c r="D249" s="348"/>
      <c r="E249" s="348"/>
      <c r="F249" s="348"/>
      <c r="I249" s="391"/>
    </row>
    <row r="250" spans="1:9" ht="14.45" customHeight="1">
      <c r="A250" s="385"/>
      <c r="B250" s="386" t="s">
        <v>311</v>
      </c>
      <c r="D250" s="1268" t="s">
        <v>379</v>
      </c>
      <c r="E250" s="1268"/>
      <c r="F250" s="1268"/>
      <c r="I250" s="391"/>
    </row>
    <row r="251" spans="1:9" ht="14.25">
      <c r="A251" s="385"/>
      <c r="B251" s="385"/>
      <c r="D251" s="1268"/>
      <c r="E251" s="1268"/>
      <c r="F251" s="1268"/>
      <c r="I251" s="391"/>
    </row>
    <row r="252" spans="1:9" ht="14.25">
      <c r="A252" s="385"/>
      <c r="B252" s="385"/>
      <c r="D252" s="1268"/>
      <c r="E252" s="1268"/>
      <c r="F252" s="1268"/>
      <c r="I252" s="391"/>
    </row>
    <row r="253" spans="1:9" ht="14.25">
      <c r="A253" s="385"/>
      <c r="B253" s="385"/>
      <c r="D253" s="1268"/>
      <c r="E253" s="1268"/>
      <c r="F253" s="1268"/>
      <c r="I253" s="391"/>
    </row>
    <row r="254" spans="1:9" ht="14.25">
      <c r="A254" s="385"/>
      <c r="B254" s="385"/>
      <c r="D254" s="1268"/>
      <c r="E254" s="1268"/>
      <c r="F254" s="1268"/>
      <c r="I254" s="391"/>
    </row>
    <row r="255" spans="1:9" ht="14.25">
      <c r="A255" s="385"/>
      <c r="B255" s="385"/>
      <c r="D255" s="347"/>
      <c r="E255" s="347"/>
      <c r="F255" s="347"/>
      <c r="I255" s="391"/>
    </row>
    <row r="256" spans="1:9" ht="14.25">
      <c r="A256" s="385"/>
      <c r="B256" s="386" t="s">
        <v>311</v>
      </c>
      <c r="D256" s="295" t="s">
        <v>380</v>
      </c>
      <c r="E256" s="347"/>
      <c r="F256" s="347"/>
      <c r="I256" s="391"/>
    </row>
    <row r="257" spans="1:9" ht="14.25">
      <c r="A257" s="385"/>
      <c r="B257" s="385"/>
      <c r="E257" s="922" t="s">
        <v>381</v>
      </c>
      <c r="I257" s="391"/>
    </row>
    <row r="258" spans="1:9">
      <c r="D258" s="348"/>
      <c r="E258" s="348"/>
      <c r="F258" s="348"/>
      <c r="I258" s="391"/>
    </row>
    <row r="259" spans="1:9" ht="14.25">
      <c r="A259" s="385"/>
      <c r="B259" s="386" t="s">
        <v>311</v>
      </c>
      <c r="D259" s="1268" t="s">
        <v>382</v>
      </c>
      <c r="E259" s="1268"/>
      <c r="F259" s="1268"/>
      <c r="I259" s="391"/>
    </row>
    <row r="260" spans="1:9" ht="14.25">
      <c r="A260" s="385"/>
      <c r="B260" s="385"/>
      <c r="D260" s="1268"/>
      <c r="E260" s="1268"/>
      <c r="F260" s="1268"/>
      <c r="I260" s="391"/>
    </row>
    <row r="261" spans="1:9">
      <c r="D261" s="392"/>
      <c r="I261" s="391"/>
    </row>
    <row r="262" spans="1:9">
      <c r="A262" s="1269" t="s">
        <v>383</v>
      </c>
      <c r="B262" s="1269"/>
      <c r="C262" s="1269"/>
      <c r="D262" s="1269"/>
      <c r="E262" s="1269"/>
      <c r="F262" s="1269"/>
      <c r="G262" s="1269"/>
      <c r="H262" s="914"/>
      <c r="I262" s="1036"/>
    </row>
    <row r="263" spans="1:9">
      <c r="D263" s="392"/>
      <c r="I263" s="391"/>
    </row>
    <row r="264" spans="1:9">
      <c r="C264" s="387"/>
      <c r="D264" s="1271" t="s">
        <v>384</v>
      </c>
      <c r="E264" s="1271"/>
      <c r="F264" s="1271"/>
      <c r="I264" s="391"/>
    </row>
    <row r="265" spans="1:9">
      <c r="A265" s="383"/>
      <c r="B265" s="383"/>
      <c r="C265" s="383"/>
      <c r="D265" s="348"/>
      <c r="E265" s="348"/>
      <c r="F265" s="348"/>
      <c r="I265" s="391"/>
    </row>
    <row r="266" spans="1:9">
      <c r="A266" s="384"/>
      <c r="B266" s="384"/>
      <c r="C266" s="384"/>
      <c r="D266" s="1271" t="s">
        <v>385</v>
      </c>
      <c r="E266" s="1271"/>
      <c r="F266" s="1271"/>
      <c r="I266" s="391"/>
    </row>
    <row r="267" spans="1:9" ht="14.45" customHeight="1">
      <c r="A267" s="385"/>
      <c r="B267" s="386" t="s">
        <v>311</v>
      </c>
      <c r="D267" s="1268" t="s">
        <v>386</v>
      </c>
      <c r="E267" s="1268"/>
      <c r="F267" s="1268"/>
      <c r="I267" s="391"/>
    </row>
    <row r="268" spans="1:9">
      <c r="D268" s="1268"/>
      <c r="E268" s="1268"/>
      <c r="F268" s="1268"/>
      <c r="I268" s="391"/>
    </row>
    <row r="269" spans="1:9">
      <c r="E269" s="922" t="s">
        <v>387</v>
      </c>
      <c r="I269" s="391"/>
    </row>
    <row r="270" spans="1:9">
      <c r="D270" s="348"/>
      <c r="E270" s="348"/>
      <c r="F270" s="348"/>
      <c r="I270" s="391"/>
    </row>
    <row r="271" spans="1:9" ht="14.45" customHeight="1">
      <c r="A271" s="385"/>
      <c r="B271" s="386" t="s">
        <v>316</v>
      </c>
      <c r="D271" s="1268" t="s">
        <v>388</v>
      </c>
      <c r="E271" s="1268"/>
      <c r="F271" s="1268"/>
      <c r="I271" s="391"/>
    </row>
    <row r="272" spans="1:9">
      <c r="D272" s="1268"/>
      <c r="E272" s="1268"/>
      <c r="F272" s="1268"/>
      <c r="I272" s="391"/>
    </row>
    <row r="273" spans="1:9">
      <c r="D273" s="1268"/>
      <c r="E273" s="1268"/>
      <c r="F273" s="1268"/>
      <c r="I273" s="391"/>
    </row>
    <row r="274" spans="1:9">
      <c r="D274" s="1268"/>
      <c r="E274" s="1268"/>
      <c r="F274" s="1268"/>
      <c r="I274" s="391"/>
    </row>
    <row r="275" spans="1:9">
      <c r="D275" s="1268"/>
      <c r="E275" s="1268"/>
      <c r="F275" s="1268"/>
      <c r="I275" s="391"/>
    </row>
    <row r="276" spans="1:9">
      <c r="D276" s="1268"/>
      <c r="E276" s="1268"/>
      <c r="F276" s="1268"/>
      <c r="I276" s="391"/>
    </row>
    <row r="277" spans="1:9">
      <c r="D277" s="348"/>
      <c r="E277" s="348"/>
      <c r="F277" s="348"/>
      <c r="I277" s="391"/>
    </row>
    <row r="278" spans="1:9" ht="14.25">
      <c r="A278" s="385"/>
      <c r="B278" s="386" t="s">
        <v>316</v>
      </c>
      <c r="D278" s="1268" t="s">
        <v>389</v>
      </c>
      <c r="E278" s="1268"/>
      <c r="F278" s="1268"/>
      <c r="I278" s="391"/>
    </row>
    <row r="279" spans="1:9">
      <c r="D279" s="1268"/>
      <c r="E279" s="1268"/>
      <c r="F279" s="1268"/>
      <c r="I279" s="391"/>
    </row>
    <row r="280" spans="1:9">
      <c r="D280" s="1268"/>
      <c r="E280" s="1268"/>
      <c r="F280" s="1268"/>
      <c r="I280" s="391"/>
    </row>
    <row r="281" spans="1:9">
      <c r="D281" s="393"/>
      <c r="E281" s="348"/>
      <c r="F281" s="348"/>
      <c r="I281" s="391"/>
    </row>
    <row r="282" spans="1:9">
      <c r="A282" s="1269" t="s">
        <v>390</v>
      </c>
      <c r="B282" s="1269"/>
      <c r="C282" s="1269"/>
      <c r="D282" s="1269"/>
      <c r="E282" s="1269"/>
      <c r="F282" s="1269"/>
      <c r="G282" s="1269"/>
      <c r="H282" s="914"/>
      <c r="I282" s="1036"/>
    </row>
    <row r="283" spans="1:9">
      <c r="D283" s="393"/>
      <c r="E283" s="348"/>
      <c r="F283" s="348"/>
      <c r="I283" s="391"/>
    </row>
    <row r="284" spans="1:9">
      <c r="C284" s="383"/>
      <c r="D284" s="1288" t="s">
        <v>391</v>
      </c>
      <c r="E284" s="1288"/>
      <c r="F284" s="1288"/>
      <c r="I284" s="391"/>
    </row>
    <row r="285" spans="1:9">
      <c r="C285" s="383"/>
      <c r="D285" s="1288"/>
      <c r="E285" s="1288"/>
      <c r="F285" s="1288"/>
      <c r="I285" s="391"/>
    </row>
    <row r="286" spans="1:9">
      <c r="A286" s="384"/>
      <c r="B286" s="384"/>
      <c r="C286" s="384"/>
      <c r="D286" s="307"/>
      <c r="I286" s="391"/>
    </row>
    <row r="287" spans="1:9">
      <c r="C287" s="384"/>
      <c r="D287" s="1271" t="s">
        <v>392</v>
      </c>
      <c r="E287" s="1271"/>
      <c r="F287" s="1271"/>
      <c r="I287" s="391"/>
    </row>
    <row r="288" spans="1:9" ht="15.75" customHeight="1">
      <c r="A288" s="385"/>
      <c r="B288" s="385"/>
      <c r="D288" s="1297" t="s">
        <v>393</v>
      </c>
      <c r="E288" s="1297"/>
      <c r="F288" s="1297"/>
      <c r="I288" s="391"/>
    </row>
    <row r="289" spans="1:9">
      <c r="E289" s="348"/>
      <c r="F289" s="348"/>
      <c r="I289" s="391"/>
    </row>
    <row r="290" spans="1:9" ht="14.25">
      <c r="A290" s="385"/>
      <c r="B290" s="386" t="s">
        <v>311</v>
      </c>
      <c r="D290" s="1268" t="s">
        <v>394</v>
      </c>
      <c r="E290" s="1268"/>
      <c r="F290" s="1268"/>
      <c r="I290" s="391"/>
    </row>
    <row r="291" spans="1:9" ht="14.25">
      <c r="A291" s="385"/>
      <c r="B291" s="385"/>
      <c r="D291" s="1268"/>
      <c r="E291" s="1268"/>
      <c r="F291" s="1268"/>
      <c r="I291" s="391"/>
    </row>
    <row r="292" spans="1:9">
      <c r="D292" s="348"/>
      <c r="E292" s="348"/>
      <c r="F292" s="348"/>
      <c r="I292" s="391"/>
    </row>
    <row r="293" spans="1:9" ht="14.25">
      <c r="A293" s="385"/>
      <c r="B293" s="386" t="s">
        <v>311</v>
      </c>
      <c r="D293" s="1268" t="s">
        <v>395</v>
      </c>
      <c r="E293" s="1268"/>
      <c r="F293" s="1268"/>
      <c r="I293" s="391"/>
    </row>
    <row r="294" spans="1:9" ht="14.25">
      <c r="A294" s="385"/>
      <c r="B294" s="385"/>
      <c r="D294" s="1268"/>
      <c r="E294" s="1268"/>
      <c r="F294" s="1268"/>
      <c r="I294" s="391"/>
    </row>
    <row r="295" spans="1:9" ht="14.25">
      <c r="A295" s="385"/>
      <c r="B295" s="385"/>
      <c r="D295" s="1268"/>
      <c r="E295" s="1268"/>
      <c r="F295" s="1268"/>
      <c r="I295" s="391"/>
    </row>
    <row r="296" spans="1:9">
      <c r="D296" s="348"/>
      <c r="E296" s="348"/>
      <c r="F296" s="348"/>
      <c r="I296" s="391"/>
    </row>
    <row r="297" spans="1:9" ht="14.25">
      <c r="A297" s="385"/>
      <c r="B297" s="386" t="s">
        <v>316</v>
      </c>
      <c r="D297" s="1268" t="s">
        <v>396</v>
      </c>
      <c r="E297" s="1268"/>
      <c r="F297" s="1268"/>
      <c r="I297" s="391"/>
    </row>
    <row r="298" spans="1:9" ht="14.25">
      <c r="A298" s="385"/>
      <c r="B298" s="385"/>
      <c r="D298" s="1268"/>
      <c r="E298" s="1268"/>
      <c r="F298" s="1268"/>
      <c r="I298" s="391"/>
    </row>
    <row r="299" spans="1:9">
      <c r="A299" s="391"/>
      <c r="B299" s="391"/>
      <c r="E299" s="348"/>
      <c r="F299" s="348"/>
      <c r="I299" s="391"/>
    </row>
    <row r="300" spans="1:9">
      <c r="A300" s="1269" t="s">
        <v>397</v>
      </c>
      <c r="B300" s="1269"/>
      <c r="C300" s="1269"/>
      <c r="D300" s="1269"/>
      <c r="E300" s="1269"/>
      <c r="F300" s="1269"/>
      <c r="G300" s="1269"/>
      <c r="H300" s="914"/>
      <c r="I300" s="1036"/>
    </row>
    <row r="301" spans="1:9">
      <c r="A301" s="391"/>
      <c r="B301" s="391"/>
      <c r="D301" s="348"/>
      <c r="E301" s="348"/>
      <c r="F301" s="348"/>
      <c r="I301" s="391"/>
    </row>
    <row r="302" spans="1:9">
      <c r="C302" s="391"/>
      <c r="D302" s="1271" t="s">
        <v>398</v>
      </c>
      <c r="E302" s="1271"/>
      <c r="F302" s="1271"/>
      <c r="I302" s="391"/>
    </row>
    <row r="303" spans="1:9">
      <c r="C303" s="391"/>
      <c r="D303" s="1270" t="s">
        <v>399</v>
      </c>
      <c r="E303" s="1270"/>
      <c r="F303" s="1270"/>
      <c r="I303" s="391"/>
    </row>
    <row r="304" spans="1:9">
      <c r="C304" s="391"/>
      <c r="D304" s="394"/>
      <c r="I304" s="391"/>
    </row>
    <row r="305" spans="1:9">
      <c r="B305" s="386" t="s">
        <v>311</v>
      </c>
      <c r="D305" s="1270" t="s">
        <v>400</v>
      </c>
      <c r="E305" s="1270"/>
      <c r="F305" s="1270"/>
      <c r="I305" s="391"/>
    </row>
    <row r="306" spans="1:9" ht="14.25">
      <c r="A306" s="385"/>
      <c r="B306" s="385"/>
      <c r="D306" s="395"/>
      <c r="E306" s="396"/>
      <c r="F306" s="396"/>
      <c r="I306" s="391"/>
    </row>
    <row r="307" spans="1:9" ht="13.7" customHeight="1">
      <c r="B307" s="386" t="s">
        <v>316</v>
      </c>
      <c r="D307" s="1281" t="s">
        <v>401</v>
      </c>
      <c r="E307" s="1281"/>
      <c r="F307" s="1281"/>
      <c r="I307" s="391"/>
    </row>
    <row r="308" spans="1:9" ht="14.25">
      <c r="A308" s="385"/>
      <c r="B308" s="385"/>
      <c r="D308" s="1281"/>
      <c r="E308" s="1281"/>
      <c r="F308" s="1281"/>
      <c r="I308" s="391"/>
    </row>
    <row r="309" spans="1:9" ht="14.25">
      <c r="A309" s="385"/>
      <c r="B309" s="385"/>
      <c r="D309" s="1281"/>
      <c r="E309" s="1281"/>
      <c r="F309" s="1281"/>
      <c r="I309" s="391"/>
    </row>
    <row r="310" spans="1:9" ht="14.25">
      <c r="A310" s="385"/>
      <c r="B310" s="385"/>
      <c r="D310" s="1281"/>
      <c r="E310" s="1281"/>
      <c r="F310" s="1281"/>
      <c r="I310" s="391"/>
    </row>
    <row r="311" spans="1:9" ht="14.25">
      <c r="A311" s="385"/>
      <c r="B311" s="385"/>
      <c r="D311" s="1281"/>
      <c r="E311" s="1281"/>
      <c r="F311" s="1281"/>
      <c r="I311" s="391"/>
    </row>
    <row r="312" spans="1:9" ht="14.25">
      <c r="A312" s="385"/>
      <c r="B312" s="385"/>
      <c r="D312" s="395"/>
      <c r="E312" s="396"/>
      <c r="F312" s="396"/>
      <c r="I312" s="391"/>
    </row>
    <row r="313" spans="1:9" ht="13.7" customHeight="1">
      <c r="B313" s="386" t="s">
        <v>316</v>
      </c>
      <c r="D313" s="1281" t="s">
        <v>402</v>
      </c>
      <c r="E313" s="1281"/>
      <c r="F313" s="1281"/>
      <c r="I313" s="391"/>
    </row>
    <row r="314" spans="1:9">
      <c r="D314" s="1281"/>
      <c r="E314" s="1281"/>
      <c r="F314" s="1281"/>
      <c r="I314" s="391"/>
    </row>
    <row r="315" spans="1:9" ht="14.25">
      <c r="A315" s="385"/>
      <c r="B315" s="385"/>
      <c r="D315" s="395"/>
      <c r="E315" s="396"/>
      <c r="F315" s="396"/>
      <c r="I315" s="391"/>
    </row>
    <row r="316" spans="1:9">
      <c r="B316" s="386" t="s">
        <v>316</v>
      </c>
      <c r="D316" s="1270" t="s">
        <v>403</v>
      </c>
      <c r="E316" s="1270"/>
      <c r="F316" s="1270"/>
      <c r="I316" s="391"/>
    </row>
    <row r="317" spans="1:9">
      <c r="E317" s="348"/>
      <c r="F317" s="348"/>
      <c r="I317" s="391"/>
    </row>
    <row r="318" spans="1:9" ht="14.25">
      <c r="A318" s="385"/>
      <c r="B318" s="386" t="s">
        <v>311</v>
      </c>
      <c r="D318" s="1268" t="s">
        <v>404</v>
      </c>
      <c r="E318" s="1268"/>
      <c r="F318" s="1268"/>
      <c r="I318" s="391"/>
    </row>
    <row r="319" spans="1:9" ht="14.25">
      <c r="A319" s="385"/>
      <c r="B319" s="385"/>
      <c r="D319" s="1268"/>
      <c r="E319" s="1268"/>
      <c r="F319" s="1268"/>
      <c r="I319" s="391"/>
    </row>
    <row r="320" spans="1:9" ht="14.25">
      <c r="A320" s="385"/>
      <c r="B320" s="385"/>
      <c r="D320" s="1268"/>
      <c r="E320" s="1268"/>
      <c r="F320" s="1268"/>
      <c r="I320" s="391"/>
    </row>
    <row r="321" spans="1:9" ht="14.25">
      <c r="A321" s="385"/>
      <c r="B321" s="385"/>
      <c r="D321" s="1268"/>
      <c r="E321" s="1268"/>
      <c r="F321" s="1268"/>
      <c r="I321" s="391"/>
    </row>
    <row r="322" spans="1:9" ht="14.25">
      <c r="A322" s="385"/>
      <c r="B322" s="385"/>
      <c r="D322" s="1268"/>
      <c r="E322" s="1268"/>
      <c r="F322" s="1268"/>
      <c r="I322" s="391"/>
    </row>
    <row r="323" spans="1:9" ht="14.25">
      <c r="A323" s="385"/>
      <c r="B323" s="385"/>
      <c r="D323" s="1268"/>
      <c r="E323" s="1268"/>
      <c r="F323" s="1268"/>
      <c r="I323" s="391"/>
    </row>
    <row r="324" spans="1:9" ht="14.25">
      <c r="A324" s="385"/>
      <c r="B324" s="385"/>
      <c r="D324" s="1268"/>
      <c r="E324" s="1268"/>
      <c r="F324" s="1268"/>
      <c r="I324" s="391"/>
    </row>
    <row r="325" spans="1:9" ht="14.25">
      <c r="A325" s="385"/>
      <c r="B325" s="385"/>
      <c r="D325" s="1268"/>
      <c r="E325" s="1268"/>
      <c r="F325" s="1268"/>
      <c r="I325" s="391"/>
    </row>
    <row r="326" spans="1:9" ht="14.25">
      <c r="A326" s="385"/>
      <c r="B326" s="385"/>
      <c r="D326" s="1268"/>
      <c r="E326" s="1268"/>
      <c r="F326" s="1268"/>
      <c r="I326" s="391"/>
    </row>
    <row r="327" spans="1:9" ht="14.25">
      <c r="A327" s="385"/>
      <c r="B327" s="385"/>
      <c r="D327" s="1268"/>
      <c r="E327" s="1268"/>
      <c r="F327" s="1268"/>
      <c r="I327" s="391"/>
    </row>
    <row r="328" spans="1:9" ht="14.25">
      <c r="A328" s="385"/>
      <c r="B328" s="385"/>
      <c r="D328" s="1268"/>
      <c r="E328" s="1268"/>
      <c r="F328" s="1268"/>
      <c r="I328" s="391"/>
    </row>
    <row r="329" spans="1:9" ht="14.25">
      <c r="A329" s="385"/>
      <c r="B329" s="385"/>
      <c r="D329" s="1268"/>
      <c r="E329" s="1268"/>
      <c r="F329" s="1268"/>
      <c r="I329" s="391"/>
    </row>
    <row r="330" spans="1:9" ht="14.25">
      <c r="A330" s="385"/>
      <c r="B330" s="385"/>
      <c r="D330" s="1268"/>
      <c r="E330" s="1268"/>
      <c r="F330" s="1268"/>
      <c r="I330" s="391"/>
    </row>
    <row r="331" spans="1:9" ht="14.25">
      <c r="A331" s="385"/>
      <c r="B331" s="385"/>
      <c r="D331" s="1268"/>
      <c r="E331" s="1268"/>
      <c r="F331" s="1268"/>
      <c r="I331" s="391"/>
    </row>
    <row r="332" spans="1:9" ht="14.25">
      <c r="A332" s="385"/>
      <c r="B332" s="385"/>
      <c r="D332" s="1268"/>
      <c r="E332" s="1268"/>
      <c r="F332" s="1268"/>
      <c r="I332" s="391"/>
    </row>
    <row r="333" spans="1:9">
      <c r="D333" s="348"/>
      <c r="E333" s="348"/>
      <c r="F333" s="348"/>
      <c r="I333" s="391"/>
    </row>
    <row r="334" spans="1:9" ht="14.25">
      <c r="A334" s="385"/>
      <c r="B334" s="386" t="s">
        <v>316</v>
      </c>
      <c r="D334" s="1268" t="s">
        <v>405</v>
      </c>
      <c r="E334" s="1268"/>
      <c r="F334" s="1268"/>
      <c r="I334" s="391"/>
    </row>
    <row r="335" spans="1:9">
      <c r="D335" s="1268"/>
      <c r="E335" s="1268"/>
      <c r="F335" s="1268"/>
      <c r="I335" s="391"/>
    </row>
    <row r="336" spans="1:9">
      <c r="D336" s="1268"/>
      <c r="E336" s="1268"/>
      <c r="F336" s="1268"/>
      <c r="I336" s="391"/>
    </row>
    <row r="337" spans="1:9">
      <c r="D337" s="1268"/>
      <c r="E337" s="1268"/>
      <c r="F337" s="1268"/>
      <c r="I337" s="391"/>
    </row>
    <row r="338" spans="1:9">
      <c r="D338" s="1268"/>
      <c r="E338" s="1268"/>
      <c r="F338" s="1268"/>
      <c r="I338" s="391"/>
    </row>
    <row r="339" spans="1:9">
      <c r="D339" s="1268"/>
      <c r="E339" s="1268"/>
      <c r="F339" s="1268"/>
      <c r="I339" s="391"/>
    </row>
    <row r="340" spans="1:9">
      <c r="D340" s="1268"/>
      <c r="E340" s="1268"/>
      <c r="F340" s="1268"/>
      <c r="I340" s="391"/>
    </row>
    <row r="341" spans="1:9">
      <c r="D341" s="1268"/>
      <c r="E341" s="1268"/>
      <c r="F341" s="1268"/>
      <c r="I341" s="391"/>
    </row>
    <row r="342" spans="1:9">
      <c r="D342" s="1268"/>
      <c r="E342" s="1268"/>
      <c r="F342" s="1268"/>
      <c r="I342" s="391"/>
    </row>
    <row r="343" spans="1:9">
      <c r="D343" s="348"/>
      <c r="E343" s="348"/>
      <c r="F343" s="348"/>
      <c r="I343" s="391"/>
    </row>
    <row r="344" spans="1:9" ht="14.25" customHeight="1">
      <c r="A344" s="385"/>
      <c r="B344" s="386" t="s">
        <v>311</v>
      </c>
      <c r="D344" s="1268" t="s">
        <v>406</v>
      </c>
      <c r="E344" s="1268"/>
      <c r="F344" s="1268"/>
      <c r="I344" s="391"/>
    </row>
    <row r="345" spans="1:9">
      <c r="D345" s="1268"/>
      <c r="E345" s="1268"/>
      <c r="F345" s="1268"/>
      <c r="I345" s="391"/>
    </row>
    <row r="346" spans="1:9">
      <c r="D346" s="1268"/>
      <c r="E346" s="1268"/>
      <c r="F346" s="1268"/>
      <c r="I346" s="391"/>
    </row>
    <row r="347" spans="1:9">
      <c r="D347" s="1268"/>
      <c r="E347" s="1268"/>
      <c r="F347" s="1268"/>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279" t="s">
        <v>408</v>
      </c>
      <c r="E351" s="1279"/>
      <c r="F351" s="1279"/>
      <c r="G351" s="913"/>
      <c r="H351" s="913"/>
      <c r="I351" s="1039"/>
    </row>
    <row r="352" spans="1:9" ht="13.5" thickTop="1">
      <c r="D352" s="1289" t="s">
        <v>409</v>
      </c>
      <c r="E352" s="1289"/>
      <c r="F352" s="1289"/>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270" t="s">
        <v>410</v>
      </c>
      <c r="E355" s="1270"/>
      <c r="F355" s="1270"/>
      <c r="I355" s="391"/>
    </row>
    <row r="356" spans="1:9" ht="12.75" customHeight="1">
      <c r="D356" s="923"/>
      <c r="E356" s="71" t="s">
        <v>411</v>
      </c>
      <c r="F356" s="923"/>
      <c r="I356" s="391"/>
    </row>
    <row r="357" spans="1:9">
      <c r="D357" s="1268" t="s">
        <v>412</v>
      </c>
      <c r="E357" s="1268"/>
      <c r="F357" s="1268"/>
      <c r="I357" s="391"/>
    </row>
    <row r="358" spans="1:9">
      <c r="D358" s="1268"/>
      <c r="E358" s="1268"/>
      <c r="F358" s="1268"/>
      <c r="I358" s="391"/>
    </row>
    <row r="359" spans="1:9">
      <c r="D359" s="1268"/>
      <c r="E359" s="1268"/>
      <c r="F359" s="1268"/>
      <c r="I359" s="391"/>
    </row>
    <row r="360" spans="1:9" ht="14.25">
      <c r="A360" s="385"/>
      <c r="B360" s="386" t="s">
        <v>316</v>
      </c>
      <c r="C360" s="377"/>
      <c r="D360" s="1278" t="s">
        <v>413</v>
      </c>
      <c r="E360" s="1278"/>
      <c r="F360" s="1278"/>
      <c r="I360" s="381"/>
    </row>
    <row r="361" spans="1:9">
      <c r="A361" s="377"/>
      <c r="B361" s="377"/>
      <c r="C361" s="377"/>
      <c r="D361" s="349"/>
      <c r="E361" s="349"/>
      <c r="F361" s="348"/>
      <c r="I361" s="391"/>
    </row>
    <row r="362" spans="1:9">
      <c r="A362" s="377"/>
      <c r="B362" s="386" t="s">
        <v>316</v>
      </c>
      <c r="C362" s="377"/>
      <c r="D362" s="1240" t="s">
        <v>414</v>
      </c>
      <c r="E362" s="1240"/>
      <c r="F362" s="1240"/>
      <c r="I362" s="391"/>
    </row>
    <row r="363" spans="1:9">
      <c r="A363" s="377"/>
      <c r="B363" s="377"/>
      <c r="C363" s="377"/>
      <c r="D363" s="1240"/>
      <c r="E363" s="1240"/>
      <c r="F363" s="1240"/>
      <c r="I363" s="391"/>
    </row>
    <row r="364" spans="1:9">
      <c r="A364" s="377"/>
      <c r="B364" s="377"/>
      <c r="C364" s="377"/>
      <c r="D364" s="1240"/>
      <c r="E364" s="1240"/>
      <c r="F364" s="1240"/>
      <c r="I364" s="391"/>
    </row>
    <row r="365" spans="1:9">
      <c r="A365" s="377"/>
      <c r="B365" s="377"/>
      <c r="C365" s="377"/>
      <c r="D365" s="1240"/>
      <c r="E365" s="1240"/>
      <c r="F365" s="1240"/>
      <c r="I365" s="391"/>
    </row>
    <row r="366" spans="1:9">
      <c r="A366" s="377"/>
      <c r="B366" s="377"/>
      <c r="C366" s="377"/>
      <c r="D366" s="1240"/>
      <c r="E366" s="1240"/>
      <c r="F366" s="1240"/>
      <c r="I366" s="391"/>
    </row>
    <row r="367" spans="1:9">
      <c r="A367" s="377"/>
      <c r="B367" s="377"/>
      <c r="C367" s="377"/>
      <c r="D367" s="1240"/>
      <c r="E367" s="1240"/>
      <c r="F367" s="1240"/>
      <c r="I367" s="391"/>
    </row>
    <row r="368" spans="1:9">
      <c r="A368" s="377"/>
      <c r="B368" s="377"/>
      <c r="C368" s="377"/>
      <c r="D368" s="1240"/>
      <c r="E368" s="1240"/>
      <c r="F368" s="1240"/>
      <c r="I368" s="391"/>
    </row>
    <row r="369" spans="1:9">
      <c r="A369" s="377"/>
      <c r="B369" s="377"/>
      <c r="C369" s="377"/>
      <c r="D369" s="1240"/>
      <c r="E369" s="1240"/>
      <c r="F369" s="1240"/>
      <c r="I369" s="391"/>
    </row>
    <row r="370" spans="1:9">
      <c r="A370" s="377"/>
      <c r="B370" s="377"/>
      <c r="C370" s="377"/>
      <c r="D370" s="1240"/>
      <c r="E370" s="1240"/>
      <c r="F370" s="1240"/>
      <c r="I370" s="391"/>
    </row>
    <row r="371" spans="1:9">
      <c r="A371" s="377"/>
      <c r="B371" s="377"/>
      <c r="C371" s="377"/>
      <c r="D371" s="1240"/>
      <c r="E371" s="1240"/>
      <c r="F371" s="1240"/>
      <c r="I371" s="391"/>
    </row>
    <row r="372" spans="1:9">
      <c r="A372" s="377"/>
      <c r="B372" s="377"/>
      <c r="C372" s="377"/>
      <c r="D372" s="1240"/>
      <c r="E372" s="1240"/>
      <c r="F372" s="1240"/>
      <c r="I372" s="391"/>
    </row>
    <row r="373" spans="1:9">
      <c r="A373" s="377"/>
      <c r="B373" s="377"/>
      <c r="C373" s="377"/>
      <c r="D373" s="1240"/>
      <c r="E373" s="1240"/>
      <c r="F373" s="1240"/>
      <c r="I373" s="391"/>
    </row>
    <row r="374" spans="1:9">
      <c r="A374" s="377"/>
      <c r="B374" s="377"/>
      <c r="C374" s="377"/>
      <c r="D374" s="353"/>
      <c r="E374" s="353"/>
      <c r="F374" s="353"/>
      <c r="I374" s="391"/>
    </row>
    <row r="375" spans="1:9" ht="12.4" customHeight="1">
      <c r="A375" s="377"/>
      <c r="B375" s="386" t="s">
        <v>316</v>
      </c>
      <c r="C375" s="377"/>
      <c r="D375" s="1248" t="s">
        <v>415</v>
      </c>
      <c r="E375" s="1248"/>
      <c r="F375" s="1248"/>
      <c r="I375" s="391"/>
    </row>
    <row r="376" spans="1:9">
      <c r="A376" s="377"/>
      <c r="B376" s="377"/>
      <c r="C376" s="377"/>
      <c r="D376" s="1248"/>
      <c r="E376" s="1248"/>
      <c r="F376" s="1248"/>
      <c r="I376" s="391"/>
    </row>
    <row r="377" spans="1:9">
      <c r="A377" s="377"/>
      <c r="B377" s="377"/>
      <c r="C377" s="377"/>
      <c r="D377" s="1248"/>
      <c r="E377" s="1248"/>
      <c r="F377" s="1248"/>
      <c r="I377" s="391"/>
    </row>
    <row r="378" spans="1:9">
      <c r="A378" s="377"/>
      <c r="B378" s="377"/>
      <c r="C378" s="377"/>
      <c r="D378" s="1248"/>
      <c r="E378" s="1248"/>
      <c r="F378" s="1248"/>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ht="14.25">
      <c r="A387" s="385"/>
      <c r="B387" s="386" t="s">
        <v>316</v>
      </c>
      <c r="C387" s="377"/>
      <c r="D387" s="1240" t="s">
        <v>422</v>
      </c>
      <c r="E387" s="1240"/>
      <c r="F387" s="1240"/>
      <c r="I387" s="391"/>
    </row>
    <row r="388" spans="1:9">
      <c r="A388" s="377"/>
      <c r="B388" s="377"/>
      <c r="C388" s="377"/>
      <c r="D388" s="1240"/>
      <c r="E388" s="1240"/>
      <c r="F388" s="1240"/>
      <c r="I388" s="391"/>
    </row>
    <row r="389" spans="1:9">
      <c r="A389" s="377"/>
      <c r="B389" s="377"/>
      <c r="C389" s="377"/>
      <c r="D389" s="1240"/>
      <c r="E389" s="1240"/>
      <c r="F389" s="1240"/>
      <c r="I389" s="391"/>
    </row>
    <row r="390" spans="1:9">
      <c r="A390" s="377"/>
      <c r="B390" s="377"/>
      <c r="C390" s="377"/>
      <c r="D390" s="1240"/>
      <c r="E390" s="1240"/>
      <c r="F390" s="1240"/>
      <c r="I390" s="391"/>
    </row>
    <row r="391" spans="1:9">
      <c r="A391" s="377"/>
      <c r="B391" s="377"/>
      <c r="C391" s="377"/>
      <c r="D391" s="349"/>
      <c r="E391" s="349"/>
      <c r="F391" s="348"/>
      <c r="I391" s="391"/>
    </row>
    <row r="392" spans="1:9">
      <c r="A392" s="377"/>
      <c r="B392" s="377"/>
      <c r="C392" s="377"/>
      <c r="D392" s="1240" t="s">
        <v>423</v>
      </c>
      <c r="E392" s="1240"/>
      <c r="F392" s="1240"/>
      <c r="I392" s="391"/>
    </row>
    <row r="393" spans="1:9">
      <c r="A393" s="377"/>
      <c r="B393" s="377"/>
      <c r="C393" s="377"/>
      <c r="D393" s="1240"/>
      <c r="E393" s="1240"/>
      <c r="F393" s="1240"/>
      <c r="I393" s="391"/>
    </row>
    <row r="394" spans="1:9">
      <c r="A394" s="377"/>
      <c r="B394" s="377"/>
      <c r="C394" s="377"/>
      <c r="D394" s="1240"/>
      <c r="E394" s="1240"/>
      <c r="F394" s="1240"/>
      <c r="I394" s="391"/>
    </row>
    <row r="395" spans="1:9">
      <c r="A395" s="377"/>
      <c r="B395" s="377"/>
      <c r="C395" s="377"/>
      <c r="D395" s="1240"/>
      <c r="E395" s="1240"/>
      <c r="F395" s="1240"/>
      <c r="I395" s="391"/>
    </row>
    <row r="396" spans="1:9" ht="18" customHeight="1">
      <c r="A396" s="377"/>
      <c r="B396" s="377"/>
      <c r="C396" s="377"/>
      <c r="D396" s="1240"/>
      <c r="E396" s="1240"/>
      <c r="F396" s="1240"/>
      <c r="I396" s="391"/>
    </row>
    <row r="397" spans="1:9">
      <c r="A397" s="377"/>
      <c r="B397" s="377"/>
      <c r="C397" s="377"/>
      <c r="D397" s="1240"/>
      <c r="E397" s="1240"/>
      <c r="F397" s="1240"/>
      <c r="I397" s="391"/>
    </row>
    <row r="398" spans="1:9">
      <c r="A398" s="377"/>
      <c r="B398" s="377"/>
      <c r="C398" s="377"/>
      <c r="D398" s="1240"/>
      <c r="E398" s="1240"/>
      <c r="F398" s="1240"/>
      <c r="I398" s="391"/>
    </row>
    <row r="399" spans="1:9">
      <c r="A399" s="377"/>
      <c r="B399" s="377"/>
      <c r="C399" s="377"/>
      <c r="D399" s="1240"/>
      <c r="E399" s="1240"/>
      <c r="F399" s="1240"/>
      <c r="I399" s="391"/>
    </row>
    <row r="400" spans="1:9" ht="8.25" customHeight="1">
      <c r="A400" s="377"/>
      <c r="B400" s="377"/>
      <c r="C400" s="377"/>
      <c r="D400" s="1240"/>
      <c r="E400" s="1240"/>
      <c r="F400" s="1240"/>
      <c r="I400" s="391"/>
    </row>
    <row r="401" spans="1:9" ht="13.7" customHeight="1">
      <c r="A401" s="377"/>
      <c r="B401" s="377"/>
      <c r="C401" s="377"/>
      <c r="D401" s="1240" t="s">
        <v>424</v>
      </c>
      <c r="E401" s="1240"/>
      <c r="F401" s="1240"/>
      <c r="I401" s="391"/>
    </row>
    <row r="402" spans="1:9">
      <c r="A402" s="377"/>
      <c r="B402" s="377"/>
      <c r="C402" s="377"/>
      <c r="D402" s="1240"/>
      <c r="E402" s="1240"/>
      <c r="F402" s="1240"/>
      <c r="I402" s="391"/>
    </row>
    <row r="403" spans="1:9">
      <c r="A403" s="377"/>
      <c r="B403" s="377"/>
      <c r="C403" s="377"/>
      <c r="D403" s="1240"/>
      <c r="E403" s="1240"/>
      <c r="F403" s="1240"/>
      <c r="I403" s="391"/>
    </row>
    <row r="404" spans="1:9">
      <c r="A404" s="377"/>
      <c r="B404" s="377"/>
      <c r="C404" s="377"/>
      <c r="D404" s="1240"/>
      <c r="E404" s="1240"/>
      <c r="F404" s="1240"/>
      <c r="I404" s="391"/>
    </row>
    <row r="405" spans="1:9">
      <c r="A405" s="377"/>
      <c r="B405" s="377"/>
      <c r="C405" s="377"/>
      <c r="D405" s="1240"/>
      <c r="E405" s="1240"/>
      <c r="F405" s="1240"/>
      <c r="I405" s="391"/>
    </row>
    <row r="406" spans="1:9">
      <c r="A406" s="377"/>
      <c r="B406" s="377"/>
      <c r="C406" s="377"/>
      <c r="D406" s="1240"/>
      <c r="E406" s="1240"/>
      <c r="F406" s="1240"/>
      <c r="I406" s="391"/>
    </row>
    <row r="407" spans="1:9">
      <c r="A407" s="377"/>
      <c r="B407" s="377"/>
      <c r="C407" s="377"/>
      <c r="D407" s="1240"/>
      <c r="E407" s="1240"/>
      <c r="F407" s="1240"/>
      <c r="I407" s="391"/>
    </row>
    <row r="408" spans="1:9">
      <c r="A408" s="377"/>
      <c r="B408" s="377"/>
      <c r="C408" s="377"/>
      <c r="D408" s="1240"/>
      <c r="E408" s="1240"/>
      <c r="F408" s="1240"/>
      <c r="I408" s="391"/>
    </row>
    <row r="409" spans="1:9">
      <c r="A409" s="377"/>
      <c r="B409" s="377"/>
      <c r="C409" s="377"/>
      <c r="D409" s="1240"/>
      <c r="E409" s="1240"/>
      <c r="F409" s="1240"/>
      <c r="I409" s="391"/>
    </row>
    <row r="410" spans="1:9">
      <c r="A410" s="377"/>
      <c r="B410" s="377"/>
      <c r="C410" s="377"/>
      <c r="D410" s="1240"/>
      <c r="E410" s="1240"/>
      <c r="F410" s="1240"/>
      <c r="I410" s="391"/>
    </row>
    <row r="411" spans="1:9">
      <c r="A411" s="377"/>
      <c r="B411" s="377"/>
      <c r="C411" s="377"/>
      <c r="D411" s="1240"/>
      <c r="E411" s="1240"/>
      <c r="F411" s="1240"/>
      <c r="I411" s="391"/>
    </row>
    <row r="412" spans="1:9">
      <c r="A412" s="377"/>
      <c r="B412" s="377"/>
      <c r="C412" s="377"/>
      <c r="D412" s="1240"/>
      <c r="E412" s="1240"/>
      <c r="F412" s="1240"/>
      <c r="I412" s="391"/>
    </row>
    <row r="413" spans="1:9">
      <c r="A413" s="377"/>
      <c r="B413" s="377"/>
      <c r="C413" s="397"/>
      <c r="D413" s="1240"/>
      <c r="E413" s="1240"/>
      <c r="F413" s="1240"/>
      <c r="I413" s="391"/>
    </row>
    <row r="414" spans="1:9">
      <c r="A414" s="377"/>
      <c r="B414" s="377"/>
      <c r="C414" s="397"/>
      <c r="D414" s="1240"/>
      <c r="E414" s="1240"/>
      <c r="F414" s="1240"/>
      <c r="I414" s="391"/>
    </row>
    <row r="415" spans="1:9">
      <c r="A415" s="377"/>
      <c r="B415" s="377"/>
      <c r="C415" s="377"/>
      <c r="D415" s="1240"/>
      <c r="E415" s="1240"/>
      <c r="F415" s="1240"/>
      <c r="I415" s="391"/>
    </row>
    <row r="416" spans="1:9">
      <c r="A416" s="377"/>
      <c r="B416" s="377"/>
      <c r="C416" s="397"/>
      <c r="D416" s="1240"/>
      <c r="E416" s="1240"/>
      <c r="F416" s="1240"/>
      <c r="I416" s="391"/>
    </row>
    <row r="417" spans="1:9">
      <c r="A417" s="377"/>
      <c r="B417" s="377"/>
      <c r="C417" s="397"/>
      <c r="D417" s="1240"/>
      <c r="E417" s="1240"/>
      <c r="F417" s="1240"/>
      <c r="I417" s="391"/>
    </row>
    <row r="418" spans="1:9">
      <c r="A418" s="377"/>
      <c r="B418" s="377"/>
      <c r="C418" s="397"/>
      <c r="D418" s="1240"/>
      <c r="E418" s="1240"/>
      <c r="F418" s="1240"/>
      <c r="I418" s="391"/>
    </row>
    <row r="419" spans="1:9">
      <c r="A419" s="377"/>
      <c r="B419" s="377"/>
      <c r="C419" s="377"/>
      <c r="D419" s="349"/>
      <c r="E419" s="349"/>
      <c r="F419" s="348"/>
      <c r="I419" s="391"/>
    </row>
    <row r="420" spans="1:9">
      <c r="A420" s="377"/>
      <c r="B420" s="386" t="s">
        <v>316</v>
      </c>
      <c r="C420" s="377"/>
      <c r="D420" s="1240" t="s">
        <v>425</v>
      </c>
      <c r="E420" s="1240"/>
      <c r="F420" s="1240"/>
      <c r="I420" s="391"/>
    </row>
    <row r="421" spans="1:9">
      <c r="A421" s="377"/>
      <c r="B421" s="377"/>
      <c r="C421" s="377"/>
      <c r="D421" s="1240"/>
      <c r="E421" s="1240"/>
      <c r="F421" s="1240"/>
      <c r="I421" s="391"/>
    </row>
    <row r="422" spans="1:9">
      <c r="A422" s="377"/>
      <c r="B422" s="377"/>
      <c r="C422" s="377"/>
      <c r="D422" s="353"/>
      <c r="E422" s="353"/>
      <c r="F422" s="353"/>
      <c r="I422" s="391"/>
    </row>
    <row r="423" spans="1:9" ht="14.45" customHeight="1">
      <c r="A423" s="385"/>
      <c r="B423" s="386" t="s">
        <v>316</v>
      </c>
      <c r="D423" s="1240" t="s">
        <v>426</v>
      </c>
      <c r="E423" s="1240"/>
      <c r="F423" s="1240"/>
      <c r="I423" s="391"/>
    </row>
    <row r="424" spans="1:9" ht="14.45" customHeight="1">
      <c r="A424" s="385"/>
      <c r="D424" s="1240"/>
      <c r="E424" s="1240"/>
      <c r="F424" s="1240"/>
      <c r="I424" s="391"/>
    </row>
    <row r="425" spans="1:9" ht="14.45" customHeight="1">
      <c r="A425" s="385"/>
      <c r="D425" s="1240"/>
      <c r="E425" s="1240"/>
      <c r="F425" s="1240"/>
      <c r="I425" s="391"/>
    </row>
    <row r="426" spans="1:9" ht="14.45" customHeight="1">
      <c r="A426" s="385"/>
      <c r="D426" s="1240"/>
      <c r="E426" s="1240"/>
      <c r="F426" s="1240"/>
      <c r="I426" s="391"/>
    </row>
    <row r="427" spans="1:9" ht="14.45" customHeight="1">
      <c r="A427" s="385"/>
      <c r="D427" s="1240"/>
      <c r="E427" s="1240"/>
      <c r="F427" s="1240"/>
      <c r="I427" s="391"/>
    </row>
    <row r="428" spans="1:9" ht="14.45" customHeight="1">
      <c r="A428" s="385"/>
      <c r="D428" s="288"/>
      <c r="E428" s="288"/>
      <c r="F428" s="288"/>
      <c r="I428" s="391"/>
    </row>
    <row r="429" spans="1:9" ht="13.7" customHeight="1">
      <c r="A429" s="385"/>
      <c r="B429" s="386" t="s">
        <v>316</v>
      </c>
      <c r="C429" s="377"/>
      <c r="D429" s="1240" t="s">
        <v>427</v>
      </c>
      <c r="E429" s="1240"/>
      <c r="F429" s="1240"/>
      <c r="I429" s="391"/>
    </row>
    <row r="430" spans="1:9" ht="14.25">
      <c r="A430" s="398"/>
      <c r="B430" s="398"/>
      <c r="C430" s="377"/>
      <c r="D430" s="1240"/>
      <c r="E430" s="1240"/>
      <c r="F430" s="1240"/>
      <c r="I430" s="391"/>
    </row>
    <row r="431" spans="1:9" ht="14.25">
      <c r="A431" s="398"/>
      <c r="B431" s="398"/>
      <c r="C431" s="377"/>
      <c r="D431" s="1240"/>
      <c r="E431" s="1240"/>
      <c r="F431" s="1240"/>
      <c r="I431" s="391"/>
    </row>
    <row r="432" spans="1:9" ht="14.25">
      <c r="A432" s="398"/>
      <c r="B432" s="398"/>
      <c r="C432" s="377"/>
      <c r="D432" s="1240"/>
      <c r="E432" s="1240"/>
      <c r="F432" s="1240"/>
      <c r="I432" s="391"/>
    </row>
    <row r="433" spans="1:9" ht="15.75" customHeight="1">
      <c r="A433" s="398"/>
      <c r="B433" s="398"/>
      <c r="C433" s="377"/>
      <c r="D433" s="1299" t="s">
        <v>428</v>
      </c>
      <c r="E433" s="1240"/>
      <c r="F433" s="1240"/>
      <c r="I433" s="391"/>
    </row>
    <row r="434" spans="1:9">
      <c r="D434" s="348"/>
      <c r="E434" s="348"/>
      <c r="F434" s="348"/>
      <c r="I434" s="391"/>
    </row>
    <row r="435" spans="1:9" ht="14.25">
      <c r="A435" s="385"/>
      <c r="B435" s="386" t="s">
        <v>316</v>
      </c>
      <c r="C435" s="388"/>
      <c r="D435" s="1268" t="s">
        <v>429</v>
      </c>
      <c r="E435" s="1268"/>
      <c r="F435" s="1268"/>
      <c r="I435" s="391"/>
    </row>
    <row r="436" spans="1:9" ht="14.25">
      <c r="A436" s="385"/>
      <c r="B436" s="385"/>
      <c r="D436" s="1268"/>
      <c r="E436" s="1268"/>
      <c r="F436" s="1268"/>
      <c r="I436" s="391"/>
    </row>
    <row r="437" spans="1:9">
      <c r="D437" s="1268"/>
      <c r="E437" s="1268"/>
      <c r="F437" s="1268"/>
      <c r="I437" s="391"/>
    </row>
    <row r="438" spans="1:9">
      <c r="D438" s="1268"/>
      <c r="E438" s="1268"/>
      <c r="F438" s="1268"/>
      <c r="I438" s="391"/>
    </row>
    <row r="439" spans="1:9">
      <c r="D439" s="1268"/>
      <c r="E439" s="1268"/>
      <c r="F439" s="1268"/>
      <c r="I439" s="391"/>
    </row>
    <row r="440" spans="1:9">
      <c r="D440" s="1268"/>
      <c r="E440" s="1268"/>
      <c r="F440" s="1268"/>
      <c r="I440" s="391"/>
    </row>
    <row r="441" spans="1:9">
      <c r="D441" s="1268"/>
      <c r="E441" s="1268"/>
      <c r="F441" s="1268"/>
      <c r="I441" s="391"/>
    </row>
    <row r="442" spans="1:9">
      <c r="D442" s="1268"/>
      <c r="E442" s="1268"/>
      <c r="F442" s="1268"/>
      <c r="I442" s="391"/>
    </row>
    <row r="443" spans="1:9">
      <c r="D443" s="1268"/>
      <c r="E443" s="1268"/>
      <c r="F443" s="1268"/>
      <c r="I443" s="391"/>
    </row>
    <row r="444" spans="1:9">
      <c r="D444" s="1268"/>
      <c r="E444" s="1268"/>
      <c r="F444" s="1268"/>
      <c r="I444" s="391"/>
    </row>
    <row r="445" spans="1:9">
      <c r="D445" s="1268"/>
      <c r="E445" s="1268"/>
      <c r="F445" s="1268"/>
      <c r="I445" s="391"/>
    </row>
    <row r="446" spans="1:9">
      <c r="D446" s="1268"/>
      <c r="E446" s="1268"/>
      <c r="F446" s="1268"/>
      <c r="I446" s="391"/>
    </row>
    <row r="447" spans="1:9">
      <c r="D447" s="1268"/>
      <c r="E447" s="1268"/>
      <c r="F447" s="1268"/>
      <c r="I447" s="391"/>
    </row>
    <row r="448" spans="1:9">
      <c r="A448" s="305"/>
      <c r="B448" s="305"/>
      <c r="C448" s="305"/>
      <c r="D448" s="1268"/>
      <c r="E448" s="1268"/>
      <c r="F448" s="1268"/>
      <c r="I448" s="391"/>
    </row>
    <row r="449" spans="1:9">
      <c r="A449" s="305"/>
      <c r="B449" s="305"/>
      <c r="C449" s="305"/>
      <c r="D449" s="1268"/>
      <c r="E449" s="1268"/>
      <c r="F449" s="1268"/>
      <c r="I449" s="391"/>
    </row>
    <row r="450" spans="1:9">
      <c r="A450" s="305"/>
      <c r="B450" s="305"/>
      <c r="C450" s="305"/>
      <c r="D450" s="1268"/>
      <c r="E450" s="1268"/>
      <c r="F450" s="1268"/>
      <c r="I450" s="391"/>
    </row>
    <row r="451" spans="1:9">
      <c r="A451" s="305"/>
      <c r="B451" s="305"/>
      <c r="C451" s="305"/>
      <c r="D451" s="1268"/>
      <c r="E451" s="1268"/>
      <c r="F451" s="1268"/>
      <c r="I451" s="391"/>
    </row>
    <row r="452" spans="1:9">
      <c r="A452" s="305"/>
      <c r="B452" s="305"/>
      <c r="C452" s="305"/>
      <c r="D452" s="1268"/>
      <c r="E452" s="1268"/>
      <c r="F452" s="1268"/>
      <c r="I452" s="391"/>
    </row>
    <row r="453" spans="1:9">
      <c r="A453" s="305"/>
      <c r="B453" s="305"/>
      <c r="C453" s="305"/>
      <c r="D453" s="1268"/>
      <c r="E453" s="1268"/>
      <c r="F453" s="1268"/>
      <c r="I453" s="391"/>
    </row>
    <row r="454" spans="1:9">
      <c r="A454" s="305"/>
      <c r="B454" s="305"/>
      <c r="C454" s="305"/>
      <c r="D454" s="1268"/>
      <c r="E454" s="1268"/>
      <c r="F454" s="1268"/>
      <c r="I454" s="391"/>
    </row>
    <row r="455" spans="1:9">
      <c r="A455" s="305"/>
      <c r="B455" s="305"/>
      <c r="C455" s="305"/>
      <c r="D455" s="1268"/>
      <c r="E455" s="1268"/>
      <c r="F455" s="1268"/>
      <c r="I455" s="391"/>
    </row>
    <row r="456" spans="1:9">
      <c r="A456" s="305"/>
      <c r="B456" s="305"/>
      <c r="C456" s="305"/>
      <c r="D456" s="1268"/>
      <c r="E456" s="1268"/>
      <c r="F456" s="1268"/>
      <c r="I456" s="391"/>
    </row>
    <row r="457" spans="1:9">
      <c r="A457" s="305"/>
      <c r="B457" s="305"/>
      <c r="C457" s="305"/>
      <c r="D457" s="1268"/>
      <c r="E457" s="1268"/>
      <c r="F457" s="1268"/>
      <c r="I457" s="391"/>
    </row>
    <row r="458" spans="1:9">
      <c r="A458" s="305"/>
      <c r="B458" s="305"/>
      <c r="C458" s="305"/>
      <c r="D458" s="1268"/>
      <c r="E458" s="1268"/>
      <c r="F458" s="1268"/>
      <c r="I458" s="391"/>
    </row>
    <row r="459" spans="1:9">
      <c r="A459" s="305"/>
      <c r="B459" s="305"/>
      <c r="C459" s="305"/>
      <c r="D459" s="1268"/>
      <c r="E459" s="1268"/>
      <c r="F459" s="1268"/>
      <c r="I459" s="391"/>
    </row>
    <row r="460" spans="1:9">
      <c r="A460" s="305"/>
      <c r="B460" s="305"/>
      <c r="C460" s="305"/>
      <c r="D460" s="1268"/>
      <c r="E460" s="1268"/>
      <c r="F460" s="1268"/>
      <c r="I460" s="391"/>
    </row>
    <row r="461" spans="1:9">
      <c r="A461" s="305"/>
      <c r="B461" s="305"/>
      <c r="C461" s="305"/>
      <c r="D461" s="1268"/>
      <c r="E461" s="1268"/>
      <c r="F461" s="1268"/>
      <c r="I461" s="391"/>
    </row>
    <row r="462" spans="1:9">
      <c r="A462" s="305"/>
      <c r="B462" s="305"/>
      <c r="C462" s="305"/>
      <c r="D462" s="1268"/>
      <c r="E462" s="1268"/>
      <c r="F462" s="1268"/>
      <c r="I462" s="391"/>
    </row>
    <row r="463" spans="1:9">
      <c r="A463" s="305"/>
      <c r="B463" s="305"/>
      <c r="C463" s="305"/>
      <c r="D463" s="1268"/>
      <c r="E463" s="1268"/>
      <c r="F463" s="1268"/>
      <c r="I463" s="391"/>
    </row>
    <row r="464" spans="1:9">
      <c r="D464" s="1268"/>
      <c r="E464" s="1268"/>
      <c r="F464" s="1268"/>
      <c r="I464" s="391"/>
    </row>
    <row r="465" spans="1:9" ht="40.700000000000003" customHeight="1">
      <c r="D465" s="1268"/>
      <c r="E465" s="1268"/>
      <c r="F465" s="1268"/>
      <c r="I465" s="391"/>
    </row>
    <row r="466" spans="1:9">
      <c r="D466" s="348"/>
      <c r="E466" s="348"/>
      <c r="F466" s="348"/>
      <c r="I466" s="391"/>
    </row>
    <row r="467" spans="1:9" ht="14.25">
      <c r="A467" s="385"/>
      <c r="B467" s="386" t="s">
        <v>316</v>
      </c>
      <c r="C467" s="388"/>
      <c r="D467" s="1268" t="s">
        <v>430</v>
      </c>
      <c r="E467" s="1268"/>
      <c r="F467" s="1268"/>
      <c r="I467" s="391"/>
    </row>
    <row r="468" spans="1:9">
      <c r="D468" s="1268"/>
      <c r="E468" s="1268"/>
      <c r="F468" s="1268"/>
      <c r="I468" s="391"/>
    </row>
    <row r="469" spans="1:9">
      <c r="D469" s="1268"/>
      <c r="E469" s="1268"/>
      <c r="F469" s="1268"/>
      <c r="I469" s="391"/>
    </row>
    <row r="470" spans="1:9">
      <c r="D470" s="347"/>
      <c r="E470" s="347"/>
      <c r="F470" s="347"/>
      <c r="I470" s="391"/>
    </row>
    <row r="471" spans="1:9" ht="14.25">
      <c r="B471" s="386" t="s">
        <v>316</v>
      </c>
      <c r="C471" s="385"/>
      <c r="D471" s="1268" t="s">
        <v>431</v>
      </c>
      <c r="E471" s="1268"/>
      <c r="F471" s="1268"/>
      <c r="I471" s="391"/>
    </row>
    <row r="472" spans="1:9">
      <c r="D472" s="1268"/>
      <c r="E472" s="1268"/>
      <c r="F472" s="1268"/>
      <c r="I472" s="391"/>
    </row>
    <row r="473" spans="1:9">
      <c r="D473" s="348"/>
      <c r="E473" s="348"/>
      <c r="F473" s="348"/>
      <c r="I473" s="391"/>
    </row>
    <row r="474" spans="1:9" ht="14.25">
      <c r="B474" s="386" t="s">
        <v>316</v>
      </c>
      <c r="C474" s="385"/>
      <c r="D474" s="1268" t="s">
        <v>432</v>
      </c>
      <c r="E474" s="1268"/>
      <c r="F474" s="1268"/>
      <c r="I474" s="391"/>
    </row>
    <row r="475" spans="1:9">
      <c r="D475" s="1268"/>
      <c r="E475" s="1268"/>
      <c r="F475" s="1268"/>
      <c r="I475" s="391"/>
    </row>
    <row r="476" spans="1:9">
      <c r="D476" s="1268"/>
      <c r="E476" s="1268"/>
      <c r="F476" s="1268"/>
      <c r="I476" s="391"/>
    </row>
    <row r="477" spans="1:9">
      <c r="D477" s="1268"/>
      <c r="E477" s="1268"/>
      <c r="F477" s="1268"/>
      <c r="I477" s="391"/>
    </row>
    <row r="478" spans="1:9">
      <c r="B478" s="386" t="s">
        <v>316</v>
      </c>
      <c r="D478" s="1268"/>
      <c r="E478" s="1268"/>
      <c r="F478" s="1268"/>
      <c r="I478" s="391"/>
    </row>
    <row r="479" spans="1:9">
      <c r="A479" s="305"/>
      <c r="B479" s="305"/>
      <c r="C479" s="305"/>
      <c r="D479" s="1268"/>
      <c r="E479" s="1268"/>
      <c r="F479" s="1268"/>
      <c r="I479" s="391"/>
    </row>
    <row r="480" spans="1:9">
      <c r="A480" s="305"/>
      <c r="C480" s="305"/>
      <c r="D480" s="1268"/>
      <c r="E480" s="1268"/>
      <c r="F480" s="1268"/>
      <c r="I480" s="391"/>
    </row>
    <row r="481" spans="1:9">
      <c r="A481" s="305"/>
      <c r="B481" s="386" t="s">
        <v>316</v>
      </c>
      <c r="C481" s="305"/>
      <c r="D481" s="1268"/>
      <c r="E481" s="1268"/>
      <c r="F481" s="1268"/>
      <c r="I481" s="391"/>
    </row>
    <row r="482" spans="1:9">
      <c r="A482" s="305"/>
      <c r="B482" s="305"/>
      <c r="C482" s="305"/>
      <c r="D482" s="1268"/>
      <c r="E482" s="1268"/>
      <c r="F482" s="1268"/>
      <c r="I482" s="391"/>
    </row>
    <row r="483" spans="1:9">
      <c r="A483" s="305"/>
      <c r="C483" s="305"/>
      <c r="D483" s="1268"/>
      <c r="E483" s="1268"/>
      <c r="F483" s="1268"/>
      <c r="I483" s="391"/>
    </row>
    <row r="484" spans="1:9">
      <c r="A484" s="305"/>
      <c r="C484" s="305"/>
      <c r="D484" s="1268"/>
      <c r="E484" s="1268"/>
      <c r="F484" s="1268"/>
      <c r="I484" s="391"/>
    </row>
    <row r="485" spans="1:9">
      <c r="A485" s="305"/>
      <c r="C485" s="305"/>
      <c r="D485" s="1268"/>
      <c r="E485" s="1268"/>
      <c r="F485" s="1268"/>
      <c r="I485" s="391"/>
    </row>
    <row r="486" spans="1:9">
      <c r="A486" s="305"/>
      <c r="B486" s="386" t="s">
        <v>316</v>
      </c>
      <c r="C486" s="305"/>
      <c r="D486" s="1268"/>
      <c r="E486" s="1268"/>
      <c r="F486" s="1268"/>
      <c r="I486" s="391"/>
    </row>
    <row r="487" spans="1:9">
      <c r="A487" s="305"/>
      <c r="C487" s="305"/>
      <c r="D487" s="1268"/>
      <c r="E487" s="1268"/>
      <c r="F487" s="1268"/>
      <c r="I487" s="391"/>
    </row>
    <row r="488" spans="1:9">
      <c r="A488" s="305"/>
      <c r="B488" s="386" t="s">
        <v>316</v>
      </c>
      <c r="C488" s="305"/>
      <c r="D488" s="1268" t="s">
        <v>433</v>
      </c>
      <c r="E488" s="1268"/>
      <c r="F488" s="1268"/>
      <c r="I488" s="391"/>
    </row>
    <row r="489" spans="1:9">
      <c r="A489" s="305"/>
      <c r="B489" s="305"/>
      <c r="C489" s="305"/>
      <c r="D489" s="1268"/>
      <c r="E489" s="1268"/>
      <c r="F489" s="1268"/>
      <c r="I489" s="391"/>
    </row>
    <row r="490" spans="1:9">
      <c r="A490" s="305"/>
      <c r="B490" s="305"/>
      <c r="C490" s="305"/>
      <c r="D490" s="1268"/>
      <c r="E490" s="1268"/>
      <c r="F490" s="1268"/>
      <c r="I490" s="391"/>
    </row>
    <row r="491" spans="1:9">
      <c r="A491" s="305"/>
      <c r="B491" s="305"/>
      <c r="C491" s="305"/>
      <c r="D491" s="1268"/>
      <c r="E491" s="1268"/>
      <c r="F491" s="1268"/>
      <c r="I491" s="391"/>
    </row>
    <row r="492" spans="1:9">
      <c r="D492" s="1268"/>
      <c r="E492" s="1268"/>
      <c r="F492" s="1268"/>
      <c r="I492" s="391"/>
    </row>
    <row r="493" spans="1:9">
      <c r="D493" s="348"/>
      <c r="E493" s="348"/>
      <c r="F493" s="348"/>
      <c r="I493" s="391"/>
    </row>
    <row r="494" spans="1:9">
      <c r="B494" s="386" t="s">
        <v>316</v>
      </c>
      <c r="D494" s="1270" t="s">
        <v>434</v>
      </c>
      <c r="E494" s="1270"/>
      <c r="F494" s="1270"/>
      <c r="I494" s="391"/>
    </row>
    <row r="495" spans="1:9">
      <c r="A495" s="348"/>
      <c r="B495" s="348"/>
      <c r="I495" s="391"/>
    </row>
    <row r="496" spans="1:9">
      <c r="A496" s="1269" t="s">
        <v>435</v>
      </c>
      <c r="B496" s="1269"/>
      <c r="C496" s="1269"/>
      <c r="D496" s="1269"/>
      <c r="E496" s="1269"/>
      <c r="F496" s="1269"/>
      <c r="G496" s="1269"/>
      <c r="H496" s="914"/>
      <c r="I496" s="1036"/>
    </row>
    <row r="497" spans="1:9">
      <c r="A497" s="348"/>
      <c r="B497" s="348"/>
      <c r="I497" s="391"/>
    </row>
    <row r="498" spans="1:9">
      <c r="D498" s="1298" t="s">
        <v>436</v>
      </c>
      <c r="E498" s="1298"/>
      <c r="F498" s="1298"/>
      <c r="I498" s="391"/>
    </row>
    <row r="499" spans="1:9" ht="14.25">
      <c r="A499" s="385"/>
      <c r="B499" s="385"/>
      <c r="D499" s="1278" t="s">
        <v>437</v>
      </c>
      <c r="E499" s="1278"/>
      <c r="F499" s="1278"/>
      <c r="I499" s="391"/>
    </row>
    <row r="500" spans="1:9" ht="14.25">
      <c r="A500" s="385"/>
      <c r="B500" s="385"/>
      <c r="D500" s="349"/>
      <c r="I500" s="391"/>
    </row>
    <row r="501" spans="1:9" ht="14.25">
      <c r="A501" s="385"/>
      <c r="B501" s="386" t="s">
        <v>311</v>
      </c>
      <c r="D501" s="1240" t="s">
        <v>438</v>
      </c>
      <c r="E501" s="1240"/>
      <c r="F501" s="1240"/>
      <c r="I501" s="391"/>
    </row>
    <row r="502" spans="1:9" ht="14.25">
      <c r="A502" s="385"/>
      <c r="B502" s="385"/>
      <c r="D502" s="1240"/>
      <c r="E502" s="1240"/>
      <c r="F502" s="1240"/>
      <c r="I502" s="391"/>
    </row>
    <row r="503" spans="1:9" ht="14.25">
      <c r="A503" s="385"/>
      <c r="B503" s="385"/>
      <c r="D503" s="348"/>
      <c r="I503" s="391"/>
    </row>
    <row r="504" spans="1:9" ht="12.75" customHeight="1">
      <c r="B504" s="386" t="s">
        <v>311</v>
      </c>
      <c r="D504" s="1284" t="s">
        <v>439</v>
      </c>
      <c r="E504" s="1284"/>
      <c r="F504" s="1284"/>
      <c r="I504" s="391"/>
    </row>
    <row r="505" spans="1:9" ht="14.25">
      <c r="A505" s="385"/>
      <c r="D505" s="1284"/>
      <c r="E505" s="1284"/>
      <c r="F505" s="1284"/>
      <c r="I505" s="391"/>
    </row>
    <row r="506" spans="1:9" ht="14.25">
      <c r="A506" s="385"/>
      <c r="B506" s="385"/>
      <c r="D506" s="1284"/>
      <c r="E506" s="1284"/>
      <c r="F506" s="1284"/>
      <c r="I506" s="391"/>
    </row>
    <row r="507" spans="1:9" ht="14.25">
      <c r="A507" s="385"/>
      <c r="B507" s="385"/>
      <c r="D507" s="1284"/>
      <c r="E507" s="1284"/>
      <c r="F507" s="1284"/>
      <c r="I507" s="391"/>
    </row>
    <row r="508" spans="1:9" ht="14.25">
      <c r="A508" s="385"/>
      <c r="D508" s="420"/>
      <c r="E508" s="420"/>
      <c r="F508" s="420"/>
      <c r="I508" s="391"/>
    </row>
    <row r="509" spans="1:9" ht="14.25">
      <c r="A509" s="385"/>
      <c r="B509" s="386" t="s">
        <v>311</v>
      </c>
      <c r="D509" s="1270" t="s">
        <v>440</v>
      </c>
      <c r="E509" s="1270"/>
      <c r="F509" s="1270"/>
      <c r="I509" s="391"/>
    </row>
    <row r="510" spans="1:9" ht="14.25">
      <c r="A510" s="385"/>
      <c r="B510" s="385"/>
      <c r="D510" s="348"/>
      <c r="I510" s="391"/>
    </row>
    <row r="511" spans="1:9" ht="14.25">
      <c r="A511" s="385"/>
      <c r="B511" s="386" t="s">
        <v>311</v>
      </c>
      <c r="D511" s="1268" t="s">
        <v>441</v>
      </c>
      <c r="E511" s="1268"/>
      <c r="F511" s="1268"/>
      <c r="I511" s="391"/>
    </row>
    <row r="512" spans="1:9" ht="14.25">
      <c r="A512" s="385"/>
      <c r="D512" s="1268"/>
      <c r="E512" s="1268"/>
      <c r="F512" s="1268"/>
      <c r="I512" s="391"/>
    </row>
    <row r="513" spans="1:9">
      <c r="A513" s="391"/>
      <c r="B513" s="391"/>
      <c r="D513" s="349"/>
      <c r="I513" s="391"/>
    </row>
    <row r="514" spans="1:9">
      <c r="A514" s="391"/>
      <c r="B514" s="386" t="s">
        <v>316</v>
      </c>
      <c r="D514" s="1270" t="s">
        <v>442</v>
      </c>
      <c r="E514" s="1270"/>
      <c r="F514" s="1270"/>
      <c r="I514" s="391"/>
    </row>
    <row r="515" spans="1:9">
      <c r="D515" s="348"/>
      <c r="E515" s="348"/>
      <c r="F515" s="348"/>
      <c r="I515" s="391"/>
    </row>
    <row r="516" spans="1:9">
      <c r="B516" s="386" t="s">
        <v>316</v>
      </c>
      <c r="D516" s="1268" t="s">
        <v>443</v>
      </c>
      <c r="E516" s="1268"/>
      <c r="F516" s="1268"/>
      <c r="I516" s="391"/>
    </row>
    <row r="517" spans="1:9">
      <c r="D517" s="1268"/>
      <c r="E517" s="1268"/>
      <c r="F517" s="1268"/>
      <c r="I517" s="391"/>
    </row>
    <row r="518" spans="1:9">
      <c r="D518" s="1268"/>
      <c r="E518" s="1268"/>
      <c r="F518" s="1268"/>
      <c r="I518" s="391"/>
    </row>
    <row r="519" spans="1:9">
      <c r="D519" s="348"/>
      <c r="E519" s="348"/>
      <c r="F519" s="348"/>
      <c r="I519" s="391"/>
    </row>
    <row r="520" spans="1:9" ht="14.25">
      <c r="A520" s="385"/>
      <c r="B520" s="385"/>
      <c r="D520" s="348"/>
      <c r="I520" s="391"/>
    </row>
    <row r="521" spans="1:9">
      <c r="A521" s="1269" t="s">
        <v>444</v>
      </c>
      <c r="B521" s="1269"/>
      <c r="C521" s="1269"/>
      <c r="D521" s="1269"/>
      <c r="E521" s="1269"/>
      <c r="F521" s="1269"/>
      <c r="G521" s="1269"/>
      <c r="H521" s="914"/>
      <c r="I521" s="1036"/>
    </row>
    <row r="522" spans="1:9" ht="12" customHeight="1">
      <c r="A522" s="385"/>
      <c r="B522" s="385"/>
      <c r="D522" s="348"/>
      <c r="I522" s="391"/>
    </row>
    <row r="523" spans="1:9">
      <c r="C523" s="383"/>
      <c r="D523" s="1271" t="s">
        <v>445</v>
      </c>
      <c r="E523" s="1271"/>
      <c r="F523" s="1271"/>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386" t="s">
        <v>311</v>
      </c>
      <c r="C527" s="384"/>
      <c r="D527" s="1240" t="s">
        <v>448</v>
      </c>
      <c r="E527" s="1240"/>
      <c r="F527" s="1240"/>
      <c r="I527" s="391"/>
    </row>
    <row r="528" spans="1:9">
      <c r="A528" s="384"/>
      <c r="B528" s="384"/>
      <c r="C528" s="384"/>
      <c r="D528" s="1240"/>
      <c r="E528" s="1240"/>
      <c r="F528" s="1240"/>
      <c r="I528" s="391"/>
    </row>
    <row r="529" spans="1:9">
      <c r="A529" s="384"/>
      <c r="B529" s="384"/>
      <c r="C529" s="384"/>
      <c r="D529" s="353"/>
      <c r="E529" s="353"/>
      <c r="F529" s="353"/>
      <c r="I529" s="381"/>
    </row>
    <row r="530" spans="1:9" ht="12.75" customHeight="1">
      <c r="A530" s="384"/>
      <c r="B530" s="386" t="s">
        <v>311</v>
      </c>
      <c r="D530" s="289" t="s">
        <v>449</v>
      </c>
      <c r="E530" s="288"/>
      <c r="F530" s="288"/>
      <c r="I530" s="391"/>
    </row>
    <row r="531" spans="1:9">
      <c r="A531" s="384"/>
      <c r="B531" s="384"/>
      <c r="C531" s="384"/>
      <c r="D531" s="288"/>
      <c r="E531" s="71" t="s">
        <v>450</v>
      </c>
      <c r="I531" s="391"/>
    </row>
    <row r="532" spans="1:9">
      <c r="A532" s="384"/>
      <c r="B532" s="384"/>
      <c r="D532" s="1248" t="s">
        <v>451</v>
      </c>
      <c r="E532" s="1248"/>
      <c r="F532" s="1248"/>
      <c r="I532" s="391"/>
    </row>
    <row r="533" spans="1:9">
      <c r="A533" s="384"/>
      <c r="B533" s="384"/>
      <c r="D533" s="1248"/>
      <c r="E533" s="1248"/>
      <c r="F533" s="1248"/>
      <c r="I533" s="391"/>
    </row>
    <row r="534" spans="1:9">
      <c r="A534" s="384"/>
      <c r="B534" s="384"/>
      <c r="C534" s="384"/>
      <c r="D534" s="1248"/>
      <c r="E534" s="1248"/>
      <c r="F534" s="1248"/>
      <c r="I534" s="391"/>
    </row>
    <row r="535" spans="1:9">
      <c r="A535" s="384"/>
      <c r="B535" s="384"/>
      <c r="C535" s="384"/>
      <c r="D535" s="399"/>
      <c r="F535" s="348"/>
      <c r="I535" s="391"/>
    </row>
    <row r="536" spans="1:9" ht="13.15" customHeight="1">
      <c r="A536" s="384"/>
      <c r="B536" s="386" t="s">
        <v>316</v>
      </c>
      <c r="C536" s="384"/>
      <c r="D536" s="1268" t="s">
        <v>452</v>
      </c>
      <c r="E536" s="1268"/>
      <c r="F536" s="1268"/>
      <c r="I536" s="391"/>
    </row>
    <row r="537" spans="1:9" ht="13.15" customHeight="1">
      <c r="A537" s="384"/>
      <c r="B537" s="384"/>
      <c r="C537" s="384"/>
      <c r="D537" s="1268"/>
      <c r="E537" s="1268"/>
      <c r="F537" s="1268"/>
      <c r="I537" s="391"/>
    </row>
    <row r="538" spans="1:9">
      <c r="A538" s="384"/>
      <c r="B538" s="384"/>
      <c r="C538" s="384"/>
      <c r="D538" s="1268"/>
      <c r="E538" s="1268"/>
      <c r="F538" s="1268"/>
      <c r="I538" s="391"/>
    </row>
    <row r="539" spans="1:9" ht="12" customHeight="1">
      <c r="A539" s="348"/>
      <c r="B539" s="348"/>
      <c r="C539" s="388"/>
      <c r="D539" s="348"/>
      <c r="F539" s="350"/>
      <c r="I539" s="391"/>
    </row>
    <row r="540" spans="1:9">
      <c r="A540" s="1269" t="s">
        <v>453</v>
      </c>
      <c r="B540" s="1269"/>
      <c r="C540" s="1269"/>
      <c r="D540" s="1269"/>
      <c r="E540" s="1269"/>
      <c r="F540" s="1269"/>
      <c r="G540" s="1269"/>
      <c r="H540" s="914"/>
      <c r="I540" s="1036"/>
    </row>
    <row r="541" spans="1:9">
      <c r="A541" s="348"/>
      <c r="B541" s="348"/>
      <c r="C541" s="388"/>
      <c r="F541" s="350"/>
      <c r="I541" s="391"/>
    </row>
    <row r="542" spans="1:9">
      <c r="B542" s="1274" t="s">
        <v>351</v>
      </c>
      <c r="C542" s="1274"/>
      <c r="D542" s="1274"/>
      <c r="E542" s="1274"/>
      <c r="F542" s="1274"/>
      <c r="I542" s="391"/>
    </row>
    <row r="543" spans="1:9">
      <c r="A543" s="348"/>
      <c r="B543" s="348"/>
      <c r="C543" s="388"/>
      <c r="D543" s="348"/>
      <c r="F543" s="348"/>
      <c r="I543" s="391"/>
    </row>
    <row r="544" spans="1:9">
      <c r="A544" s="1272" t="s">
        <v>454</v>
      </c>
      <c r="B544" s="1272"/>
      <c r="C544" s="1272"/>
      <c r="D544" s="1272"/>
      <c r="E544" s="1272"/>
      <c r="F544" s="1272"/>
      <c r="G544" s="1272"/>
      <c r="H544" s="914"/>
      <c r="I544" s="1036"/>
    </row>
    <row r="545" spans="1:9">
      <c r="A545" s="348"/>
      <c r="B545" s="348"/>
      <c r="C545" s="388"/>
      <c r="D545" s="348"/>
      <c r="F545" s="348"/>
      <c r="I545" s="391"/>
    </row>
    <row r="546" spans="1:9">
      <c r="C546" s="388"/>
      <c r="D546" s="1271" t="s">
        <v>455</v>
      </c>
      <c r="E546" s="1271"/>
      <c r="F546" s="1271"/>
      <c r="I546" s="391"/>
    </row>
    <row r="547" spans="1:9">
      <c r="C547" s="388"/>
      <c r="D547" s="1270" t="s">
        <v>456</v>
      </c>
      <c r="E547" s="1270"/>
      <c r="F547" s="1270"/>
      <c r="I547" s="391"/>
    </row>
    <row r="548" spans="1:9">
      <c r="C548" s="388"/>
      <c r="D548" s="348"/>
      <c r="E548" s="348"/>
      <c r="F548" s="348"/>
      <c r="I548" s="391"/>
    </row>
    <row r="549" spans="1:9" ht="13.7" customHeight="1">
      <c r="A549" s="385"/>
      <c r="B549" s="386" t="s">
        <v>311</v>
      </c>
      <c r="C549" s="388"/>
      <c r="D549" s="1270" t="s">
        <v>457</v>
      </c>
      <c r="E549" s="1270"/>
      <c r="F549" s="1270"/>
      <c r="I549" s="391"/>
    </row>
    <row r="550" spans="1:9" ht="13.7" customHeight="1">
      <c r="A550" s="388"/>
      <c r="B550" s="388"/>
      <c r="C550" s="388"/>
      <c r="D550" s="348"/>
      <c r="I550" s="391"/>
    </row>
    <row r="551" spans="1:9" ht="14.25">
      <c r="A551" s="385"/>
      <c r="B551" s="386" t="s">
        <v>311</v>
      </c>
      <c r="C551" s="388"/>
      <c r="D551" s="1268" t="s">
        <v>458</v>
      </c>
      <c r="E551" s="1268"/>
      <c r="F551" s="1268"/>
      <c r="I551" s="391"/>
    </row>
    <row r="552" spans="1:9">
      <c r="A552" s="388"/>
      <c r="B552" s="388"/>
      <c r="C552" s="388"/>
      <c r="D552" s="1268"/>
      <c r="E552" s="1268"/>
      <c r="F552" s="1268"/>
      <c r="I552" s="391"/>
    </row>
    <row r="553" spans="1:9">
      <c r="A553" s="388"/>
      <c r="B553" s="388"/>
      <c r="C553" s="388"/>
      <c r="D553" s="348"/>
      <c r="E553" s="348"/>
      <c r="F553" s="348"/>
      <c r="I553" s="391"/>
    </row>
    <row r="554" spans="1:9" ht="14.25">
      <c r="A554" s="385"/>
      <c r="B554" s="386" t="s">
        <v>311</v>
      </c>
      <c r="C554" s="388"/>
      <c r="D554" s="1268" t="s">
        <v>459</v>
      </c>
      <c r="E554" s="1268"/>
      <c r="F554" s="1268"/>
      <c r="I554" s="391"/>
    </row>
    <row r="555" spans="1:9">
      <c r="A555" s="388"/>
      <c r="B555" s="388"/>
      <c r="C555" s="388"/>
      <c r="D555" s="1268"/>
      <c r="E555" s="1268"/>
      <c r="F555" s="1268"/>
      <c r="I555" s="391"/>
    </row>
    <row r="556" spans="1:9">
      <c r="A556" s="388"/>
      <c r="B556" s="388"/>
      <c r="C556" s="388"/>
      <c r="D556" s="348"/>
      <c r="E556" s="348"/>
      <c r="F556" s="348"/>
      <c r="I556" s="391"/>
    </row>
    <row r="557" spans="1:9" ht="14.25">
      <c r="A557" s="385"/>
      <c r="B557" s="386" t="s">
        <v>311</v>
      </c>
      <c r="C557" s="388"/>
      <c r="D557" s="1268" t="s">
        <v>460</v>
      </c>
      <c r="E557" s="1268"/>
      <c r="F557" s="1268"/>
      <c r="I557" s="391"/>
    </row>
    <row r="558" spans="1:9">
      <c r="A558" s="388"/>
      <c r="B558" s="388"/>
      <c r="C558" s="388"/>
      <c r="D558" s="1268"/>
      <c r="E558" s="1268"/>
      <c r="F558" s="1268"/>
      <c r="I558" s="391"/>
    </row>
    <row r="559" spans="1:9">
      <c r="A559" s="388"/>
      <c r="B559" s="388"/>
      <c r="C559" s="388"/>
      <c r="D559" s="348"/>
      <c r="E559" s="348"/>
      <c r="F559" s="348"/>
      <c r="I559" s="391"/>
    </row>
    <row r="560" spans="1:9" ht="14.25">
      <c r="A560" s="385"/>
      <c r="B560" s="386" t="s">
        <v>311</v>
      </c>
      <c r="C560" s="388"/>
      <c r="D560" s="1268" t="s">
        <v>461</v>
      </c>
      <c r="E560" s="1268"/>
      <c r="F560" s="1268"/>
      <c r="I560" s="391"/>
    </row>
    <row r="561" spans="1:9">
      <c r="A561" s="388"/>
      <c r="B561" s="388"/>
      <c r="C561" s="388"/>
      <c r="D561" s="1268"/>
      <c r="E561" s="1268"/>
      <c r="F561" s="1268"/>
      <c r="I561" s="391"/>
    </row>
    <row r="562" spans="1:9">
      <c r="A562" s="388"/>
      <c r="B562" s="388"/>
      <c r="C562" s="388"/>
      <c r="D562" s="1268"/>
      <c r="E562" s="1268"/>
      <c r="F562" s="1268"/>
      <c r="I562" s="391"/>
    </row>
    <row r="563" spans="1:9">
      <c r="A563" s="388"/>
      <c r="B563" s="388"/>
      <c r="C563" s="388"/>
      <c r="D563" s="348"/>
      <c r="E563" s="348"/>
      <c r="F563" s="348"/>
      <c r="I563" s="391"/>
    </row>
    <row r="564" spans="1:9" ht="14.25">
      <c r="A564" s="385"/>
      <c r="B564" s="386" t="s">
        <v>316</v>
      </c>
      <c r="C564" s="388"/>
      <c r="D564" s="1268" t="s">
        <v>462</v>
      </c>
      <c r="E564" s="1268"/>
      <c r="F564" s="1268"/>
      <c r="I564" s="391"/>
    </row>
    <row r="565" spans="1:9">
      <c r="A565" s="388"/>
      <c r="B565" s="388"/>
      <c r="C565" s="388"/>
      <c r="D565" s="1268"/>
      <c r="E565" s="1268"/>
      <c r="F565" s="1268"/>
      <c r="I565" s="391"/>
    </row>
    <row r="566" spans="1:9">
      <c r="A566" s="388"/>
      <c r="B566" s="388"/>
      <c r="C566" s="388"/>
      <c r="D566" s="348"/>
      <c r="E566" s="348"/>
      <c r="F566" s="348"/>
      <c r="I566" s="391"/>
    </row>
    <row r="567" spans="1:9" ht="14.25">
      <c r="A567" s="385"/>
      <c r="B567" s="386" t="s">
        <v>311</v>
      </c>
      <c r="C567" s="388"/>
      <c r="D567" s="1268" t="s">
        <v>463</v>
      </c>
      <c r="E567" s="1268"/>
      <c r="F567" s="1268"/>
      <c r="I567" s="391"/>
    </row>
    <row r="568" spans="1:9">
      <c r="A568" s="388"/>
      <c r="B568" s="388"/>
      <c r="C568" s="388"/>
      <c r="D568" s="1268"/>
      <c r="E568" s="1268"/>
      <c r="F568" s="1268"/>
      <c r="I568" s="391"/>
    </row>
    <row r="569" spans="1:9">
      <c r="A569" s="388"/>
      <c r="B569" s="388"/>
      <c r="C569" s="388"/>
      <c r="D569" s="348"/>
      <c r="E569" s="348"/>
      <c r="F569" s="348"/>
      <c r="I569" s="391"/>
    </row>
    <row r="570" spans="1:9" ht="14.25">
      <c r="A570" s="385"/>
      <c r="B570" s="386" t="s">
        <v>311</v>
      </c>
      <c r="C570" s="388"/>
      <c r="D570" s="1270" t="s">
        <v>464</v>
      </c>
      <c r="E570" s="1270"/>
      <c r="F570" s="1270"/>
      <c r="I570" s="391"/>
    </row>
    <row r="571" spans="1:9">
      <c r="A571" s="391"/>
      <c r="B571" s="391"/>
      <c r="C571" s="388"/>
      <c r="D571" s="1270" t="s">
        <v>465</v>
      </c>
      <c r="E571" s="1270"/>
      <c r="F571" s="1270"/>
      <c r="I571" s="391"/>
    </row>
    <row r="572" spans="1:9">
      <c r="A572" s="391"/>
      <c r="B572" s="391"/>
      <c r="C572" s="388"/>
      <c r="E572" s="71" t="s">
        <v>466</v>
      </c>
      <c r="F572" s="307"/>
      <c r="I572" s="391"/>
    </row>
    <row r="573" spans="1:9" ht="14.25">
      <c r="A573" s="385"/>
      <c r="B573" s="385"/>
      <c r="C573" s="388"/>
      <c r="E573" s="348"/>
      <c r="F573" s="348"/>
      <c r="I573" s="391"/>
    </row>
    <row r="574" spans="1:9" ht="14.25">
      <c r="A574" s="385"/>
      <c r="B574" s="386" t="s">
        <v>311</v>
      </c>
      <c r="C574" s="388"/>
      <c r="D574" s="1270" t="s">
        <v>467</v>
      </c>
      <c r="E574" s="1270"/>
      <c r="F574" s="1270"/>
      <c r="I574" s="391"/>
    </row>
    <row r="575" spans="1:9">
      <c r="C575" s="388"/>
      <c r="D575" s="1268" t="s">
        <v>468</v>
      </c>
      <c r="E575" s="1268"/>
      <c r="F575" s="1268"/>
      <c r="I575" s="391"/>
    </row>
    <row r="576" spans="1:9">
      <c r="A576" s="388"/>
      <c r="B576" s="388"/>
      <c r="C576" s="388"/>
      <c r="D576" s="1268"/>
      <c r="E576" s="1268"/>
      <c r="F576" s="1268"/>
      <c r="I576" s="391"/>
    </row>
    <row r="577" spans="1:9">
      <c r="A577" s="388"/>
      <c r="B577" s="388"/>
      <c r="C577" s="388"/>
      <c r="D577" s="1268"/>
      <c r="E577" s="1268"/>
      <c r="F577" s="1268"/>
      <c r="I577" s="391"/>
    </row>
    <row r="578" spans="1:9">
      <c r="A578" s="388"/>
      <c r="B578" s="388"/>
      <c r="C578" s="388"/>
      <c r="D578" s="348"/>
      <c r="E578" s="348"/>
      <c r="F578" s="348"/>
      <c r="I578" s="391"/>
    </row>
    <row r="579" spans="1:9" ht="14.25">
      <c r="A579" s="385"/>
      <c r="B579" s="386" t="s">
        <v>311</v>
      </c>
      <c r="C579" s="388"/>
      <c r="D579" s="1268" t="s">
        <v>469</v>
      </c>
      <c r="E579" s="1268"/>
      <c r="F579" s="1268"/>
      <c r="I579" s="391"/>
    </row>
    <row r="580" spans="1:9" ht="14.25">
      <c r="A580" s="385"/>
      <c r="B580" s="385"/>
      <c r="C580" s="388"/>
      <c r="D580" s="1268"/>
      <c r="E580" s="1268"/>
      <c r="F580" s="1268"/>
      <c r="I580" s="391"/>
    </row>
    <row r="581" spans="1:9" ht="14.25">
      <c r="A581" s="385"/>
      <c r="B581" s="385"/>
      <c r="C581" s="388"/>
      <c r="D581" s="1268"/>
      <c r="E581" s="1268"/>
      <c r="F581" s="1268"/>
      <c r="I581" s="391"/>
    </row>
    <row r="582" spans="1:9" ht="14.25">
      <c r="A582" s="385"/>
      <c r="B582" s="385"/>
      <c r="C582" s="388"/>
      <c r="D582" s="1268"/>
      <c r="E582" s="1268"/>
      <c r="F582" s="1268"/>
      <c r="I582" s="391"/>
    </row>
    <row r="583" spans="1:9" ht="14.25">
      <c r="A583" s="385"/>
      <c r="B583" s="385"/>
      <c r="C583" s="388"/>
      <c r="D583" s="348"/>
      <c r="E583" s="348"/>
      <c r="F583" s="348"/>
      <c r="I583" s="391"/>
    </row>
    <row r="584" spans="1:9">
      <c r="A584" s="1269" t="s">
        <v>470</v>
      </c>
      <c r="B584" s="1269"/>
      <c r="C584" s="1269"/>
      <c r="D584" s="1269"/>
      <c r="E584" s="1269"/>
      <c r="F584" s="1269"/>
      <c r="G584" s="1269"/>
      <c r="H584" s="914"/>
      <c r="I584" s="1036"/>
    </row>
    <row r="585" spans="1:9">
      <c r="A585" s="388"/>
      <c r="B585" s="388"/>
      <c r="C585" s="388"/>
      <c r="E585" s="348"/>
      <c r="F585" s="348"/>
      <c r="I585" s="391"/>
    </row>
    <row r="586" spans="1:9" ht="12.75" customHeight="1">
      <c r="C586" s="383"/>
      <c r="D586" s="1288" t="s">
        <v>471</v>
      </c>
      <c r="E586" s="1288"/>
      <c r="F586" s="1288"/>
      <c r="I586" s="391"/>
    </row>
    <row r="587" spans="1:9">
      <c r="A587" s="384"/>
      <c r="B587" s="384"/>
      <c r="C587" s="384"/>
      <c r="D587" s="1284" t="s">
        <v>472</v>
      </c>
      <c r="E587" s="1284"/>
      <c r="F587" s="1284"/>
      <c r="I587" s="391"/>
    </row>
    <row r="588" spans="1:9">
      <c r="A588" s="305"/>
      <c r="B588" s="305"/>
      <c r="C588" s="384"/>
      <c r="D588" s="400"/>
      <c r="I588" s="391"/>
    </row>
    <row r="589" spans="1:9" hidden="1">
      <c r="A589" s="384"/>
      <c r="B589" s="386" t="s">
        <v>348</v>
      </c>
      <c r="D589" s="1284" t="s">
        <v>473</v>
      </c>
      <c r="E589" s="1284"/>
      <c r="F589" s="1284"/>
      <c r="I589" s="391"/>
    </row>
    <row r="590" spans="1:9" hidden="1">
      <c r="A590" s="391"/>
      <c r="B590" s="391"/>
      <c r="D590" s="377"/>
      <c r="I590" s="391"/>
    </row>
    <row r="591" spans="1:9">
      <c r="A591" s="391"/>
      <c r="B591" s="386" t="s">
        <v>311</v>
      </c>
      <c r="D591" s="1284" t="s">
        <v>474</v>
      </c>
      <c r="E591" s="1284"/>
      <c r="F591" s="1284"/>
      <c r="I591" s="391"/>
    </row>
    <row r="592" spans="1:9">
      <c r="A592" s="391"/>
      <c r="B592" s="391"/>
      <c r="D592" s="1284"/>
      <c r="E592" s="1284"/>
      <c r="F592" s="1284"/>
      <c r="I592" s="391"/>
    </row>
    <row r="593" spans="1:9">
      <c r="A593" s="391"/>
      <c r="B593" s="391"/>
      <c r="D593" s="1284"/>
      <c r="E593" s="1284"/>
      <c r="F593" s="1284"/>
      <c r="I593" s="391"/>
    </row>
    <row r="594" spans="1:9">
      <c r="A594" s="391"/>
      <c r="B594" s="391"/>
      <c r="D594" s="1284"/>
      <c r="E594" s="1284"/>
      <c r="F594" s="1284"/>
      <c r="I594" s="391"/>
    </row>
    <row r="595" spans="1:9">
      <c r="A595" s="391"/>
      <c r="B595" s="386" t="s">
        <v>316</v>
      </c>
      <c r="D595" s="1284" t="s">
        <v>475</v>
      </c>
      <c r="E595" s="1284"/>
      <c r="F595" s="1284"/>
      <c r="I595" s="391"/>
    </row>
    <row r="596" spans="1:9">
      <c r="A596" s="391"/>
      <c r="B596" s="391"/>
      <c r="D596" s="1284"/>
      <c r="E596" s="1284"/>
      <c r="F596" s="1284"/>
      <c r="I596" s="391"/>
    </row>
    <row r="597" spans="1:9">
      <c r="A597" s="391"/>
      <c r="B597" s="391"/>
      <c r="D597" s="1284"/>
      <c r="E597" s="1284"/>
      <c r="F597" s="1284"/>
      <c r="I597" s="391"/>
    </row>
    <row r="598" spans="1:9">
      <c r="A598" s="391"/>
      <c r="B598" s="391"/>
      <c r="D598" s="1284"/>
      <c r="E598" s="1284"/>
      <c r="F598" s="1284"/>
      <c r="I598" s="391"/>
    </row>
    <row r="599" spans="1:9">
      <c r="A599" s="391"/>
      <c r="B599" s="391"/>
      <c r="D599" s="343"/>
      <c r="E599" s="343"/>
      <c r="F599" s="343"/>
      <c r="I599" s="391"/>
    </row>
    <row r="600" spans="1:9">
      <c r="A600" s="391"/>
      <c r="B600" s="386" t="s">
        <v>311</v>
      </c>
      <c r="D600" s="1284" t="s">
        <v>476</v>
      </c>
      <c r="E600" s="1284"/>
      <c r="F600" s="1284"/>
      <c r="I600" s="391"/>
    </row>
    <row r="601" spans="1:9">
      <c r="A601" s="391"/>
      <c r="B601" s="391"/>
      <c r="D601" s="1284"/>
      <c r="E601" s="1284"/>
      <c r="F601" s="1284"/>
      <c r="I601" s="391"/>
    </row>
    <row r="602" spans="1:9">
      <c r="A602" s="391"/>
      <c r="B602" s="391"/>
      <c r="D602" s="400"/>
      <c r="I602" s="391"/>
    </row>
    <row r="603" spans="1:9">
      <c r="A603" s="391"/>
      <c r="B603" s="386" t="s">
        <v>316</v>
      </c>
      <c r="D603" s="1284" t="s">
        <v>477</v>
      </c>
      <c r="E603" s="1284"/>
      <c r="F603" s="1284"/>
      <c r="I603" s="391"/>
    </row>
    <row r="604" spans="1:9">
      <c r="A604" s="391"/>
      <c r="B604" s="391"/>
      <c r="D604" s="1284"/>
      <c r="E604" s="1284"/>
      <c r="F604" s="1284"/>
      <c r="I604" s="391"/>
    </row>
    <row r="605" spans="1:9" ht="14.25">
      <c r="A605" s="385"/>
      <c r="B605" s="385"/>
      <c r="D605" s="400"/>
      <c r="I605" s="391"/>
    </row>
    <row r="606" spans="1:9">
      <c r="A606" s="1269" t="s">
        <v>478</v>
      </c>
      <c r="B606" s="1269"/>
      <c r="C606" s="1269"/>
      <c r="D606" s="1269"/>
      <c r="E606" s="1269"/>
      <c r="F606" s="1269"/>
      <c r="G606" s="1269"/>
      <c r="H606" s="914"/>
      <c r="I606" s="1036"/>
    </row>
    <row r="607" spans="1:9">
      <c r="I607" s="391"/>
    </row>
    <row r="608" spans="1:9">
      <c r="D608" s="1271" t="s">
        <v>479</v>
      </c>
      <c r="E608" s="1271"/>
      <c r="F608" s="1271"/>
      <c r="I608" s="391"/>
    </row>
    <row r="609" spans="1:9">
      <c r="D609" s="1250" t="s">
        <v>480</v>
      </c>
      <c r="E609" s="1250"/>
      <c r="F609" s="1250"/>
      <c r="I609" s="391"/>
    </row>
    <row r="610" spans="1:9">
      <c r="D610" s="346"/>
      <c r="I610" s="391"/>
    </row>
    <row r="611" spans="1:9" ht="14.25" customHeight="1">
      <c r="A611" s="385"/>
      <c r="B611" s="386" t="s">
        <v>311</v>
      </c>
      <c r="D611" s="1285" t="s">
        <v>481</v>
      </c>
      <c r="E611" s="1285"/>
      <c r="F611" s="1285"/>
      <c r="I611" s="391"/>
    </row>
    <row r="612" spans="1:9">
      <c r="D612" s="1285"/>
      <c r="E612" s="1285"/>
      <c r="F612" s="1285"/>
      <c r="I612" s="391"/>
    </row>
    <row r="613" spans="1:9">
      <c r="D613" s="288"/>
      <c r="E613" s="922" t="s">
        <v>482</v>
      </c>
      <c r="F613" s="288"/>
      <c r="I613" s="391"/>
    </row>
    <row r="614" spans="1:9">
      <c r="I614" s="391"/>
    </row>
    <row r="615" spans="1:9">
      <c r="A615" s="1269" t="s">
        <v>483</v>
      </c>
      <c r="B615" s="1269"/>
      <c r="C615" s="1269"/>
      <c r="D615" s="1269"/>
      <c r="E615" s="1269"/>
      <c r="F615" s="1269"/>
      <c r="G615" s="1269"/>
      <c r="H615" s="914"/>
      <c r="I615" s="1036"/>
    </row>
    <row r="616" spans="1:9">
      <c r="A616" s="348"/>
      <c r="B616" s="348"/>
      <c r="I616" s="391"/>
    </row>
    <row r="617" spans="1:9">
      <c r="A617" s="383"/>
      <c r="B617" s="383"/>
      <c r="C617" s="383"/>
      <c r="D617" s="1280" t="s">
        <v>484</v>
      </c>
      <c r="E617" s="1280"/>
      <c r="F617" s="1280"/>
      <c r="I617" s="391"/>
    </row>
    <row r="618" spans="1:9">
      <c r="A618" s="383"/>
      <c r="B618" s="383"/>
      <c r="C618" s="383"/>
      <c r="D618" s="1280"/>
      <c r="E618" s="1280"/>
      <c r="F618" s="1280"/>
      <c r="I618" s="391"/>
    </row>
    <row r="619" spans="1:9">
      <c r="C619" s="384"/>
      <c r="D619" s="1250" t="s">
        <v>485</v>
      </c>
      <c r="E619" s="1250"/>
      <c r="F619" s="1250"/>
      <c r="I619" s="391"/>
    </row>
    <row r="620" spans="1:9">
      <c r="C620" s="384"/>
      <c r="D620" s="346"/>
      <c r="E620" s="346"/>
      <c r="F620" s="346"/>
      <c r="I620" s="391"/>
    </row>
    <row r="621" spans="1:9">
      <c r="B621" s="386" t="s">
        <v>311</v>
      </c>
      <c r="C621" s="384"/>
      <c r="D621" s="1249" t="s">
        <v>486</v>
      </c>
      <c r="E621" s="1249"/>
      <c r="F621" s="1249"/>
      <c r="I621" s="391"/>
    </row>
    <row r="622" spans="1:9">
      <c r="C622" s="384"/>
      <c r="D622" s="346"/>
      <c r="E622" s="346"/>
      <c r="F622" s="346"/>
      <c r="I622" s="391"/>
    </row>
    <row r="623" spans="1:9" ht="12.75" customHeight="1">
      <c r="A623" s="391"/>
      <c r="B623" s="386" t="s">
        <v>311</v>
      </c>
      <c r="D623" s="1267" t="s">
        <v>487</v>
      </c>
      <c r="E623" s="1267"/>
      <c r="F623" s="1267"/>
      <c r="I623" s="391"/>
    </row>
    <row r="624" spans="1:9">
      <c r="D624" s="1267"/>
      <c r="E624" s="1267"/>
      <c r="F624" s="1267"/>
      <c r="I624" s="391"/>
    </row>
    <row r="625" spans="1:9">
      <c r="I625" s="391"/>
    </row>
    <row r="626" spans="1:9">
      <c r="B626" s="386" t="s">
        <v>311</v>
      </c>
      <c r="D626" s="1267" t="s">
        <v>488</v>
      </c>
      <c r="E626" s="1267"/>
      <c r="F626" s="1267"/>
      <c r="I626" s="391"/>
    </row>
    <row r="627" spans="1:9">
      <c r="C627" s="401"/>
      <c r="D627" s="1267"/>
      <c r="E627" s="1267"/>
      <c r="F627" s="1267"/>
      <c r="I627" s="391"/>
    </row>
    <row r="628" spans="1:9">
      <c r="C628" s="401"/>
      <c r="I628" s="391"/>
    </row>
    <row r="629" spans="1:9">
      <c r="B629" s="386" t="s">
        <v>316</v>
      </c>
      <c r="C629" s="401"/>
      <c r="D629" s="1267" t="s">
        <v>489</v>
      </c>
      <c r="E629" s="1267"/>
      <c r="F629" s="1267"/>
      <c r="I629" s="391"/>
    </row>
    <row r="630" spans="1:9">
      <c r="C630" s="401"/>
      <c r="D630" s="1267"/>
      <c r="E630" s="1267"/>
      <c r="F630" s="1267"/>
      <c r="I630" s="401"/>
    </row>
    <row r="631" spans="1:9">
      <c r="C631" s="401"/>
      <c r="I631" s="391"/>
    </row>
    <row r="632" spans="1:9">
      <c r="B632" s="386" t="s">
        <v>316</v>
      </c>
      <c r="C632" s="401"/>
      <c r="D632" s="1249" t="s">
        <v>490</v>
      </c>
      <c r="E632" s="1249"/>
      <c r="F632" s="1249"/>
      <c r="I632" s="391"/>
    </row>
    <row r="633" spans="1:9">
      <c r="C633" s="401"/>
      <c r="I633" s="391"/>
    </row>
    <row r="634" spans="1:9">
      <c r="A634" s="1269" t="s">
        <v>491</v>
      </c>
      <c r="B634" s="1269"/>
      <c r="C634" s="1269"/>
      <c r="D634" s="1269"/>
      <c r="E634" s="1269"/>
      <c r="F634" s="1269"/>
      <c r="G634" s="1269"/>
      <c r="H634" s="914"/>
      <c r="I634" s="1036"/>
    </row>
    <row r="635" spans="1:9">
      <c r="A635" s="383"/>
      <c r="B635" s="383"/>
      <c r="C635" s="383"/>
      <c r="I635" s="391"/>
    </row>
    <row r="636" spans="1:9">
      <c r="C636" s="391"/>
      <c r="D636" s="1271" t="s">
        <v>492</v>
      </c>
      <c r="E636" s="1271"/>
      <c r="F636" s="1271"/>
      <c r="I636" s="391"/>
    </row>
    <row r="637" spans="1:9">
      <c r="A637" s="391"/>
      <c r="B637" s="391"/>
      <c r="D637" s="307"/>
      <c r="I637" s="391"/>
    </row>
    <row r="638" spans="1:9" ht="14.25" customHeight="1">
      <c r="A638" s="385"/>
      <c r="B638" s="386" t="s">
        <v>311</v>
      </c>
      <c r="D638" s="1285" t="s">
        <v>493</v>
      </c>
      <c r="E638" s="1285"/>
      <c r="F638" s="1285"/>
      <c r="I638" s="391"/>
    </row>
    <row r="639" spans="1:9">
      <c r="D639" s="1285"/>
      <c r="E639" s="1285"/>
      <c r="F639" s="1285"/>
      <c r="I639" s="391"/>
    </row>
    <row r="640" spans="1:9">
      <c r="D640" s="288"/>
      <c r="E640" s="922" t="s">
        <v>494</v>
      </c>
      <c r="F640" s="288"/>
      <c r="I640" s="391"/>
    </row>
    <row r="641" spans="1:9">
      <c r="D641" s="1268" t="s">
        <v>495</v>
      </c>
      <c r="E641" s="1268"/>
      <c r="F641" s="1268"/>
      <c r="I641" s="391"/>
    </row>
    <row r="642" spans="1:9">
      <c r="D642" s="1268"/>
      <c r="E642" s="1268"/>
      <c r="F642" s="1268"/>
      <c r="I642" s="391"/>
    </row>
    <row r="643" spans="1:9">
      <c r="D643" s="1268"/>
      <c r="E643" s="1268"/>
      <c r="F643" s="1268"/>
      <c r="I643" s="391"/>
    </row>
    <row r="644" spans="1:9">
      <c r="D644" s="347"/>
      <c r="E644" s="347"/>
      <c r="F644" s="347"/>
      <c r="I644" s="391"/>
    </row>
    <row r="645" spans="1:9" ht="14.25">
      <c r="A645" s="385"/>
      <c r="B645" s="386" t="s">
        <v>316</v>
      </c>
      <c r="D645" s="1268" t="s">
        <v>496</v>
      </c>
      <c r="E645" s="1268"/>
      <c r="F645" s="1268"/>
      <c r="I645" s="391"/>
    </row>
    <row r="646" spans="1:9">
      <c r="A646" s="388"/>
      <c r="B646" s="388"/>
      <c r="C646" s="388"/>
      <c r="D646" s="1268"/>
      <c r="E646" s="1268"/>
      <c r="F646" s="1268"/>
      <c r="I646" s="391"/>
    </row>
    <row r="647" spans="1:9">
      <c r="A647" s="388"/>
      <c r="B647" s="388"/>
      <c r="C647" s="388"/>
      <c r="D647" s="348"/>
      <c r="E647" s="348"/>
      <c r="F647" s="348"/>
      <c r="I647" s="391"/>
    </row>
    <row r="648" spans="1:9" ht="14.25">
      <c r="A648" s="385"/>
      <c r="B648" s="386" t="s">
        <v>316</v>
      </c>
      <c r="C648" s="388"/>
      <c r="D648" s="1268" t="s">
        <v>497</v>
      </c>
      <c r="E648" s="1268"/>
      <c r="F648" s="1268"/>
      <c r="I648" s="391"/>
    </row>
    <row r="649" spans="1:9" ht="14.25">
      <c r="A649" s="385"/>
      <c r="B649" s="385"/>
      <c r="C649" s="388"/>
      <c r="D649" s="1268"/>
      <c r="E649" s="1268"/>
      <c r="F649" s="1268"/>
      <c r="I649" s="391"/>
    </row>
    <row r="650" spans="1:9" ht="14.25">
      <c r="A650" s="385"/>
      <c r="B650" s="385"/>
      <c r="C650" s="388"/>
      <c r="D650" s="1268"/>
      <c r="E650" s="1268"/>
      <c r="F650" s="1268"/>
      <c r="I650" s="391"/>
    </row>
    <row r="651" spans="1:9">
      <c r="A651" s="388"/>
      <c r="B651" s="386" t="s">
        <v>316</v>
      </c>
      <c r="C651" s="388"/>
      <c r="D651" s="1270" t="s">
        <v>498</v>
      </c>
      <c r="E651" s="1270"/>
      <c r="F651" s="1270"/>
      <c r="I651" s="391"/>
    </row>
    <row r="652" spans="1:9">
      <c r="A652" s="388"/>
      <c r="B652" s="388"/>
      <c r="C652" s="388"/>
      <c r="D652" s="348"/>
      <c r="E652" s="348"/>
      <c r="F652" s="348"/>
      <c r="I652" s="391"/>
    </row>
    <row r="653" spans="1:9">
      <c r="A653" s="1269" t="s">
        <v>499</v>
      </c>
      <c r="B653" s="1269"/>
      <c r="C653" s="1269"/>
      <c r="D653" s="1269"/>
      <c r="E653" s="1269"/>
      <c r="F653" s="1269"/>
      <c r="G653" s="1269"/>
      <c r="H653" s="914"/>
      <c r="I653" s="1036"/>
    </row>
    <row r="654" spans="1:9">
      <c r="A654" s="348"/>
      <c r="B654" s="348"/>
      <c r="C654" s="388"/>
      <c r="D654" s="348"/>
      <c r="E654" s="348"/>
      <c r="F654" s="348"/>
      <c r="I654" s="391"/>
    </row>
    <row r="655" spans="1:9">
      <c r="C655" s="383"/>
      <c r="D655" s="1271" t="s">
        <v>500</v>
      </c>
      <c r="E655" s="1271"/>
      <c r="F655" s="1271"/>
      <c r="I655" s="391"/>
    </row>
    <row r="656" spans="1:9">
      <c r="A656" s="384"/>
      <c r="B656" s="384"/>
      <c r="C656" s="384"/>
      <c r="D656" s="1270" t="s">
        <v>501</v>
      </c>
      <c r="E656" s="1270"/>
      <c r="F656" s="1270"/>
      <c r="I656" s="391"/>
    </row>
    <row r="657" spans="1:9">
      <c r="A657" s="384"/>
      <c r="B657" s="384"/>
      <c r="C657" s="384"/>
      <c r="D657" s="348"/>
      <c r="E657" s="348"/>
      <c r="F657" s="348"/>
      <c r="I657" s="391"/>
    </row>
    <row r="658" spans="1:9" ht="12.75" customHeight="1">
      <c r="B658" s="386" t="s">
        <v>311</v>
      </c>
      <c r="C658" s="388"/>
      <c r="D658" s="1268" t="s">
        <v>502</v>
      </c>
      <c r="E658" s="1268"/>
      <c r="F658" s="1268"/>
      <c r="I658" s="391"/>
    </row>
    <row r="659" spans="1:9">
      <c r="D659" s="1268"/>
      <c r="E659" s="1268"/>
      <c r="F659" s="1268"/>
      <c r="I659" s="391"/>
    </row>
    <row r="660" spans="1:9">
      <c r="D660" s="1268"/>
      <c r="E660" s="1268"/>
      <c r="F660" s="1268"/>
      <c r="I660" s="391"/>
    </row>
    <row r="661" spans="1:9">
      <c r="D661" s="1268"/>
      <c r="E661" s="1268"/>
      <c r="F661" s="1268"/>
      <c r="I661" s="391"/>
    </row>
    <row r="662" spans="1:9" ht="14.45" customHeight="1">
      <c r="A662" s="385"/>
      <c r="B662" s="385"/>
      <c r="C662" s="388"/>
      <c r="D662" s="288"/>
      <c r="E662" s="288"/>
      <c r="F662" s="288"/>
      <c r="I662" s="391"/>
    </row>
    <row r="663" spans="1:9" ht="12.75" customHeight="1">
      <c r="A663" s="384"/>
      <c r="B663" s="386" t="s">
        <v>311</v>
      </c>
      <c r="C663" s="388"/>
      <c r="D663" s="1268" t="s">
        <v>503</v>
      </c>
      <c r="E663" s="1268"/>
      <c r="F663" s="1268"/>
      <c r="I663" s="391"/>
    </row>
    <row r="664" spans="1:9" ht="14.25">
      <c r="A664" s="384"/>
      <c r="B664" s="385"/>
      <c r="C664" s="388"/>
      <c r="D664" s="1268"/>
      <c r="E664" s="1268"/>
      <c r="F664" s="1268"/>
      <c r="I664" s="391"/>
    </row>
    <row r="665" spans="1:9" ht="14.25">
      <c r="A665" s="384"/>
      <c r="B665" s="385"/>
      <c r="C665" s="388"/>
      <c r="D665" s="1268"/>
      <c r="E665" s="1268"/>
      <c r="F665" s="1268"/>
      <c r="I665" s="391"/>
    </row>
    <row r="666" spans="1:9" ht="14.25">
      <c r="A666" s="384"/>
      <c r="B666" s="385"/>
      <c r="C666" s="388"/>
      <c r="D666" s="1268"/>
      <c r="E666" s="1268"/>
      <c r="F666" s="1268"/>
      <c r="I666" s="391"/>
    </row>
    <row r="667" spans="1:9" ht="14.25">
      <c r="A667" s="384"/>
      <c r="B667" s="385"/>
      <c r="C667" s="388"/>
      <c r="D667" s="1268"/>
      <c r="E667" s="1268"/>
      <c r="F667" s="1268"/>
      <c r="I667" s="391"/>
    </row>
    <row r="668" spans="1:9" ht="14.25" customHeight="1">
      <c r="A668" s="384"/>
      <c r="B668" s="385"/>
      <c r="C668" s="388"/>
      <c r="F668" s="289"/>
      <c r="I668" s="391"/>
    </row>
    <row r="669" spans="1:9" ht="12.75" customHeight="1">
      <c r="A669" s="384"/>
      <c r="B669" s="386" t="s">
        <v>311</v>
      </c>
      <c r="C669" s="388"/>
      <c r="D669" s="1268" t="s">
        <v>504</v>
      </c>
      <c r="E669" s="1268"/>
      <c r="F669" s="1268"/>
      <c r="I669" s="391"/>
    </row>
    <row r="670" spans="1:9" ht="14.25">
      <c r="A670" s="384"/>
      <c r="B670" s="385"/>
      <c r="C670" s="388"/>
      <c r="D670" s="1268"/>
      <c r="E670" s="1268"/>
      <c r="F670" s="1268"/>
      <c r="I670" s="391"/>
    </row>
    <row r="671" spans="1:9" ht="14.25">
      <c r="A671" s="385"/>
      <c r="B671" s="385"/>
      <c r="C671" s="388"/>
      <c r="D671" s="1268"/>
      <c r="E671" s="1268"/>
      <c r="F671" s="1268"/>
      <c r="I671" s="391"/>
    </row>
    <row r="672" spans="1:9" ht="14.25">
      <c r="A672" s="385"/>
      <c r="B672" s="385"/>
      <c r="C672" s="388"/>
      <c r="D672" s="1268"/>
      <c r="E672" s="1268"/>
      <c r="F672" s="1268"/>
      <c r="I672" s="391"/>
    </row>
    <row r="673" spans="1:11" ht="14.25">
      <c r="A673" s="385"/>
      <c r="B673" s="385"/>
      <c r="C673" s="388"/>
      <c r="D673" s="347"/>
      <c r="E673" s="347"/>
      <c r="F673" s="347"/>
      <c r="I673" s="391"/>
    </row>
    <row r="674" spans="1:11" ht="12.75" customHeight="1">
      <c r="A674" s="384"/>
      <c r="B674" s="386" t="s">
        <v>316</v>
      </c>
      <c r="C674" s="388"/>
      <c r="D674" s="1268" t="s">
        <v>505</v>
      </c>
      <c r="E674" s="1268"/>
      <c r="F674" s="1268"/>
      <c r="I674" s="391"/>
    </row>
    <row r="675" spans="1:11" ht="12.75" customHeight="1">
      <c r="A675" s="384"/>
      <c r="B675" s="385"/>
      <c r="C675" s="388"/>
      <c r="D675" s="1268"/>
      <c r="E675" s="1268"/>
      <c r="F675" s="1268"/>
      <c r="I675" s="391"/>
    </row>
    <row r="676" spans="1:11" ht="12.75" customHeight="1">
      <c r="A676" s="384"/>
      <c r="B676" s="385"/>
      <c r="C676" s="388"/>
      <c r="D676" s="1268"/>
      <c r="E676" s="1268"/>
      <c r="F676" s="1268"/>
      <c r="I676" s="391"/>
    </row>
    <row r="677" spans="1:11" ht="12.75" customHeight="1">
      <c r="A677" s="384"/>
      <c r="B677" s="385"/>
      <c r="C677" s="388"/>
      <c r="D677" s="1268"/>
      <c r="E677" s="1268"/>
      <c r="F677" s="1268"/>
      <c r="I677" s="391"/>
    </row>
    <row r="678" spans="1:11" ht="12.75" customHeight="1">
      <c r="A678" s="384"/>
      <c r="B678" s="385"/>
      <c r="C678" s="388"/>
      <c r="D678" s="1268"/>
      <c r="E678" s="1268"/>
      <c r="F678" s="1268"/>
      <c r="I678" s="391"/>
    </row>
    <row r="679" spans="1:11" ht="12.75" customHeight="1">
      <c r="A679" s="384"/>
      <c r="B679" s="385"/>
      <c r="C679" s="388"/>
      <c r="D679" s="1268"/>
      <c r="E679" s="1268"/>
      <c r="F679" s="1268"/>
      <c r="I679" s="391"/>
    </row>
    <row r="680" spans="1:11" ht="12.75" customHeight="1">
      <c r="A680" s="384"/>
      <c r="B680" s="385"/>
      <c r="C680" s="388"/>
      <c r="D680" s="1268"/>
      <c r="E680" s="1268"/>
      <c r="F680" s="1268"/>
      <c r="I680" s="391"/>
    </row>
    <row r="681" spans="1:11" ht="12.75" customHeight="1">
      <c r="A681" s="384"/>
      <c r="B681" s="385"/>
      <c r="C681" s="388"/>
      <c r="D681" s="1268"/>
      <c r="E681" s="1268"/>
      <c r="F681" s="1268"/>
      <c r="I681" s="391"/>
    </row>
    <row r="682" spans="1:11" ht="12.75" customHeight="1">
      <c r="A682" s="384"/>
      <c r="B682" s="385"/>
      <c r="C682" s="388"/>
      <c r="D682" s="1268"/>
      <c r="E682" s="1268"/>
      <c r="F682" s="1268"/>
      <c r="I682" s="391"/>
    </row>
    <row r="683" spans="1:11">
      <c r="A683" s="388"/>
      <c r="B683" s="388"/>
      <c r="C683" s="388"/>
      <c r="D683" s="348"/>
      <c r="E683" s="348"/>
      <c r="F683" s="348"/>
      <c r="I683" s="391"/>
    </row>
    <row r="684" spans="1:11">
      <c r="A684" s="1269" t="s">
        <v>506</v>
      </c>
      <c r="B684" s="1269"/>
      <c r="C684" s="1269"/>
      <c r="D684" s="1269"/>
      <c r="E684" s="1269"/>
      <c r="F684" s="1269"/>
      <c r="G684" s="1269"/>
      <c r="H684" s="916"/>
      <c r="I684" s="1040"/>
      <c r="J684" s="402"/>
      <c r="K684" s="402"/>
    </row>
    <row r="685" spans="1:11">
      <c r="A685" s="350"/>
      <c r="B685" s="350"/>
      <c r="C685" s="350"/>
      <c r="D685" s="350"/>
      <c r="E685" s="350"/>
      <c r="F685" s="350"/>
      <c r="G685" s="350"/>
      <c r="H685" s="402"/>
      <c r="I685" s="384"/>
      <c r="J685" s="402"/>
      <c r="K685" s="402"/>
    </row>
    <row r="686" spans="1:11">
      <c r="C686" s="383"/>
      <c r="D686" s="1271" t="s">
        <v>507</v>
      </c>
      <c r="E686" s="1271"/>
      <c r="F686" s="1271"/>
      <c r="H686" s="402"/>
      <c r="I686" s="384"/>
      <c r="J686" s="402"/>
      <c r="K686" s="402"/>
    </row>
    <row r="687" spans="1:11">
      <c r="A687" s="383"/>
      <c r="B687" s="383"/>
      <c r="C687" s="383"/>
      <c r="D687" s="1271" t="s">
        <v>508</v>
      </c>
      <c r="E687" s="1271"/>
      <c r="F687" s="1271"/>
      <c r="H687" s="402"/>
      <c r="I687" s="384"/>
      <c r="J687" s="402"/>
      <c r="K687" s="402"/>
    </row>
    <row r="688" spans="1:11">
      <c r="A688" s="384"/>
      <c r="B688" s="384"/>
      <c r="C688" s="384"/>
      <c r="D688" s="1270" t="s">
        <v>509</v>
      </c>
      <c r="E688" s="1270"/>
      <c r="F688" s="1270"/>
      <c r="H688" s="402"/>
      <c r="I688" s="384"/>
      <c r="J688" s="402"/>
      <c r="K688" s="402"/>
    </row>
    <row r="689" spans="1:11">
      <c r="A689" s="384"/>
      <c r="B689" s="384"/>
      <c r="C689" s="384"/>
      <c r="H689" s="402"/>
      <c r="I689" s="384"/>
      <c r="J689" s="402"/>
      <c r="K689" s="402"/>
    </row>
    <row r="690" spans="1:11" ht="14.25">
      <c r="A690" s="385"/>
      <c r="B690" s="386" t="s">
        <v>316</v>
      </c>
      <c r="C690" s="384"/>
      <c r="D690" s="1270" t="s">
        <v>510</v>
      </c>
      <c r="E690" s="1270"/>
      <c r="F690" s="1270"/>
      <c r="H690" s="402"/>
      <c r="I690" s="384"/>
      <c r="J690" s="402"/>
      <c r="K690" s="402"/>
    </row>
    <row r="691" spans="1:11">
      <c r="A691" s="384"/>
      <c r="B691" s="384"/>
      <c r="C691" s="384"/>
      <c r="D691" s="1270" t="s">
        <v>511</v>
      </c>
      <c r="E691" s="1270"/>
      <c r="F691" s="1270"/>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ht="14.25">
      <c r="A695" s="385"/>
      <c r="B695" s="386" t="s">
        <v>316</v>
      </c>
      <c r="C695" s="384"/>
      <c r="D695" s="1268" t="s">
        <v>514</v>
      </c>
      <c r="E695" s="1268"/>
      <c r="F695" s="1268"/>
      <c r="H695" s="402"/>
      <c r="I695" s="384"/>
      <c r="J695" s="402"/>
      <c r="K695" s="402"/>
    </row>
    <row r="696" spans="1:11">
      <c r="A696" s="391"/>
      <c r="B696" s="391"/>
      <c r="C696" s="384"/>
      <c r="D696" s="1268"/>
      <c r="E696" s="1268"/>
      <c r="F696" s="1268"/>
      <c r="H696" s="402"/>
      <c r="I696" s="384"/>
      <c r="J696" s="402"/>
      <c r="K696" s="402"/>
    </row>
    <row r="697" spans="1:11">
      <c r="A697" s="384"/>
      <c r="B697" s="384"/>
      <c r="C697" s="384"/>
      <c r="D697" s="1268"/>
      <c r="E697" s="1268"/>
      <c r="F697" s="1268"/>
      <c r="H697" s="402"/>
      <c r="I697" s="384"/>
      <c r="J697" s="402"/>
      <c r="K697" s="402"/>
    </row>
    <row r="698" spans="1:11">
      <c r="A698" s="384"/>
      <c r="B698" s="384"/>
      <c r="C698" s="384"/>
      <c r="H698" s="402"/>
      <c r="J698" s="402"/>
      <c r="K698" s="402"/>
    </row>
    <row r="699" spans="1:11" ht="14.25">
      <c r="A699" s="385"/>
      <c r="B699" s="386" t="s">
        <v>316</v>
      </c>
      <c r="C699" s="384"/>
      <c r="D699" s="1270" t="s">
        <v>515</v>
      </c>
      <c r="E699" s="1270"/>
      <c r="F699" s="1270"/>
      <c r="H699" s="402"/>
      <c r="I699" s="384"/>
      <c r="J699" s="402"/>
      <c r="K699" s="402"/>
    </row>
    <row r="700" spans="1:11" ht="14.25">
      <c r="A700" s="385"/>
      <c r="B700" s="385"/>
      <c r="C700" s="384"/>
      <c r="D700" s="1270" t="s">
        <v>511</v>
      </c>
      <c r="E700" s="1270"/>
      <c r="F700" s="1270"/>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ht="14.25">
      <c r="A703" s="385"/>
      <c r="B703" s="386" t="s">
        <v>316</v>
      </c>
      <c r="C703" s="384"/>
      <c r="D703" s="1270" t="s">
        <v>517</v>
      </c>
      <c r="E703" s="1270"/>
      <c r="F703" s="1270"/>
      <c r="H703" s="402"/>
      <c r="I703" s="384"/>
      <c r="J703" s="402"/>
      <c r="K703" s="402"/>
    </row>
    <row r="704" spans="1:11" ht="14.25">
      <c r="A704" s="385"/>
      <c r="B704" s="385"/>
      <c r="C704" s="384"/>
      <c r="D704" s="1270" t="s">
        <v>511</v>
      </c>
      <c r="E704" s="1270"/>
      <c r="F704" s="1270"/>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ht="14.25">
      <c r="A707" s="385"/>
      <c r="B707" s="386" t="s">
        <v>311</v>
      </c>
      <c r="C707" s="384"/>
      <c r="D707" s="1268" t="s">
        <v>519</v>
      </c>
      <c r="E707" s="1268"/>
      <c r="F707" s="1268"/>
      <c r="H707" s="402"/>
      <c r="I707" s="384"/>
      <c r="J707" s="402"/>
      <c r="K707" s="402"/>
    </row>
    <row r="708" spans="1:11">
      <c r="A708" s="384"/>
      <c r="B708" s="384"/>
      <c r="C708" s="384"/>
      <c r="D708" s="1268"/>
      <c r="E708" s="1268"/>
      <c r="F708" s="1268"/>
      <c r="H708" s="402"/>
      <c r="I708" s="384"/>
      <c r="J708" s="402"/>
      <c r="K708" s="402"/>
    </row>
    <row r="709" spans="1:11">
      <c r="A709" s="384"/>
      <c r="B709" s="384"/>
      <c r="C709" s="384"/>
      <c r="D709" s="1268"/>
      <c r="E709" s="1268"/>
      <c r="F709" s="1268"/>
      <c r="H709" s="402"/>
      <c r="I709" s="384"/>
      <c r="J709" s="402"/>
      <c r="K709" s="402"/>
    </row>
    <row r="710" spans="1:11">
      <c r="A710" s="384"/>
      <c r="B710" s="384"/>
      <c r="C710" s="384"/>
      <c r="D710" s="1268"/>
      <c r="E710" s="1268"/>
      <c r="F710" s="1268"/>
      <c r="H710" s="402"/>
      <c r="I710" s="384"/>
      <c r="J710" s="402"/>
      <c r="K710" s="402"/>
    </row>
    <row r="711" spans="1:11">
      <c r="A711" s="384"/>
      <c r="B711" s="384"/>
      <c r="C711" s="384"/>
      <c r="D711" s="1268"/>
      <c r="E711" s="1268"/>
      <c r="F711" s="1268"/>
      <c r="H711" s="402"/>
      <c r="I711" s="384"/>
      <c r="J711" s="402"/>
      <c r="K711" s="402"/>
    </row>
    <row r="712" spans="1:11">
      <c r="A712" s="384"/>
      <c r="B712" s="384"/>
      <c r="C712" s="384"/>
      <c r="D712" s="1268"/>
      <c r="E712" s="1268"/>
      <c r="F712" s="1268"/>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268" t="s">
        <v>520</v>
      </c>
      <c r="E714" s="1268"/>
      <c r="F714" s="1268"/>
      <c r="H714" s="402"/>
      <c r="I714" s="384"/>
      <c r="J714" s="402"/>
      <c r="K714" s="402"/>
    </row>
    <row r="715" spans="1:11">
      <c r="A715" s="384"/>
      <c r="B715" s="384"/>
      <c r="C715" s="384"/>
      <c r="D715" s="1268"/>
      <c r="E715" s="1268"/>
      <c r="F715" s="1268"/>
      <c r="H715" s="402"/>
      <c r="I715" s="384"/>
      <c r="J715" s="402"/>
      <c r="K715" s="402"/>
    </row>
    <row r="716" spans="1:11">
      <c r="A716" s="384"/>
      <c r="B716" s="384"/>
      <c r="C716" s="384"/>
      <c r="D716" s="347"/>
      <c r="E716" s="347"/>
      <c r="F716" s="347"/>
      <c r="H716" s="402"/>
      <c r="I716" s="384"/>
      <c r="J716" s="402"/>
      <c r="K716" s="402"/>
    </row>
    <row r="717" spans="1:11" ht="14.25">
      <c r="A717" s="385"/>
      <c r="B717" s="386" t="s">
        <v>316</v>
      </c>
      <c r="C717" s="384"/>
      <c r="D717" s="1268" t="s">
        <v>521</v>
      </c>
      <c r="E717" s="1268"/>
      <c r="F717" s="1268"/>
      <c r="H717" s="402"/>
      <c r="I717" s="384"/>
      <c r="J717" s="402"/>
      <c r="K717" s="402"/>
    </row>
    <row r="718" spans="1:11">
      <c r="A718" s="384"/>
      <c r="B718" s="384"/>
      <c r="C718" s="384"/>
      <c r="D718" s="1268"/>
      <c r="E718" s="1268"/>
      <c r="F718" s="1268"/>
      <c r="H718" s="402"/>
      <c r="I718" s="384"/>
      <c r="J718" s="402"/>
      <c r="K718" s="402"/>
    </row>
    <row r="719" spans="1:11">
      <c r="A719" s="384"/>
      <c r="B719" s="384"/>
      <c r="C719" s="384"/>
      <c r="D719" s="1268"/>
      <c r="E719" s="1268"/>
      <c r="F719" s="1268"/>
      <c r="H719" s="402"/>
      <c r="I719" s="384"/>
      <c r="J719" s="402"/>
      <c r="K719" s="402"/>
    </row>
    <row r="720" spans="1:11" ht="15" customHeight="1">
      <c r="A720" s="384"/>
      <c r="B720" s="384"/>
      <c r="C720" s="384"/>
      <c r="D720" s="1268"/>
      <c r="E720" s="1268"/>
      <c r="F720" s="1268"/>
      <c r="H720" s="402"/>
      <c r="I720" s="384"/>
      <c r="J720" s="402"/>
      <c r="K720" s="402"/>
    </row>
    <row r="721" spans="1:11" ht="15" customHeight="1">
      <c r="A721" s="384"/>
      <c r="B721" s="384"/>
      <c r="C721" s="384"/>
      <c r="D721" s="1268"/>
      <c r="E721" s="1268"/>
      <c r="F721" s="1268"/>
      <c r="H721" s="402"/>
      <c r="I721" s="384"/>
      <c r="J721" s="402"/>
      <c r="K721" s="402"/>
    </row>
    <row r="722" spans="1:11">
      <c r="A722" s="384"/>
      <c r="B722" s="384"/>
      <c r="C722" s="384"/>
      <c r="D722" s="1268"/>
      <c r="E722" s="1268"/>
      <c r="F722" s="1268"/>
      <c r="H722" s="402"/>
      <c r="I722" s="384"/>
      <c r="J722" s="402"/>
      <c r="K722" s="402"/>
    </row>
    <row r="723" spans="1:11">
      <c r="A723" s="384"/>
      <c r="B723" s="384"/>
      <c r="C723" s="384"/>
      <c r="D723" s="1268"/>
      <c r="E723" s="1268"/>
      <c r="F723" s="1268"/>
      <c r="H723" s="402"/>
      <c r="I723" s="384"/>
      <c r="J723" s="402"/>
      <c r="K723" s="402"/>
    </row>
    <row r="724" spans="1:11">
      <c r="A724" s="384"/>
      <c r="B724" s="384"/>
      <c r="C724" s="384"/>
      <c r="D724" s="1268"/>
      <c r="E724" s="1268"/>
      <c r="F724" s="1268"/>
      <c r="H724" s="402"/>
      <c r="I724" s="384"/>
      <c r="J724" s="402"/>
      <c r="K724" s="402"/>
    </row>
    <row r="725" spans="1:11" ht="15" customHeight="1">
      <c r="A725" s="384"/>
      <c r="B725" s="384"/>
      <c r="C725" s="384"/>
      <c r="D725" s="1268"/>
      <c r="E725" s="1268"/>
      <c r="F725" s="1268"/>
      <c r="H725" s="402"/>
      <c r="I725" s="384"/>
      <c r="J725" s="402"/>
      <c r="K725" s="402"/>
    </row>
    <row r="726" spans="1:11">
      <c r="A726" s="384"/>
      <c r="B726" s="384"/>
      <c r="C726" s="384"/>
      <c r="D726" s="1268"/>
      <c r="E726" s="1268"/>
      <c r="F726" s="1268"/>
      <c r="H726" s="402"/>
      <c r="I726" s="384"/>
      <c r="J726" s="402"/>
      <c r="K726" s="402"/>
    </row>
    <row r="727" spans="1:11">
      <c r="A727" s="384"/>
      <c r="B727" s="384"/>
      <c r="C727" s="384"/>
      <c r="D727" s="1268"/>
      <c r="E727" s="1268"/>
      <c r="F727" s="1268"/>
      <c r="H727" s="402"/>
      <c r="I727" s="384"/>
      <c r="J727" s="402"/>
      <c r="K727" s="402"/>
    </row>
    <row r="728" spans="1:11">
      <c r="A728" s="384"/>
      <c r="B728" s="384"/>
      <c r="C728" s="384"/>
      <c r="D728" s="1268"/>
      <c r="E728" s="1268"/>
      <c r="F728" s="1268"/>
      <c r="H728" s="402"/>
      <c r="I728" s="384"/>
      <c r="J728" s="402"/>
      <c r="K728" s="402"/>
    </row>
    <row r="729" spans="1:11">
      <c r="A729" s="384"/>
      <c r="B729" s="384"/>
      <c r="C729" s="384"/>
      <c r="D729" s="1268"/>
      <c r="E729" s="1268"/>
      <c r="F729" s="1268"/>
      <c r="H729" s="402"/>
      <c r="I729" s="384"/>
      <c r="J729" s="402"/>
      <c r="K729" s="402"/>
    </row>
    <row r="730" spans="1:11">
      <c r="A730" s="384"/>
      <c r="B730" s="386" t="s">
        <v>316</v>
      </c>
      <c r="C730" s="384"/>
      <c r="D730" s="1268" t="s">
        <v>522</v>
      </c>
      <c r="E730" s="1268"/>
      <c r="F730" s="1268"/>
      <c r="H730" s="402"/>
      <c r="I730" s="384"/>
      <c r="J730" s="402"/>
      <c r="K730" s="402"/>
    </row>
    <row r="731" spans="1:11">
      <c r="A731" s="384"/>
      <c r="B731" s="384"/>
      <c r="C731" s="384"/>
      <c r="D731" s="1268"/>
      <c r="E731" s="1268"/>
      <c r="F731" s="1268"/>
      <c r="H731" s="402"/>
      <c r="I731" s="384"/>
      <c r="J731" s="402"/>
      <c r="K731" s="402"/>
    </row>
    <row r="732" spans="1:11">
      <c r="A732" s="384"/>
      <c r="B732" s="384"/>
      <c r="C732" s="384"/>
      <c r="D732" s="1268"/>
      <c r="E732" s="1268"/>
      <c r="F732" s="1268"/>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68" t="s">
        <v>523</v>
      </c>
      <c r="E734" s="1268"/>
      <c r="F734" s="1268"/>
      <c r="H734" s="402"/>
      <c r="I734" s="384"/>
      <c r="J734" s="402"/>
      <c r="K734" s="402"/>
    </row>
    <row r="735" spans="1:11">
      <c r="A735" s="384"/>
      <c r="B735" s="384"/>
      <c r="C735" s="384"/>
      <c r="D735" s="1268"/>
      <c r="E735" s="1268"/>
      <c r="F735" s="1268"/>
      <c r="H735" s="402"/>
      <c r="I735" s="384"/>
      <c r="J735" s="402"/>
      <c r="K735" s="402"/>
    </row>
    <row r="736" spans="1:11">
      <c r="A736" s="384"/>
      <c r="B736" s="384"/>
      <c r="C736" s="384"/>
      <c r="D736" s="1268"/>
      <c r="E736" s="1268"/>
      <c r="F736" s="1268"/>
      <c r="H736" s="402"/>
      <c r="I736" s="384"/>
      <c r="J736" s="402"/>
      <c r="K736" s="402"/>
    </row>
    <row r="737" spans="1:11">
      <c r="A737" s="384"/>
      <c r="B737" s="384"/>
      <c r="C737" s="384"/>
      <c r="H737" s="402"/>
      <c r="I737" s="384"/>
      <c r="J737" s="402"/>
      <c r="K737" s="402"/>
    </row>
    <row r="738" spans="1:11">
      <c r="A738" s="384"/>
      <c r="B738" s="386" t="s">
        <v>316</v>
      </c>
      <c r="C738" s="384"/>
      <c r="D738" s="1268" t="s">
        <v>524</v>
      </c>
      <c r="E738" s="1268"/>
      <c r="F738" s="1268"/>
      <c r="H738" s="402"/>
      <c r="I738" s="384"/>
      <c r="J738" s="402"/>
      <c r="K738" s="402"/>
    </row>
    <row r="739" spans="1:11">
      <c r="A739" s="384"/>
      <c r="B739" s="384"/>
      <c r="C739" s="384"/>
      <c r="D739" s="1268"/>
      <c r="E739" s="1268"/>
      <c r="F739" s="1268"/>
      <c r="H739" s="402"/>
      <c r="I739" s="384"/>
      <c r="J739" s="402"/>
      <c r="K739" s="402"/>
    </row>
    <row r="740" spans="1:11">
      <c r="A740" s="384"/>
      <c r="B740" s="384"/>
      <c r="C740" s="384"/>
      <c r="D740" s="1268"/>
      <c r="E740" s="1268"/>
      <c r="F740" s="1268"/>
      <c r="H740" s="402"/>
      <c r="I740" s="384"/>
      <c r="J740" s="402"/>
      <c r="K740" s="402"/>
    </row>
    <row r="741" spans="1:11">
      <c r="A741" s="384"/>
      <c r="B741" s="384"/>
      <c r="C741" s="384"/>
      <c r="D741" s="1268"/>
      <c r="E741" s="1268"/>
      <c r="F741" s="1268"/>
      <c r="H741" s="402"/>
      <c r="I741" s="384"/>
      <c r="J741" s="402"/>
      <c r="K741" s="402"/>
    </row>
    <row r="742" spans="1:11">
      <c r="A742" s="384"/>
      <c r="B742" s="384"/>
      <c r="C742" s="384"/>
      <c r="H742" s="402"/>
      <c r="I742" s="384"/>
      <c r="J742" s="402"/>
      <c r="K742" s="402"/>
    </row>
    <row r="743" spans="1:11" ht="14.25">
      <c r="A743" s="385"/>
      <c r="B743" s="386" t="s">
        <v>316</v>
      </c>
      <c r="C743" s="384"/>
      <c r="D743" s="1268" t="s">
        <v>525</v>
      </c>
      <c r="E743" s="1268"/>
      <c r="F743" s="1268"/>
      <c r="H743" s="402"/>
      <c r="I743" s="384"/>
      <c r="J743" s="402"/>
      <c r="K743" s="402"/>
    </row>
    <row r="744" spans="1:11">
      <c r="A744" s="384"/>
      <c r="B744" s="384"/>
      <c r="C744" s="384"/>
      <c r="D744" s="1268"/>
      <c r="E744" s="1268"/>
      <c r="F744" s="1268"/>
      <c r="H744" s="402"/>
      <c r="I744" s="384"/>
      <c r="J744" s="402"/>
      <c r="K744" s="402"/>
    </row>
    <row r="745" spans="1:11">
      <c r="A745" s="384"/>
      <c r="B745" s="384"/>
      <c r="C745" s="384"/>
      <c r="D745" s="1268"/>
      <c r="E745" s="1268"/>
      <c r="F745" s="1268"/>
      <c r="H745" s="402"/>
      <c r="I745" s="384"/>
      <c r="J745" s="402"/>
      <c r="K745" s="402"/>
    </row>
    <row r="746" spans="1:11">
      <c r="A746" s="384"/>
      <c r="B746" s="384"/>
      <c r="C746" s="384"/>
      <c r="D746" s="1268"/>
      <c r="E746" s="1268"/>
      <c r="F746" s="1268"/>
      <c r="H746" s="402"/>
      <c r="I746" s="384"/>
      <c r="J746" s="402"/>
      <c r="K746" s="402"/>
    </row>
    <row r="747" spans="1:11">
      <c r="A747" s="384"/>
      <c r="B747" s="384"/>
      <c r="C747" s="384"/>
      <c r="D747" s="1268"/>
      <c r="E747" s="1268"/>
      <c r="F747" s="1268"/>
      <c r="H747" s="402"/>
      <c r="I747" s="384"/>
      <c r="J747" s="402"/>
      <c r="K747" s="402"/>
    </row>
    <row r="748" spans="1:11">
      <c r="A748" s="384"/>
      <c r="B748" s="384"/>
      <c r="C748" s="384"/>
      <c r="D748" s="393"/>
      <c r="H748" s="402"/>
      <c r="I748" s="384"/>
      <c r="J748" s="402"/>
      <c r="K748" s="402"/>
    </row>
    <row r="749" spans="1:11" ht="14.25">
      <c r="A749" s="385"/>
      <c r="B749" s="386" t="s">
        <v>316</v>
      </c>
      <c r="C749" s="384"/>
      <c r="D749" s="1268" t="s">
        <v>526</v>
      </c>
      <c r="E749" s="1268"/>
      <c r="F749" s="1268"/>
      <c r="H749" s="402"/>
      <c r="I749" s="384"/>
      <c r="J749" s="402"/>
      <c r="K749" s="402"/>
    </row>
    <row r="750" spans="1:11">
      <c r="A750" s="384"/>
      <c r="B750" s="384"/>
      <c r="C750" s="384"/>
      <c r="D750" s="1268"/>
      <c r="E750" s="1268"/>
      <c r="F750" s="1268"/>
      <c r="H750" s="402"/>
      <c r="I750" s="384"/>
      <c r="J750" s="402"/>
      <c r="K750" s="402"/>
    </row>
    <row r="751" spans="1:11">
      <c r="A751" s="384"/>
      <c r="B751" s="384"/>
      <c r="C751" s="384"/>
      <c r="D751" s="1268"/>
      <c r="E751" s="1268"/>
      <c r="F751" s="1268"/>
      <c r="H751" s="402"/>
      <c r="I751" s="384"/>
      <c r="J751" s="402"/>
      <c r="K751" s="402"/>
    </row>
    <row r="752" spans="1:11">
      <c r="A752" s="384"/>
      <c r="B752" s="384"/>
      <c r="C752" s="384"/>
      <c r="D752" s="1268"/>
      <c r="E752" s="1268"/>
      <c r="F752" s="1268"/>
      <c r="H752" s="402"/>
      <c r="I752" s="384"/>
      <c r="J752" s="402"/>
      <c r="K752" s="402"/>
    </row>
    <row r="753" spans="1:11">
      <c r="A753" s="384"/>
      <c r="B753" s="384"/>
      <c r="C753" s="384"/>
      <c r="D753" s="1268"/>
      <c r="E753" s="1268"/>
      <c r="F753" s="1268"/>
      <c r="H753" s="402"/>
      <c r="I753" s="384"/>
      <c r="J753" s="402"/>
      <c r="K753" s="402"/>
    </row>
    <row r="754" spans="1:11">
      <c r="A754" s="384"/>
      <c r="B754" s="384"/>
      <c r="C754" s="384"/>
      <c r="D754" s="1268"/>
      <c r="E754" s="1268"/>
      <c r="F754" s="1268"/>
      <c r="H754" s="402"/>
      <c r="I754" s="384"/>
      <c r="J754" s="402"/>
      <c r="K754" s="402"/>
    </row>
    <row r="755" spans="1:11">
      <c r="A755" s="384"/>
      <c r="B755" s="384"/>
      <c r="C755" s="384"/>
      <c r="D755" s="1268"/>
      <c r="E755" s="1268"/>
      <c r="F755" s="1268"/>
      <c r="H755" s="402"/>
      <c r="I755" s="384"/>
      <c r="J755" s="402"/>
      <c r="K755" s="402"/>
    </row>
    <row r="756" spans="1:11">
      <c r="A756" s="384"/>
      <c r="B756" s="384"/>
      <c r="C756" s="384"/>
      <c r="D756" s="1273" t="s">
        <v>527</v>
      </c>
      <c r="E756" s="1273"/>
      <c r="F756" s="1273"/>
      <c r="H756" s="402"/>
      <c r="I756" s="384"/>
      <c r="J756" s="402"/>
      <c r="K756" s="402"/>
    </row>
    <row r="757" spans="1:11">
      <c r="A757" s="384"/>
      <c r="B757" s="384"/>
      <c r="C757" s="384"/>
      <c r="D757" s="244"/>
      <c r="H757" s="402"/>
      <c r="I757" s="384"/>
      <c r="J757" s="402"/>
      <c r="K757" s="402"/>
    </row>
    <row r="758" spans="1:11">
      <c r="A758" s="1272" t="s">
        <v>528</v>
      </c>
      <c r="B758" s="1272"/>
      <c r="C758" s="1272"/>
      <c r="D758" s="1272"/>
      <c r="E758" s="1272"/>
      <c r="F758" s="1272"/>
      <c r="G758" s="1272"/>
      <c r="H758" s="916"/>
      <c r="I758" s="1040"/>
      <c r="J758" s="402"/>
      <c r="K758" s="402"/>
    </row>
    <row r="759" spans="1:11">
      <c r="A759" s="384"/>
      <c r="B759" s="384"/>
      <c r="C759" s="384"/>
      <c r="D759" s="393"/>
      <c r="G759" s="402"/>
      <c r="H759" s="402"/>
      <c r="I759" s="384"/>
      <c r="J759" s="402"/>
      <c r="K759" s="402"/>
    </row>
    <row r="760" spans="1:11" ht="13.7" customHeight="1">
      <c r="C760" s="384"/>
      <c r="D760" s="1288" t="s">
        <v>529</v>
      </c>
      <c r="E760" s="1288"/>
      <c r="F760" s="1288"/>
      <c r="G760" s="402"/>
      <c r="H760" s="402"/>
      <c r="I760" s="384"/>
      <c r="J760" s="402"/>
      <c r="K760" s="402"/>
    </row>
    <row r="761" spans="1:11">
      <c r="A761" s="384"/>
      <c r="B761" s="384"/>
      <c r="C761" s="384"/>
      <c r="D761" s="1274" t="s">
        <v>530</v>
      </c>
      <c r="E761" s="1274"/>
      <c r="F761" s="1274"/>
      <c r="G761" s="402"/>
      <c r="H761" s="402"/>
      <c r="I761" s="384"/>
      <c r="J761" s="402"/>
      <c r="K761" s="402"/>
    </row>
    <row r="762" spans="1:11">
      <c r="A762" s="384"/>
      <c r="B762" s="384"/>
      <c r="C762" s="384"/>
      <c r="G762" s="402"/>
      <c r="H762" s="402"/>
      <c r="I762" s="384"/>
      <c r="J762" s="402"/>
      <c r="K762" s="402"/>
    </row>
    <row r="763" spans="1:11" ht="14.25">
      <c r="A763" s="385"/>
      <c r="B763" s="386" t="s">
        <v>311</v>
      </c>
      <c r="D763" s="1268" t="s">
        <v>531</v>
      </c>
      <c r="E763" s="1268"/>
      <c r="F763" s="1268"/>
      <c r="G763" s="402"/>
      <c r="H763" s="402"/>
      <c r="I763" s="384"/>
      <c r="J763" s="402"/>
      <c r="K763" s="402"/>
    </row>
    <row r="764" spans="1:11" ht="10.5" customHeight="1">
      <c r="D764" s="1268"/>
      <c r="E764" s="1268"/>
      <c r="F764" s="1268"/>
      <c r="G764" s="402"/>
      <c r="H764" s="402"/>
      <c r="I764" s="384"/>
      <c r="J764" s="402"/>
      <c r="K764" s="402"/>
    </row>
    <row r="765" spans="1:11">
      <c r="D765" s="1268"/>
      <c r="E765" s="1268"/>
      <c r="F765" s="1268"/>
      <c r="G765" s="402"/>
      <c r="H765" s="402"/>
      <c r="I765" s="384"/>
      <c r="J765" s="402"/>
      <c r="K765" s="402"/>
    </row>
    <row r="766" spans="1:11">
      <c r="D766" s="1268"/>
      <c r="E766" s="1268"/>
      <c r="F766" s="1268"/>
      <c r="G766" s="402"/>
      <c r="H766" s="402"/>
      <c r="I766" s="384"/>
      <c r="J766" s="402"/>
      <c r="K766" s="402"/>
    </row>
    <row r="767" spans="1:11">
      <c r="D767" s="1268"/>
      <c r="E767" s="1268"/>
      <c r="F767" s="1268"/>
      <c r="G767" s="402"/>
      <c r="H767" s="402"/>
      <c r="I767" s="384"/>
      <c r="J767" s="402"/>
      <c r="K767" s="402"/>
    </row>
    <row r="768" spans="1:11" ht="15.6" customHeight="1">
      <c r="D768" s="1268"/>
      <c r="E768" s="1268"/>
      <c r="F768" s="1268"/>
      <c r="G768" s="402"/>
      <c r="H768" s="402"/>
      <c r="I768" s="384"/>
      <c r="J768" s="402"/>
      <c r="K768" s="402"/>
    </row>
    <row r="769" spans="1:11">
      <c r="D769" s="400"/>
      <c r="E769" s="348"/>
      <c r="F769" s="348"/>
      <c r="G769" s="402"/>
      <c r="H769" s="402"/>
      <c r="I769" s="384"/>
      <c r="J769" s="402"/>
      <c r="K769" s="402"/>
    </row>
    <row r="770" spans="1:11" s="406" customFormat="1" ht="14.25">
      <c r="A770" s="404"/>
      <c r="B770" s="386" t="s">
        <v>311</v>
      </c>
      <c r="C770" s="405"/>
      <c r="D770" s="1268" t="s">
        <v>532</v>
      </c>
      <c r="E770" s="1268"/>
      <c r="F770" s="1268"/>
      <c r="I770" s="1041"/>
    </row>
    <row r="771" spans="1:11" s="406" customFormat="1">
      <c r="A771" s="405"/>
      <c r="B771" s="405"/>
      <c r="C771" s="405"/>
      <c r="D771" s="1268"/>
      <c r="E771" s="1268"/>
      <c r="F771" s="1268"/>
      <c r="I771" s="1041"/>
    </row>
    <row r="772" spans="1:11" s="406" customFormat="1">
      <c r="A772" s="405"/>
      <c r="B772" s="405"/>
      <c r="C772" s="405"/>
      <c r="D772" s="1268"/>
      <c r="E772" s="1268"/>
      <c r="F772" s="1268"/>
      <c r="I772" s="1041"/>
    </row>
    <row r="773" spans="1:11" s="406" customFormat="1">
      <c r="A773" s="405"/>
      <c r="B773" s="405"/>
      <c r="C773" s="405"/>
      <c r="D773" s="1268"/>
      <c r="E773" s="1268"/>
      <c r="F773" s="1268"/>
      <c r="I773" s="1041"/>
    </row>
    <row r="774" spans="1:11" s="406" customFormat="1">
      <c r="A774" s="405"/>
      <c r="B774" s="405"/>
      <c r="C774" s="405"/>
      <c r="D774" s="400"/>
      <c r="I774" s="1041"/>
    </row>
    <row r="775" spans="1:11" s="406" customFormat="1" ht="14.25">
      <c r="A775" s="385"/>
      <c r="B775" s="386" t="s">
        <v>311</v>
      </c>
      <c r="C775" s="405"/>
      <c r="D775" s="1267" t="s">
        <v>533</v>
      </c>
      <c r="E775" s="1267"/>
      <c r="F775" s="1267"/>
      <c r="I775" s="1041"/>
    </row>
    <row r="776" spans="1:11" s="406" customFormat="1">
      <c r="A776" s="405"/>
      <c r="B776" s="405"/>
      <c r="C776" s="405"/>
      <c r="D776" s="1267"/>
      <c r="E776" s="1267"/>
      <c r="F776" s="1267"/>
      <c r="I776" s="1041"/>
    </row>
    <row r="777" spans="1:11" s="406" customFormat="1">
      <c r="A777" s="405"/>
      <c r="B777" s="405"/>
      <c r="C777" s="405"/>
      <c r="D777" s="1267"/>
      <c r="E777" s="1267"/>
      <c r="F777" s="1267"/>
      <c r="I777" s="1041"/>
    </row>
    <row r="778" spans="1:11">
      <c r="D778" s="400"/>
      <c r="E778" s="348"/>
      <c r="F778" s="348"/>
      <c r="G778" s="402"/>
      <c r="H778" s="402"/>
      <c r="I778" s="384"/>
      <c r="J778" s="402"/>
      <c r="K778" s="402"/>
    </row>
    <row r="779" spans="1:11" ht="14.25">
      <c r="A779" s="385"/>
      <c r="B779" s="386" t="s">
        <v>311</v>
      </c>
      <c r="D779" s="1268" t="s">
        <v>534</v>
      </c>
      <c r="E779" s="1268"/>
      <c r="F779" s="1268"/>
      <c r="G779" s="402"/>
      <c r="H779" s="402"/>
      <c r="I779" s="384"/>
      <c r="J779" s="402"/>
      <c r="K779" s="402"/>
    </row>
    <row r="780" spans="1:11">
      <c r="D780" s="1268"/>
      <c r="E780" s="1268"/>
      <c r="F780" s="1268"/>
      <c r="G780" s="402"/>
      <c r="H780" s="402"/>
      <c r="I780" s="384"/>
      <c r="J780" s="402"/>
      <c r="K780" s="402"/>
    </row>
    <row r="781" spans="1:11">
      <c r="D781" s="347"/>
      <c r="E781" s="347"/>
      <c r="F781" s="347"/>
      <c r="G781" s="402"/>
      <c r="H781" s="402"/>
      <c r="I781" s="384"/>
      <c r="J781" s="402"/>
      <c r="K781" s="402"/>
    </row>
    <row r="782" spans="1:11">
      <c r="B782" s="386" t="s">
        <v>316</v>
      </c>
      <c r="D782" s="1268" t="s">
        <v>535</v>
      </c>
      <c r="E782" s="1268"/>
      <c r="F782" s="1268"/>
      <c r="G782" s="402"/>
      <c r="H782" s="402"/>
      <c r="I782" s="384"/>
      <c r="J782" s="402"/>
      <c r="K782" s="402"/>
    </row>
    <row r="783" spans="1:11">
      <c r="D783" s="1268"/>
      <c r="E783" s="1268"/>
      <c r="F783" s="1268"/>
      <c r="G783" s="402"/>
      <c r="H783" s="402"/>
      <c r="I783" s="384"/>
      <c r="J783" s="402"/>
      <c r="K783" s="402"/>
    </row>
    <row r="784" spans="1:11">
      <c r="D784" s="1268"/>
      <c r="E784" s="1268"/>
      <c r="F784" s="1268"/>
      <c r="G784" s="402"/>
      <c r="H784" s="402"/>
      <c r="I784" s="384"/>
      <c r="J784" s="402"/>
      <c r="K784" s="402"/>
    </row>
    <row r="785" spans="1:11">
      <c r="D785" s="347"/>
      <c r="E785" s="347"/>
      <c r="F785" s="347"/>
      <c r="G785" s="402"/>
      <c r="H785" s="402"/>
      <c r="I785" s="384"/>
      <c r="J785" s="402"/>
      <c r="K785" s="402"/>
    </row>
    <row r="786" spans="1:11">
      <c r="A786" s="1287" t="s">
        <v>536</v>
      </c>
      <c r="B786" s="1287"/>
      <c r="C786" s="1287"/>
      <c r="D786" s="1287"/>
      <c r="E786" s="1287"/>
      <c r="F786" s="1287"/>
      <c r="G786" s="1287"/>
      <c r="H786" s="914"/>
      <c r="I786" s="1036"/>
    </row>
    <row r="787" spans="1:11">
      <c r="A787" s="49"/>
      <c r="B787" s="49"/>
      <c r="C787" s="257"/>
      <c r="D787" s="3"/>
      <c r="E787" s="3"/>
      <c r="F787" s="3"/>
      <c r="G787" s="3"/>
      <c r="I787" s="391"/>
    </row>
    <row r="788" spans="1:11">
      <c r="A788" s="49"/>
      <c r="B788" s="49"/>
      <c r="C788" s="257"/>
      <c r="D788" s="1286" t="s">
        <v>537</v>
      </c>
      <c r="E788" s="1286"/>
      <c r="F788" s="1286"/>
      <c r="G788" s="3"/>
      <c r="I788" s="391"/>
    </row>
    <row r="789" spans="1:11">
      <c r="A789" s="49"/>
      <c r="B789" s="49"/>
      <c r="C789" s="257"/>
      <c r="D789" s="1278" t="s">
        <v>538</v>
      </c>
      <c r="E789" s="1278"/>
      <c r="F789" s="1278"/>
      <c r="G789" s="3"/>
      <c r="I789" s="391"/>
    </row>
    <row r="790" spans="1:11">
      <c r="A790" s="49"/>
      <c r="B790" s="49"/>
      <c r="C790" s="257"/>
      <c r="D790" s="349"/>
      <c r="E790" s="349"/>
      <c r="F790" s="349"/>
      <c r="G790" s="3"/>
      <c r="I790" s="391"/>
    </row>
    <row r="791" spans="1:11">
      <c r="A791" s="49"/>
      <c r="B791" s="386" t="s">
        <v>311</v>
      </c>
      <c r="C791" s="257"/>
      <c r="D791" s="1260" t="s">
        <v>539</v>
      </c>
      <c r="E791" s="1260"/>
      <c r="F791" s="1260"/>
      <c r="G791" s="3"/>
      <c r="I791" s="384"/>
    </row>
    <row r="792" spans="1:11">
      <c r="A792" s="49"/>
      <c r="B792" s="49"/>
      <c r="C792" s="257"/>
      <c r="D792" s="1260"/>
      <c r="E792" s="1260"/>
      <c r="F792" s="1260"/>
      <c r="G792" s="3"/>
      <c r="I792" s="391"/>
    </row>
    <row r="793" spans="1:11">
      <c r="A793" s="121"/>
      <c r="B793" s="121"/>
      <c r="C793" s="121"/>
      <c r="D793" s="1260"/>
      <c r="E793" s="1260"/>
      <c r="F793" s="1260"/>
      <c r="G793" s="84"/>
      <c r="I793" s="391"/>
    </row>
    <row r="794" spans="1:11">
      <c r="A794" s="257"/>
      <c r="B794" s="257"/>
      <c r="C794" s="257"/>
      <c r="D794" s="120"/>
      <c r="E794" s="3"/>
      <c r="F794" s="3"/>
      <c r="G794" s="3"/>
      <c r="I794" s="391"/>
    </row>
    <row r="795" spans="1:11">
      <c r="A795" s="119"/>
      <c r="B795" s="386" t="s">
        <v>316</v>
      </c>
      <c r="C795" s="119"/>
      <c r="D795" s="1260" t="s">
        <v>540</v>
      </c>
      <c r="E795" s="1260"/>
      <c r="F795" s="1260"/>
      <c r="G795" s="3"/>
      <c r="I795" s="384"/>
    </row>
    <row r="796" spans="1:11">
      <c r="A796" s="119"/>
      <c r="B796" s="119"/>
      <c r="C796" s="119"/>
      <c r="D796" s="1260"/>
      <c r="E796" s="1260"/>
      <c r="F796" s="1260"/>
      <c r="G796" s="3"/>
      <c r="I796" s="391"/>
    </row>
    <row r="797" spans="1:11">
      <c r="A797" s="119"/>
      <c r="B797" s="119"/>
      <c r="C797" s="119"/>
      <c r="D797" s="1260"/>
      <c r="E797" s="1260"/>
      <c r="F797" s="1260"/>
      <c r="G797" s="3"/>
      <c r="I797" s="391"/>
    </row>
    <row r="798" spans="1:11">
      <c r="A798" s="121"/>
      <c r="B798" s="121"/>
      <c r="C798" s="121"/>
      <c r="D798" s="3"/>
      <c r="E798" s="877"/>
      <c r="F798" s="877"/>
      <c r="G798" s="877"/>
      <c r="I798" s="391"/>
    </row>
    <row r="799" spans="1:11" ht="14.25">
      <c r="A799" s="122"/>
      <c r="B799" s="386" t="s">
        <v>311</v>
      </c>
      <c r="C799" s="878"/>
      <c r="D799" s="1260" t="s">
        <v>541</v>
      </c>
      <c r="E799" s="1260"/>
      <c r="F799" s="1260"/>
      <c r="G799" s="877"/>
      <c r="I799" s="384"/>
    </row>
    <row r="800" spans="1:11" ht="14.25">
      <c r="A800" s="122"/>
      <c r="B800" s="122"/>
      <c r="C800" s="878"/>
      <c r="D800" s="1260"/>
      <c r="E800" s="1260"/>
      <c r="F800" s="1260"/>
      <c r="G800" s="877"/>
      <c r="I800" s="391"/>
    </row>
    <row r="801" spans="1:9" ht="14.25">
      <c r="A801" s="122"/>
      <c r="B801" s="122"/>
      <c r="C801" s="878"/>
      <c r="D801" s="1260"/>
      <c r="E801" s="1260"/>
      <c r="F801" s="1260"/>
      <c r="G801" s="877"/>
      <c r="I801" s="391"/>
    </row>
    <row r="802" spans="1:9" ht="14.25">
      <c r="A802" s="122"/>
      <c r="B802" s="122"/>
      <c r="C802" s="878"/>
      <c r="D802" s="84"/>
      <c r="E802" s="3"/>
      <c r="F802" s="3"/>
      <c r="G802" s="877"/>
      <c r="I802" s="391"/>
    </row>
    <row r="803" spans="1:9" ht="14.25">
      <c r="A803" s="122"/>
      <c r="B803" s="386" t="s">
        <v>316</v>
      </c>
      <c r="C803" s="878"/>
      <c r="D803" s="1260" t="s">
        <v>542</v>
      </c>
      <c r="E803" s="1260"/>
      <c r="F803" s="1260"/>
      <c r="G803" s="877"/>
      <c r="I803" s="384"/>
    </row>
    <row r="804" spans="1:9" ht="14.25">
      <c r="A804" s="122"/>
      <c r="B804" s="122"/>
      <c r="C804" s="878"/>
      <c r="D804" s="1260"/>
      <c r="E804" s="1260"/>
      <c r="F804" s="1260"/>
      <c r="G804" s="877"/>
      <c r="I804" s="391"/>
    </row>
    <row r="805" spans="1:9" ht="14.25">
      <c r="A805" s="122"/>
      <c r="B805" s="122"/>
      <c r="C805" s="878"/>
      <c r="D805" s="1260"/>
      <c r="E805" s="1260"/>
      <c r="F805" s="1260"/>
      <c r="G805" s="877"/>
      <c r="I805" s="391"/>
    </row>
    <row r="806" spans="1:9" ht="14.25">
      <c r="A806" s="122"/>
      <c r="B806" s="122"/>
      <c r="C806" s="878"/>
      <c r="D806" s="1260"/>
      <c r="E806" s="1260"/>
      <c r="F806" s="1260"/>
      <c r="G806" s="877"/>
      <c r="I806" s="391"/>
    </row>
    <row r="807" spans="1:9" ht="14.25">
      <c r="A807" s="122"/>
      <c r="B807" s="122"/>
      <c r="C807" s="878"/>
      <c r="D807" s="1260"/>
      <c r="E807" s="1260"/>
      <c r="F807" s="1260"/>
      <c r="G807" s="877"/>
      <c r="I807" s="391"/>
    </row>
    <row r="808" spans="1:9" ht="14.25">
      <c r="A808" s="122"/>
      <c r="B808" s="122"/>
      <c r="C808" s="878"/>
      <c r="D808" s="1260"/>
      <c r="E808" s="1260"/>
      <c r="F808" s="1260"/>
      <c r="G808" s="877"/>
      <c r="I808" s="391"/>
    </row>
    <row r="809" spans="1:9" ht="14.25">
      <c r="A809" s="122"/>
      <c r="B809" s="122"/>
      <c r="C809" s="878"/>
      <c r="D809" s="1260" t="s">
        <v>543</v>
      </c>
      <c r="E809" s="1260"/>
      <c r="F809" s="1260"/>
      <c r="G809" s="877"/>
      <c r="I809" s="391"/>
    </row>
    <row r="810" spans="1:9" ht="14.25">
      <c r="A810" s="122"/>
      <c r="B810" s="122"/>
      <c r="C810" s="878"/>
      <c r="D810" s="1260"/>
      <c r="E810" s="1260"/>
      <c r="F810" s="1260"/>
      <c r="G810" s="877"/>
      <c r="I810" s="391"/>
    </row>
    <row r="811" spans="1:9" ht="14.25">
      <c r="A811" s="122"/>
      <c r="B811" s="122"/>
      <c r="C811" s="878"/>
      <c r="D811" s="1260"/>
      <c r="E811" s="1260"/>
      <c r="F811" s="1260"/>
      <c r="G811" s="877"/>
      <c r="I811" s="391"/>
    </row>
    <row r="812" spans="1:9" ht="14.25">
      <c r="A812" s="122"/>
      <c r="B812" s="257"/>
      <c r="C812" s="878"/>
      <c r="D812" s="879"/>
      <c r="E812" s="879"/>
      <c r="F812" s="879"/>
      <c r="G812" s="877"/>
      <c r="I812" s="391"/>
    </row>
    <row r="813" spans="1:9" ht="14.25">
      <c r="A813" s="122"/>
      <c r="B813" s="386" t="s">
        <v>316</v>
      </c>
      <c r="C813" s="878"/>
      <c r="D813" s="1260" t="s">
        <v>544</v>
      </c>
      <c r="E813" s="1260"/>
      <c r="F813" s="1260"/>
      <c r="G813" s="877"/>
      <c r="I813" s="384"/>
    </row>
    <row r="814" spans="1:9" ht="14.25">
      <c r="A814" s="122"/>
      <c r="B814" s="122"/>
      <c r="C814" s="878"/>
      <c r="D814" s="1260"/>
      <c r="E814" s="1260"/>
      <c r="F814" s="1260"/>
      <c r="G814" s="877"/>
      <c r="I814" s="391"/>
    </row>
    <row r="815" spans="1:9" ht="14.25">
      <c r="A815" s="122"/>
      <c r="B815" s="122"/>
      <c r="C815" s="878"/>
      <c r="D815" s="1260"/>
      <c r="E815" s="1260"/>
      <c r="F815" s="1260"/>
      <c r="G815" s="877"/>
      <c r="I815" s="391"/>
    </row>
    <row r="816" spans="1:9" ht="14.25">
      <c r="A816" s="122"/>
      <c r="B816" s="122"/>
      <c r="C816" s="878"/>
      <c r="D816" s="1260"/>
      <c r="E816" s="1260"/>
      <c r="F816" s="1260"/>
      <c r="G816" s="877"/>
      <c r="I816" s="391"/>
    </row>
    <row r="817" spans="1:9" ht="14.25">
      <c r="A817" s="122"/>
      <c r="B817" s="122"/>
      <c r="C817" s="878"/>
      <c r="D817" s="1260"/>
      <c r="E817" s="1260"/>
      <c r="F817" s="1260"/>
      <c r="G817" s="877"/>
      <c r="I817" s="391"/>
    </row>
    <row r="818" spans="1:9" ht="14.25">
      <c r="A818" s="122"/>
      <c r="B818" s="122"/>
      <c r="C818" s="878"/>
      <c r="D818" s="1260"/>
      <c r="E818" s="1260"/>
      <c r="F818" s="1260"/>
      <c r="G818" s="877"/>
      <c r="I818" s="391"/>
    </row>
    <row r="819" spans="1:9" ht="14.25">
      <c r="A819" s="122"/>
      <c r="B819" s="122"/>
      <c r="C819" s="878"/>
      <c r="D819" s="871"/>
      <c r="E819" s="871"/>
      <c r="F819" s="871"/>
      <c r="G819" s="877"/>
      <c r="I819" s="391"/>
    </row>
    <row r="820" spans="1:9" ht="14.25">
      <c r="A820" s="122"/>
      <c r="B820" s="386" t="s">
        <v>316</v>
      </c>
      <c r="C820" s="878"/>
      <c r="D820" s="1260" t="s">
        <v>545</v>
      </c>
      <c r="E820" s="1260"/>
      <c r="F820" s="1260"/>
      <c r="G820" s="877"/>
      <c r="I820" s="384"/>
    </row>
    <row r="821" spans="1:9" ht="14.25">
      <c r="A821" s="122"/>
      <c r="B821" s="122"/>
      <c r="C821" s="878"/>
      <c r="D821" s="1260"/>
      <c r="E821" s="1260"/>
      <c r="F821" s="1260"/>
      <c r="G821" s="877"/>
      <c r="I821" s="391"/>
    </row>
    <row r="822" spans="1:9" ht="14.25">
      <c r="A822" s="122"/>
      <c r="B822" s="122"/>
      <c r="C822" s="878"/>
      <c r="D822" s="1260"/>
      <c r="E822" s="1260"/>
      <c r="F822" s="1260"/>
      <c r="G822" s="877"/>
      <c r="I822" s="391"/>
    </row>
    <row r="823" spans="1:9" ht="14.25">
      <c r="A823" s="122"/>
      <c r="B823" s="122"/>
      <c r="C823" s="878"/>
      <c r="D823" s="1260"/>
      <c r="E823" s="1260"/>
      <c r="F823" s="1260"/>
      <c r="G823" s="877"/>
      <c r="I823" s="391"/>
    </row>
    <row r="824" spans="1:9" ht="14.25">
      <c r="A824" s="122"/>
      <c r="B824" s="122"/>
      <c r="C824" s="878"/>
      <c r="D824" s="1260"/>
      <c r="E824" s="1260"/>
      <c r="F824" s="1260"/>
      <c r="G824" s="877"/>
      <c r="I824" s="391"/>
    </row>
    <row r="825" spans="1:9" ht="14.25">
      <c r="A825" s="122"/>
      <c r="B825" s="122"/>
      <c r="C825" s="878"/>
      <c r="D825" s="1260"/>
      <c r="E825" s="1260"/>
      <c r="F825" s="1260"/>
      <c r="G825" s="877"/>
      <c r="I825" s="391"/>
    </row>
    <row r="826" spans="1:9" ht="14.25">
      <c r="A826" s="122"/>
      <c r="B826" s="122"/>
      <c r="C826" s="878"/>
      <c r="D826" s="871"/>
      <c r="E826" s="871"/>
      <c r="F826" s="871"/>
      <c r="G826" s="877"/>
      <c r="I826" s="391"/>
    </row>
    <row r="827" spans="1:9" ht="14.25">
      <c r="A827" s="122"/>
      <c r="B827" s="386" t="s">
        <v>316</v>
      </c>
      <c r="C827" s="878"/>
      <c r="D827" s="1256" t="s">
        <v>546</v>
      </c>
      <c r="E827" s="1256"/>
      <c r="F827" s="1256"/>
      <c r="G827" s="877"/>
      <c r="I827" s="384"/>
    </row>
    <row r="828" spans="1:9" ht="14.25">
      <c r="A828" s="122"/>
      <c r="B828" s="122"/>
      <c r="C828" s="878"/>
      <c r="D828" s="1256"/>
      <c r="E828" s="1256"/>
      <c r="F828" s="1256"/>
      <c r="G828" s="877"/>
      <c r="I828" s="391"/>
    </row>
    <row r="829" spans="1:9">
      <c r="A829" s="12"/>
      <c r="B829" s="12"/>
      <c r="C829" s="878"/>
      <c r="D829" s="1256"/>
      <c r="E829" s="1256"/>
      <c r="F829" s="1256"/>
      <c r="G829" s="877"/>
      <c r="I829" s="391"/>
    </row>
    <row r="830" spans="1:9" ht="14.25">
      <c r="A830" s="122"/>
      <c r="B830" s="12"/>
      <c r="C830" s="878"/>
      <c r="D830" s="1256"/>
      <c r="E830" s="1256"/>
      <c r="F830" s="1256"/>
      <c r="G830" s="877"/>
      <c r="I830" s="391"/>
    </row>
    <row r="831" spans="1:9" ht="12.75" customHeight="1">
      <c r="A831" s="122"/>
      <c r="B831" s="12"/>
      <c r="C831" s="878"/>
      <c r="D831" s="1256"/>
      <c r="E831" s="1256"/>
      <c r="F831" s="1256"/>
      <c r="G831" s="877"/>
      <c r="I831" s="391"/>
    </row>
    <row r="832" spans="1:9" ht="12.75" customHeight="1">
      <c r="A832" s="122"/>
      <c r="B832" s="12"/>
      <c r="C832" s="878"/>
      <c r="D832" s="1256"/>
      <c r="E832" s="1256"/>
      <c r="F832" s="1256"/>
      <c r="G832" s="877"/>
      <c r="I832" s="391"/>
    </row>
    <row r="833" spans="1:9" ht="12.75" customHeight="1">
      <c r="A833" s="12"/>
      <c r="B833" s="12"/>
      <c r="C833" s="878"/>
      <c r="D833" s="877"/>
      <c r="E833" s="3"/>
      <c r="F833" s="3"/>
      <c r="G833" s="877"/>
      <c r="I833" s="391"/>
    </row>
    <row r="834" spans="1:9" ht="12.75" customHeight="1">
      <c r="A834" s="1254" t="s">
        <v>547</v>
      </c>
      <c r="B834" s="1254"/>
      <c r="C834" s="1254"/>
      <c r="D834" s="1254"/>
      <c r="E834" s="1254"/>
      <c r="F834" s="1254"/>
      <c r="G834" s="1254"/>
      <c r="H834" s="914"/>
      <c r="I834" s="1036"/>
    </row>
    <row r="835" spans="1:9" ht="12.75" customHeight="1">
      <c r="A835" s="119"/>
      <c r="B835" s="119"/>
      <c r="C835" s="878"/>
      <c r="D835" s="877"/>
      <c r="E835" s="877"/>
      <c r="F835" s="877"/>
      <c r="G835" s="877"/>
      <c r="I835" s="391"/>
    </row>
    <row r="836" spans="1:9" ht="12.75" customHeight="1">
      <c r="A836" s="122"/>
      <c r="B836" s="122"/>
      <c r="C836" s="257"/>
      <c r="D836" s="1276" t="s">
        <v>548</v>
      </c>
      <c r="E836" s="1276"/>
      <c r="F836" s="1276"/>
      <c r="G836" s="3"/>
      <c r="I836" s="391"/>
    </row>
    <row r="837" spans="1:9" ht="14.25" customHeight="1">
      <c r="A837" s="122"/>
      <c r="B837" s="122"/>
      <c r="C837" s="257"/>
      <c r="D837" s="1230" t="s">
        <v>549</v>
      </c>
      <c r="E837" s="1230"/>
      <c r="F837" s="1230"/>
      <c r="G837" s="3"/>
      <c r="I837" s="391"/>
    </row>
    <row r="838" spans="1:9" ht="12.75" customHeight="1">
      <c r="A838" s="122"/>
      <c r="B838" s="122"/>
      <c r="C838" s="257"/>
      <c r="D838" s="344"/>
      <c r="E838" s="344"/>
      <c r="F838" s="344"/>
      <c r="G838" s="3"/>
      <c r="I838" s="391"/>
    </row>
    <row r="839" spans="1:9" ht="12.75" customHeight="1">
      <c r="A839" s="257"/>
      <c r="B839" s="386" t="s">
        <v>311</v>
      </c>
      <c r="C839" s="878"/>
      <c r="D839" s="1230" t="s">
        <v>550</v>
      </c>
      <c r="E839" s="1230"/>
      <c r="F839" s="1230"/>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277" t="s">
        <v>552</v>
      </c>
      <c r="E842" s="1277"/>
      <c r="F842" s="1277"/>
      <c r="G842" s="3"/>
      <c r="I842" s="391"/>
    </row>
    <row r="843" spans="1:9" ht="12.75" hidden="1" customHeight="1">
      <c r="A843" s="12"/>
      <c r="B843" s="12"/>
      <c r="C843" s="878"/>
      <c r="D843" s="1277"/>
      <c r="E843" s="1277"/>
      <c r="F843" s="1277"/>
      <c r="G843" s="3"/>
      <c r="I843" s="391"/>
    </row>
    <row r="844" spans="1:9" ht="12.75" hidden="1" customHeight="1">
      <c r="A844" s="12"/>
      <c r="B844" s="12"/>
      <c r="C844" s="878"/>
      <c r="D844" s="1277"/>
      <c r="E844" s="1277"/>
      <c r="F844" s="1277"/>
      <c r="G844" s="3"/>
      <c r="I844" s="391"/>
    </row>
    <row r="845" spans="1:9" ht="12.75" hidden="1" customHeight="1">
      <c r="A845" s="12"/>
      <c r="B845" s="12"/>
      <c r="C845" s="878"/>
      <c r="D845" s="1277"/>
      <c r="E845" s="1277"/>
      <c r="F845" s="1277"/>
      <c r="G845" s="3"/>
      <c r="I845" s="391"/>
    </row>
    <row r="846" spans="1:9" ht="12.75" hidden="1" customHeight="1">
      <c r="A846" s="12"/>
      <c r="B846" s="12"/>
      <c r="C846" s="878"/>
      <c r="D846" s="1277"/>
      <c r="E846" s="1277"/>
      <c r="F846" s="1277"/>
      <c r="G846" s="3"/>
      <c r="I846" s="391"/>
    </row>
    <row r="847" spans="1:9" ht="12.75" hidden="1" customHeight="1">
      <c r="A847" s="12"/>
      <c r="B847" s="12"/>
      <c r="C847" s="878"/>
      <c r="D847" s="1277"/>
      <c r="E847" s="1277"/>
      <c r="F847" s="1277"/>
      <c r="G847" s="3"/>
      <c r="I847" s="391"/>
    </row>
    <row r="848" spans="1:9" ht="12.75" hidden="1" customHeight="1">
      <c r="A848" s="12"/>
      <c r="B848" s="12"/>
      <c r="C848" s="878"/>
      <c r="D848" s="1277"/>
      <c r="E848" s="1277"/>
      <c r="F848" s="1277"/>
      <c r="G848" s="3"/>
      <c r="I848" s="391"/>
    </row>
    <row r="849" spans="1:9" ht="12.75" hidden="1" customHeight="1">
      <c r="A849" s="12"/>
      <c r="B849" s="12"/>
      <c r="C849" s="878"/>
      <c r="D849" s="1277"/>
      <c r="E849" s="1277"/>
      <c r="F849" s="1277"/>
      <c r="G849" s="3"/>
      <c r="I849" s="391"/>
    </row>
    <row r="850" spans="1:9" ht="12.75" hidden="1" customHeight="1">
      <c r="A850" s="12"/>
      <c r="B850" s="12"/>
      <c r="C850" s="878"/>
      <c r="D850" s="1277"/>
      <c r="E850" s="1277"/>
      <c r="F850" s="1277"/>
      <c r="G850" s="3"/>
      <c r="I850" s="391"/>
    </row>
    <row r="851" spans="1:9" ht="12.75" hidden="1" customHeight="1">
      <c r="A851" s="12"/>
      <c r="B851" s="12"/>
      <c r="C851" s="878"/>
      <c r="D851" s="1277"/>
      <c r="E851" s="1277"/>
      <c r="F851" s="1277"/>
      <c r="G851" s="3"/>
      <c r="I851" s="391"/>
    </row>
    <row r="852" spans="1:9" ht="12.75" hidden="1" customHeight="1">
      <c r="A852" s="12"/>
      <c r="B852" s="12"/>
      <c r="C852" s="878"/>
      <c r="D852" s="880"/>
      <c r="E852" s="3"/>
      <c r="F852" s="3"/>
      <c r="G852" s="3"/>
      <c r="I852" s="391"/>
    </row>
    <row r="853" spans="1:9" ht="12.75" customHeight="1">
      <c r="A853" s="122"/>
      <c r="B853" s="386" t="s">
        <v>311</v>
      </c>
      <c r="C853" s="878"/>
      <c r="D853" s="1230" t="s">
        <v>553</v>
      </c>
      <c r="E853" s="1230"/>
      <c r="F853" s="1230"/>
      <c r="G853" s="3"/>
      <c r="I853" s="391" t="s">
        <v>554</v>
      </c>
    </row>
    <row r="854" spans="1:9" ht="12.75" customHeight="1">
      <c r="A854" s="122"/>
      <c r="B854" s="122"/>
      <c r="C854" s="878"/>
      <c r="D854" s="1230"/>
      <c r="E854" s="1230"/>
      <c r="F854" s="1230"/>
      <c r="G854" s="3"/>
      <c r="I854" s="391"/>
    </row>
    <row r="855" spans="1:9" ht="12.75" customHeight="1">
      <c r="A855" s="122"/>
      <c r="B855" s="122"/>
      <c r="C855" s="878"/>
      <c r="D855" s="1230"/>
      <c r="E855" s="1230"/>
      <c r="F855" s="1230"/>
      <c r="G855" s="3"/>
      <c r="I855" s="391"/>
    </row>
    <row r="856" spans="1:9" ht="12.75" customHeight="1">
      <c r="A856" s="122"/>
      <c r="B856" s="122"/>
      <c r="C856" s="878"/>
      <c r="D856" s="84"/>
      <c r="E856" s="3"/>
      <c r="F856" s="3"/>
      <c r="G856" s="3"/>
      <c r="I856" s="391"/>
    </row>
    <row r="857" spans="1:9" ht="12.75" customHeight="1">
      <c r="A857" s="881"/>
      <c r="B857" s="386" t="s">
        <v>316</v>
      </c>
      <c r="C857" s="878"/>
      <c r="D857" s="1276" t="s">
        <v>555</v>
      </c>
      <c r="E857" s="1276"/>
      <c r="F857" s="1276"/>
      <c r="G857" s="3"/>
      <c r="I857" s="391"/>
    </row>
    <row r="858" spans="1:9" ht="12.75" customHeight="1">
      <c r="A858" s="257"/>
      <c r="B858" s="881"/>
      <c r="C858" s="878"/>
      <c r="D858" s="1276"/>
      <c r="E858" s="1276"/>
      <c r="F858" s="1276"/>
      <c r="G858" s="3"/>
      <c r="I858" s="391"/>
    </row>
    <row r="859" spans="1:9" ht="12.75" customHeight="1">
      <c r="A859" s="122"/>
      <c r="B859" s="257"/>
      <c r="C859" s="878"/>
      <c r="D859" s="1230" t="s">
        <v>556</v>
      </c>
      <c r="E859" s="1230"/>
      <c r="F859" s="1230"/>
      <c r="G859" s="3"/>
      <c r="I859" s="391"/>
    </row>
    <row r="860" spans="1:9" ht="12.75" customHeight="1">
      <c r="A860" s="122"/>
      <c r="B860" s="122"/>
      <c r="C860" s="878"/>
      <c r="D860" s="1230"/>
      <c r="E860" s="1230"/>
      <c r="F860" s="1230"/>
      <c r="G860" s="3"/>
      <c r="I860" s="391"/>
    </row>
    <row r="861" spans="1:9" ht="12.75" customHeight="1">
      <c r="A861" s="122"/>
      <c r="B861" s="122"/>
      <c r="C861" s="878"/>
      <c r="D861" s="1230"/>
      <c r="E861" s="1230"/>
      <c r="F861" s="1230"/>
      <c r="G861" s="3"/>
      <c r="I861" s="391"/>
    </row>
    <row r="862" spans="1:9" ht="12.75" customHeight="1">
      <c r="A862" s="122"/>
      <c r="B862" s="122"/>
      <c r="C862" s="878"/>
      <c r="D862" s="1230"/>
      <c r="E862" s="1230"/>
      <c r="F862" s="1230"/>
      <c r="G862" s="3"/>
      <c r="I862" s="391"/>
    </row>
    <row r="863" spans="1:9" ht="12.75" customHeight="1">
      <c r="A863" s="122"/>
      <c r="B863" s="122"/>
      <c r="C863" s="878"/>
      <c r="D863" s="1230"/>
      <c r="E863" s="1230"/>
      <c r="F863" s="1230"/>
      <c r="G863" s="3"/>
      <c r="I863" s="391"/>
    </row>
    <row r="864" spans="1:9" ht="12.75" customHeight="1">
      <c r="A864" s="122"/>
      <c r="B864" s="122"/>
      <c r="C864" s="878"/>
      <c r="D864" s="1230"/>
      <c r="E864" s="1230"/>
      <c r="F864" s="1230"/>
      <c r="G864" s="3"/>
      <c r="I864" s="391"/>
    </row>
    <row r="865" spans="1:9" ht="12.75" customHeight="1">
      <c r="A865" s="122"/>
      <c r="B865" s="122"/>
      <c r="C865" s="878"/>
      <c r="D865" s="84"/>
      <c r="E865" s="3"/>
      <c r="F865" s="3"/>
      <c r="G865" s="3"/>
      <c r="I865" s="391"/>
    </row>
    <row r="866" spans="1:9" ht="12.75" customHeight="1">
      <c r="A866" s="122"/>
      <c r="B866" s="386" t="s">
        <v>316</v>
      </c>
      <c r="C866" s="878"/>
      <c r="D866" s="1230" t="s">
        <v>557</v>
      </c>
      <c r="E866" s="1230"/>
      <c r="F866" s="1230"/>
      <c r="G866" s="3"/>
      <c r="I866" s="391" t="s">
        <v>558</v>
      </c>
    </row>
    <row r="867" spans="1:9" ht="12.75" customHeight="1">
      <c r="A867" s="122"/>
      <c r="B867" s="122"/>
      <c r="C867" s="878"/>
      <c r="D867" s="1230" t="s">
        <v>559</v>
      </c>
      <c r="E867" s="1230"/>
      <c r="F867" s="1230"/>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30" t="s">
        <v>560</v>
      </c>
      <c r="E870" s="1230"/>
      <c r="F870" s="1230"/>
      <c r="G870" s="3"/>
      <c r="I870" s="391" t="s">
        <v>561</v>
      </c>
    </row>
    <row r="871" spans="1:9" ht="12.75" customHeight="1">
      <c r="A871" s="122"/>
      <c r="B871" s="122"/>
      <c r="C871" s="878"/>
      <c r="D871" s="1230"/>
      <c r="E871" s="1230"/>
      <c r="F871" s="1230"/>
      <c r="G871" s="3"/>
      <c r="I871" s="391"/>
    </row>
    <row r="872" spans="1:9" ht="12.75" customHeight="1">
      <c r="A872" s="122"/>
      <c r="B872" s="122"/>
      <c r="C872" s="878"/>
      <c r="D872" s="1230"/>
      <c r="E872" s="1230"/>
      <c r="F872" s="1230"/>
      <c r="G872" s="3"/>
      <c r="I872" s="391"/>
    </row>
    <row r="873" spans="1:9" ht="12.75" customHeight="1">
      <c r="A873" s="122"/>
      <c r="B873" s="122"/>
      <c r="C873" s="878"/>
      <c r="D873" s="1230"/>
      <c r="E873" s="1230"/>
      <c r="F873" s="1230"/>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57" t="s">
        <v>563</v>
      </c>
      <c r="E877" s="1257"/>
      <c r="F877" s="1257"/>
      <c r="G877" s="877"/>
      <c r="I877" s="391"/>
    </row>
    <row r="878" spans="1:9" ht="12.75" customHeight="1">
      <c r="A878" s="257"/>
      <c r="B878" s="257"/>
      <c r="C878" s="121"/>
      <c r="D878" s="1275" t="s">
        <v>564</v>
      </c>
      <c r="E878" s="1275"/>
      <c r="F878" s="1275"/>
      <c r="G878" s="877"/>
      <c r="I878" s="391"/>
    </row>
    <row r="879" spans="1:9" ht="12.75" customHeight="1">
      <c r="A879" s="257"/>
      <c r="B879" s="257"/>
      <c r="C879" s="121"/>
      <c r="D879" s="884"/>
      <c r="E879" s="884"/>
      <c r="F879" s="884"/>
      <c r="G879" s="877"/>
      <c r="I879" s="391"/>
    </row>
    <row r="880" spans="1:9" ht="12.75" customHeight="1">
      <c r="A880" s="122"/>
      <c r="B880" s="386" t="s">
        <v>311</v>
      </c>
      <c r="C880" s="257"/>
      <c r="D880" s="1258" t="s">
        <v>565</v>
      </c>
      <c r="E880" s="1258"/>
      <c r="F880" s="1258"/>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30" t="s">
        <v>566</v>
      </c>
      <c r="E883" s="1282"/>
      <c r="F883" s="1282"/>
      <c r="G883" s="3"/>
      <c r="I883" s="391" t="s">
        <v>561</v>
      </c>
    </row>
    <row r="884" spans="1:9" ht="12.75" customHeight="1">
      <c r="A884" s="257"/>
      <c r="B884" s="257"/>
      <c r="C884" s="257"/>
      <c r="D884" s="1282"/>
      <c r="E884" s="1282"/>
      <c r="F884" s="1282"/>
      <c r="G884" s="3"/>
      <c r="I884" s="391"/>
    </row>
    <row r="885" spans="1:9" ht="12.75" customHeight="1">
      <c r="A885" s="257"/>
      <c r="B885" s="257"/>
      <c r="C885" s="257"/>
      <c r="D885" s="84"/>
      <c r="E885" s="3"/>
      <c r="F885" s="3"/>
      <c r="G885" s="3"/>
      <c r="I885" s="391"/>
    </row>
    <row r="886" spans="1:9" ht="12.75" customHeight="1">
      <c r="A886" s="257"/>
      <c r="B886" s="386" t="s">
        <v>316</v>
      </c>
      <c r="C886" s="257"/>
      <c r="D886" s="1283" t="s">
        <v>567</v>
      </c>
      <c r="E886" s="1283"/>
      <c r="F886" s="1283"/>
      <c r="G886" s="877"/>
      <c r="I886" s="391"/>
    </row>
    <row r="887" spans="1:9" ht="12.75" customHeight="1">
      <c r="A887" s="257"/>
      <c r="B887" s="885"/>
      <c r="C887" s="257"/>
      <c r="D887" s="1283"/>
      <c r="E887" s="1283"/>
      <c r="F887" s="1283"/>
      <c r="G887" s="877"/>
      <c r="I887" s="391"/>
    </row>
    <row r="888" spans="1:9" ht="12.75" customHeight="1">
      <c r="A888" s="122"/>
      <c r="B888"/>
      <c r="C888" s="257"/>
      <c r="D888" s="1230" t="s">
        <v>556</v>
      </c>
      <c r="E888" s="1230"/>
      <c r="F888" s="1230"/>
      <c r="G888" s="877"/>
      <c r="I888" s="391"/>
    </row>
    <row r="889" spans="1:9" ht="12.75" customHeight="1">
      <c r="A889" s="122"/>
      <c r="B889" s="122"/>
      <c r="C889" s="257"/>
      <c r="D889" s="1230"/>
      <c r="E889" s="1230"/>
      <c r="F889" s="1230"/>
      <c r="G889" s="877"/>
      <c r="I889" s="391"/>
    </row>
    <row r="890" spans="1:9" ht="12.75" customHeight="1">
      <c r="A890" s="122"/>
      <c r="B890" s="122"/>
      <c r="C890" s="257"/>
      <c r="D890" s="1230"/>
      <c r="E890" s="1230"/>
      <c r="F890" s="1230"/>
      <c r="G890" s="877"/>
      <c r="I890" s="391"/>
    </row>
    <row r="891" spans="1:9" ht="12.75" customHeight="1">
      <c r="A891" s="122"/>
      <c r="B891" s="122"/>
      <c r="C891" s="257"/>
      <c r="D891" s="1230"/>
      <c r="E891" s="1230"/>
      <c r="F891" s="1230"/>
      <c r="G891" s="877"/>
      <c r="I891" s="391"/>
    </row>
    <row r="892" spans="1:9" ht="12.75" customHeight="1">
      <c r="A892" s="122"/>
      <c r="B892" s="122"/>
      <c r="C892" s="257"/>
      <c r="D892" s="1230"/>
      <c r="E892" s="1230"/>
      <c r="F892" s="1230"/>
      <c r="G892" s="877"/>
      <c r="I892" s="391"/>
    </row>
    <row r="893" spans="1:9" ht="12.75" customHeight="1">
      <c r="A893" s="122"/>
      <c r="B893" s="122"/>
      <c r="C893" s="257"/>
      <c r="D893" s="1230"/>
      <c r="E893" s="1230"/>
      <c r="F893" s="1230"/>
      <c r="G893" s="877"/>
      <c r="I893" s="391"/>
    </row>
    <row r="894" spans="1:9" ht="12.75" customHeight="1">
      <c r="A894" s="122"/>
      <c r="B894" s="122"/>
      <c r="C894" s="257"/>
      <c r="D894" s="84"/>
      <c r="E894" s="877"/>
      <c r="F894" s="877"/>
      <c r="G894" s="877"/>
      <c r="I894" s="391"/>
    </row>
    <row r="895" spans="1:9" ht="12.75" customHeight="1">
      <c r="A895" s="122"/>
      <c r="B895" s="386" t="s">
        <v>316</v>
      </c>
      <c r="C895" s="257"/>
      <c r="D895" s="1249" t="s">
        <v>557</v>
      </c>
      <c r="E895" s="1249"/>
      <c r="F895" s="1249"/>
      <c r="G895" s="877"/>
      <c r="I895" s="391"/>
    </row>
    <row r="896" spans="1:9" ht="12.75" customHeight="1">
      <c r="A896" s="122"/>
      <c r="B896" s="122"/>
      <c r="C896" s="257"/>
      <c r="D896" s="1249" t="s">
        <v>559</v>
      </c>
      <c r="E896" s="1249"/>
      <c r="F896" s="1249"/>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30" t="s">
        <v>560</v>
      </c>
      <c r="E899" s="1230"/>
      <c r="F899" s="1230"/>
      <c r="G899" s="877"/>
      <c r="I899" s="391"/>
    </row>
    <row r="900" spans="1:9" ht="12.75" customHeight="1">
      <c r="A900" s="122"/>
      <c r="B900" s="122"/>
      <c r="C900" s="257"/>
      <c r="D900" s="1230"/>
      <c r="E900" s="1230"/>
      <c r="F900" s="1230"/>
      <c r="G900" s="877"/>
      <c r="I900" s="391"/>
    </row>
    <row r="901" spans="1:9" ht="12.75" customHeight="1">
      <c r="A901" s="122"/>
      <c r="B901" s="122"/>
      <c r="C901" s="257"/>
      <c r="D901" s="1230"/>
      <c r="E901" s="1230"/>
      <c r="F901" s="1230"/>
      <c r="G901" s="877"/>
      <c r="I901" s="391"/>
    </row>
    <row r="902" spans="1:9" ht="12.75" customHeight="1">
      <c r="A902" s="122"/>
      <c r="B902" s="122"/>
      <c r="C902" s="257"/>
      <c r="D902" s="1230"/>
      <c r="E902" s="1230"/>
      <c r="F902" s="1230"/>
      <c r="G902" s="877"/>
      <c r="I902" s="391"/>
    </row>
    <row r="903" spans="1:9" ht="12.75" customHeight="1">
      <c r="A903" s="84"/>
      <c r="B903" s="84"/>
      <c r="C903" s="878"/>
      <c r="D903" s="877"/>
      <c r="E903" s="877"/>
      <c r="F903" s="877"/>
      <c r="G903" s="877"/>
      <c r="I903" s="391"/>
    </row>
    <row r="904" spans="1:9" ht="12.75" customHeight="1">
      <c r="A904" s="1254" t="s">
        <v>569</v>
      </c>
      <c r="B904" s="1254"/>
      <c r="C904" s="1254"/>
      <c r="D904" s="1254"/>
      <c r="E904" s="1254"/>
      <c r="F904" s="1254"/>
      <c r="G904" s="1254"/>
      <c r="H904" s="914"/>
      <c r="I904" s="1036"/>
    </row>
    <row r="905" spans="1:9" ht="12.75" customHeight="1">
      <c r="A905" s="49"/>
      <c r="B905" s="49"/>
      <c r="C905" s="49"/>
      <c r="D905" s="49"/>
      <c r="E905" s="49"/>
      <c r="F905" s="49"/>
      <c r="G905" s="49"/>
      <c r="I905" s="391"/>
    </row>
    <row r="906" spans="1:9" ht="12.75" customHeight="1">
      <c r="A906" s="49"/>
      <c r="B906" s="49"/>
      <c r="C906" s="49"/>
      <c r="D906" s="1252" t="s">
        <v>570</v>
      </c>
      <c r="E906" s="1252"/>
      <c r="F906" s="1252"/>
      <c r="G906" s="49"/>
      <c r="I906" s="391"/>
    </row>
    <row r="907" spans="1:9" ht="12.75" customHeight="1">
      <c r="A907" s="49"/>
      <c r="B907" s="49"/>
      <c r="C907" s="49"/>
      <c r="D907" s="870"/>
      <c r="E907" s="870"/>
      <c r="F907" s="870"/>
      <c r="G907" s="49"/>
      <c r="I907" s="391"/>
    </row>
    <row r="908" spans="1:9" ht="12.75" customHeight="1">
      <c r="A908" s="49"/>
      <c r="B908" s="386" t="s">
        <v>316</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52" t="s">
        <v>572</v>
      </c>
      <c r="E910" s="1252"/>
      <c r="F910" s="1252"/>
      <c r="G910" s="877"/>
      <c r="I910" s="391"/>
    </row>
    <row r="911" spans="1:9" ht="12.75" customHeight="1">
      <c r="A911" s="119"/>
      <c r="B911" s="119"/>
      <c r="C911" s="119"/>
      <c r="D911" s="1258" t="s">
        <v>573</v>
      </c>
      <c r="E911" s="1258"/>
      <c r="F911" s="1258"/>
      <c r="G911" s="877"/>
      <c r="I911" s="391"/>
    </row>
    <row r="912" spans="1:9" ht="12.75" customHeight="1">
      <c r="A912" s="878"/>
      <c r="B912" s="878"/>
      <c r="C912" s="878"/>
      <c r="D912" s="2"/>
      <c r="E912" s="877"/>
      <c r="F912" s="877"/>
      <c r="G912" s="877"/>
      <c r="I912" s="391"/>
    </row>
    <row r="913" spans="1:9" ht="12.75" customHeight="1">
      <c r="A913" s="122"/>
      <c r="B913" s="386" t="s">
        <v>311</v>
      </c>
      <c r="C913" s="257"/>
      <c r="D913" s="1230" t="s">
        <v>574</v>
      </c>
      <c r="E913" s="1230"/>
      <c r="F913" s="1230"/>
      <c r="G913" s="3"/>
      <c r="I913" s="391"/>
    </row>
    <row r="914" spans="1:9" ht="12.75" customHeight="1">
      <c r="A914" s="257"/>
      <c r="B914" s="257"/>
      <c r="C914" s="257"/>
      <c r="D914" s="1230"/>
      <c r="E914" s="1230"/>
      <c r="F914" s="1230"/>
      <c r="G914" s="3"/>
      <c r="I914" s="391"/>
    </row>
    <row r="915" spans="1:9" ht="12.75" customHeight="1">
      <c r="A915" s="119"/>
      <c r="B915" s="119"/>
      <c r="C915" s="119"/>
      <c r="D915" s="1230" t="s">
        <v>575</v>
      </c>
      <c r="E915" s="1230"/>
      <c r="F915" s="1230"/>
      <c r="G915" s="877"/>
      <c r="I915" s="391"/>
    </row>
    <row r="916" spans="1:9" ht="12.75" customHeight="1">
      <c r="A916" s="119"/>
      <c r="B916" s="119"/>
      <c r="C916" s="119"/>
      <c r="D916" s="1230"/>
      <c r="E916" s="1230"/>
      <c r="F916" s="1230"/>
      <c r="G916" s="877"/>
      <c r="I916" s="391"/>
    </row>
    <row r="917" spans="1:9" ht="12.75" customHeight="1">
      <c r="A917" s="119"/>
      <c r="B917" s="119"/>
      <c r="C917" s="119"/>
      <c r="D917" s="3"/>
      <c r="E917" s="3"/>
      <c r="F917" s="877"/>
      <c r="G917" s="877"/>
      <c r="I917" s="391"/>
    </row>
    <row r="918" spans="1:9" ht="12.75" customHeight="1">
      <c r="A918" s="122"/>
      <c r="B918" s="386" t="s">
        <v>311</v>
      </c>
      <c r="C918" s="121"/>
      <c r="D918" s="1241" t="s">
        <v>576</v>
      </c>
      <c r="E918" s="1241"/>
      <c r="F918" s="1241"/>
      <c r="G918" s="877"/>
      <c r="I918" s="391"/>
    </row>
    <row r="919" spans="1:9" ht="12.75" customHeight="1">
      <c r="A919" s="122"/>
      <c r="B919" s="122"/>
      <c r="C919" s="121"/>
      <c r="D919" s="1241"/>
      <c r="E919" s="1241"/>
      <c r="F919" s="1241"/>
      <c r="G919" s="877"/>
      <c r="I919" s="391"/>
    </row>
    <row r="920" spans="1:9" ht="12.75" customHeight="1">
      <c r="A920" s="122"/>
      <c r="B920" s="122"/>
      <c r="C920" s="121"/>
      <c r="D920" s="1241"/>
      <c r="E920" s="1241"/>
      <c r="F920" s="1241"/>
      <c r="G920" s="877"/>
      <c r="I920" s="391"/>
    </row>
    <row r="921" spans="1:9" ht="12.75" customHeight="1">
      <c r="A921" s="122"/>
      <c r="B921" s="122"/>
      <c r="C921" s="121"/>
      <c r="D921" s="1241"/>
      <c r="E921" s="1241"/>
      <c r="F921" s="1241"/>
      <c r="G921" s="877"/>
      <c r="I921" s="391"/>
    </row>
    <row r="922" spans="1:9" ht="12.75" customHeight="1">
      <c r="A922" s="122"/>
      <c r="B922" s="122"/>
      <c r="C922" s="121"/>
      <c r="D922" s="1241"/>
      <c r="E922" s="1241"/>
      <c r="F922" s="1241"/>
      <c r="G922" s="877"/>
      <c r="I922" s="391"/>
    </row>
    <row r="923" spans="1:9" ht="12.75" customHeight="1">
      <c r="A923" s="121"/>
      <c r="B923" s="121"/>
      <c r="C923" s="121"/>
      <c r="D923" s="1241"/>
      <c r="E923" s="1241"/>
      <c r="F923" s="1241"/>
      <c r="G923" s="877"/>
      <c r="I923" s="391"/>
    </row>
    <row r="924" spans="1:9" ht="12.75" customHeight="1">
      <c r="A924" s="121"/>
      <c r="B924" s="121"/>
      <c r="C924" s="121"/>
      <c r="D924" s="1241"/>
      <c r="E924" s="1241"/>
      <c r="F924" s="1241"/>
      <c r="G924" s="877"/>
      <c r="I924" s="391"/>
    </row>
    <row r="925" spans="1:9" ht="12.75" customHeight="1">
      <c r="A925" s="121"/>
      <c r="B925" s="121"/>
      <c r="C925" s="121"/>
      <c r="D925" s="1241"/>
      <c r="E925" s="1241"/>
      <c r="F925" s="1241"/>
      <c r="G925" s="877"/>
      <c r="I925" s="391"/>
    </row>
    <row r="926" spans="1:9" ht="12.75" customHeight="1">
      <c r="A926" s="121"/>
      <c r="B926" s="121"/>
      <c r="C926" s="121"/>
      <c r="D926" s="240"/>
      <c r="E926" s="240"/>
      <c r="F926" s="240"/>
      <c r="G926" s="877"/>
      <c r="I926" s="391"/>
    </row>
    <row r="927" spans="1:9" ht="12.75" customHeight="1">
      <c r="A927" s="878"/>
      <c r="B927" s="386" t="s">
        <v>316</v>
      </c>
      <c r="C927" s="878"/>
      <c r="D927" s="1230" t="s">
        <v>577</v>
      </c>
      <c r="E927" s="1230"/>
      <c r="F927" s="1230"/>
      <c r="G927" s="877"/>
      <c r="I927" s="391"/>
    </row>
    <row r="928" spans="1:9" ht="12.75" customHeight="1">
      <c r="A928" s="878"/>
      <c r="B928" s="878"/>
      <c r="C928" s="878"/>
      <c r="D928" s="1230"/>
      <c r="E928" s="1230"/>
      <c r="F928" s="1230"/>
      <c r="G928" s="877"/>
      <c r="I928" s="391"/>
    </row>
    <row r="929" spans="1:9" ht="12.75" customHeight="1">
      <c r="A929" s="878"/>
      <c r="B929" s="878"/>
      <c r="C929" s="878"/>
      <c r="D929" s="877"/>
      <c r="E929" s="877"/>
      <c r="F929" s="877"/>
      <c r="G929" s="877"/>
      <c r="I929" s="391"/>
    </row>
    <row r="930" spans="1:9" ht="12.75" customHeight="1">
      <c r="A930" s="878"/>
      <c r="B930" s="386" t="s">
        <v>316</v>
      </c>
      <c r="C930" s="878"/>
      <c r="D930" s="1256" t="s">
        <v>578</v>
      </c>
      <c r="E930" s="1256"/>
      <c r="F930" s="1256"/>
      <c r="G930" s="877"/>
      <c r="I930" s="391"/>
    </row>
    <row r="931" spans="1:9" ht="12.75" customHeight="1">
      <c r="A931" s="878"/>
      <c r="B931" s="878"/>
      <c r="C931" s="878"/>
      <c r="D931" s="1256"/>
      <c r="E931" s="1256"/>
      <c r="F931" s="1256"/>
      <c r="G931" s="877"/>
      <c r="I931" s="391"/>
    </row>
    <row r="932" spans="1:9" ht="12.75" customHeight="1">
      <c r="A932" s="878"/>
      <c r="B932" s="878"/>
      <c r="C932" s="878"/>
      <c r="D932" s="1256"/>
      <c r="E932" s="1256"/>
      <c r="F932" s="1256"/>
      <c r="G932" s="877"/>
      <c r="I932" s="391"/>
    </row>
    <row r="933" spans="1:9" ht="12.75" customHeight="1">
      <c r="A933" s="878"/>
      <c r="B933" s="878"/>
      <c r="C933" s="878"/>
      <c r="D933" s="1256"/>
      <c r="E933" s="1256"/>
      <c r="F933" s="1256"/>
      <c r="G933" s="877"/>
      <c r="I933" s="391"/>
    </row>
    <row r="934" spans="1:9" ht="12.75" customHeight="1">
      <c r="A934" s="878"/>
      <c r="B934" s="878"/>
      <c r="C934" s="878"/>
      <c r="D934" s="84"/>
      <c r="E934" s="877"/>
      <c r="F934" s="877"/>
      <c r="G934" s="877"/>
      <c r="I934" s="391"/>
    </row>
    <row r="935" spans="1:9" ht="12.75" customHeight="1">
      <c r="A935" s="878"/>
      <c r="B935" s="386" t="s">
        <v>316</v>
      </c>
      <c r="C935" s="878"/>
      <c r="D935" s="1258" t="s">
        <v>579</v>
      </c>
      <c r="E935" s="1258"/>
      <c r="F935" s="1258"/>
      <c r="G935" s="877"/>
      <c r="I935" s="391"/>
    </row>
    <row r="936" spans="1:9" ht="12.75" customHeight="1">
      <c r="A936" s="878"/>
      <c r="B936" s="878"/>
      <c r="C936" s="878"/>
      <c r="D936" s="84"/>
      <c r="E936" s="877"/>
      <c r="F936" s="877"/>
      <c r="G936" s="877"/>
      <c r="I936" s="391"/>
    </row>
    <row r="937" spans="1:9" ht="12.75" customHeight="1">
      <c r="A937" s="878"/>
      <c r="B937" s="386" t="s">
        <v>316</v>
      </c>
      <c r="C937" s="878"/>
      <c r="D937" s="1258" t="s">
        <v>580</v>
      </c>
      <c r="E937" s="1258"/>
      <c r="F937" s="1258"/>
      <c r="G937" s="877"/>
      <c r="I937" s="391"/>
    </row>
    <row r="938" spans="1:9" ht="12.75" customHeight="1">
      <c r="A938" s="121"/>
      <c r="B938" s="121"/>
      <c r="C938" s="121"/>
      <c r="D938" s="2"/>
      <c r="E938" s="3"/>
      <c r="F938" s="877"/>
      <c r="G938" s="877"/>
      <c r="I938" s="391"/>
    </row>
    <row r="939" spans="1:9" ht="12.75" customHeight="1">
      <c r="A939" s="886"/>
      <c r="B939" s="386" t="s">
        <v>316</v>
      </c>
      <c r="C939" s="887"/>
      <c r="D939" s="1241" t="s">
        <v>581</v>
      </c>
      <c r="E939" s="1241"/>
      <c r="F939" s="1241"/>
      <c r="G939" s="888"/>
      <c r="I939" s="391"/>
    </row>
    <row r="940" spans="1:9" ht="12.75" customHeight="1">
      <c r="A940" s="886"/>
      <c r="B940" s="886"/>
      <c r="C940" s="887"/>
      <c r="D940" s="1241"/>
      <c r="E940" s="1241"/>
      <c r="F940" s="1241"/>
      <c r="G940" s="888"/>
      <c r="I940" s="391"/>
    </row>
    <row r="941" spans="1:9" ht="12.75" customHeight="1">
      <c r="A941" s="886"/>
      <c r="B941" s="886"/>
      <c r="C941" s="887"/>
      <c r="D941" s="1241"/>
      <c r="E941" s="1241"/>
      <c r="F941" s="1241"/>
      <c r="G941" s="888"/>
      <c r="I941" s="391"/>
    </row>
    <row r="942" spans="1:9" ht="12.75" customHeight="1">
      <c r="A942" s="886"/>
      <c r="B942" s="886"/>
      <c r="C942" s="887"/>
      <c r="D942" s="1241"/>
      <c r="E942" s="1241"/>
      <c r="F942" s="1241"/>
      <c r="G942" s="888"/>
      <c r="I942" s="391"/>
    </row>
    <row r="943" spans="1:9" ht="12.75" customHeight="1">
      <c r="A943" s="886"/>
      <c r="B943" s="886"/>
      <c r="C943" s="887"/>
      <c r="D943" s="1241"/>
      <c r="E943" s="1241"/>
      <c r="F943" s="1241"/>
      <c r="G943" s="888"/>
      <c r="I943" s="391"/>
    </row>
    <row r="944" spans="1:9" ht="12.75" customHeight="1">
      <c r="A944" s="886"/>
      <c r="B944" s="886"/>
      <c r="C944" s="887"/>
      <c r="D944" s="1241"/>
      <c r="E944" s="1241"/>
      <c r="F944" s="1241"/>
      <c r="G944" s="888"/>
      <c r="I944" s="391"/>
    </row>
    <row r="945" spans="1:9" ht="12.75" customHeight="1">
      <c r="A945" s="886"/>
      <c r="B945" s="886"/>
      <c r="C945" s="887"/>
      <c r="D945" s="1241"/>
      <c r="E945" s="1241"/>
      <c r="F945" s="1241"/>
      <c r="G945" s="888"/>
      <c r="I945" s="391"/>
    </row>
    <row r="946" spans="1:9" ht="12.75" customHeight="1">
      <c r="A946" s="886"/>
      <c r="B946" s="886"/>
      <c r="C946" s="887"/>
      <c r="D946" s="1241"/>
      <c r="E946" s="1241"/>
      <c r="F946" s="1241"/>
      <c r="G946" s="888"/>
      <c r="I946" s="391"/>
    </row>
    <row r="947" spans="1:9" ht="12.75" customHeight="1">
      <c r="A947" s="886"/>
      <c r="B947" s="886"/>
      <c r="C947" s="887"/>
      <c r="D947" s="1241"/>
      <c r="E947" s="1241"/>
      <c r="F947" s="1241"/>
      <c r="G947" s="888"/>
      <c r="I947" s="391"/>
    </row>
    <row r="948" spans="1:9" ht="12.75" customHeight="1">
      <c r="A948" s="121"/>
      <c r="B948" s="121"/>
      <c r="C948" s="121"/>
      <c r="D948" s="2"/>
      <c r="E948" s="3"/>
      <c r="F948" s="877"/>
      <c r="G948" s="877"/>
      <c r="I948" s="391"/>
    </row>
    <row r="949" spans="1:9" ht="12.75" customHeight="1">
      <c r="A949" s="122"/>
      <c r="B949" s="386" t="s">
        <v>311</v>
      </c>
      <c r="C949" s="121"/>
      <c r="D949" s="1266" t="s">
        <v>582</v>
      </c>
      <c r="E949" s="1266"/>
      <c r="F949" s="1266"/>
      <c r="G949" s="877"/>
      <c r="I949" s="391"/>
    </row>
    <row r="950" spans="1:9" ht="12.75" customHeight="1">
      <c r="A950" s="122"/>
      <c r="B950" s="122"/>
      <c r="C950" s="121"/>
      <c r="D950" s="1266"/>
      <c r="E950" s="1266"/>
      <c r="F950" s="1266"/>
      <c r="G950" s="877"/>
      <c r="I950" s="391"/>
    </row>
    <row r="951" spans="1:9" ht="12.75" customHeight="1">
      <c r="A951" s="122"/>
      <c r="B951" s="122"/>
      <c r="C951" s="121"/>
      <c r="D951" s="1266"/>
      <c r="E951" s="1266"/>
      <c r="F951" s="1266"/>
      <c r="G951" s="877"/>
      <c r="I951" s="391"/>
    </row>
    <row r="952" spans="1:9" ht="12.75" customHeight="1">
      <c r="A952" s="122"/>
      <c r="B952" s="122"/>
      <c r="C952" s="121"/>
      <c r="D952" s="1266"/>
      <c r="E952" s="1266"/>
      <c r="F952" s="1266"/>
      <c r="G952" s="877"/>
      <c r="I952" s="391"/>
    </row>
    <row r="953" spans="1:9" ht="12.75" customHeight="1">
      <c r="A953" s="122"/>
      <c r="B953" s="122"/>
      <c r="C953" s="121"/>
      <c r="D953" s="1266"/>
      <c r="E953" s="1266"/>
      <c r="F953" s="1266"/>
      <c r="G953" s="877"/>
      <c r="I953" s="391"/>
    </row>
    <row r="954" spans="1:9" ht="12.75" customHeight="1">
      <c r="A954" s="122"/>
      <c r="B954" s="122"/>
      <c r="C954" s="121"/>
      <c r="D954" s="1266"/>
      <c r="E954" s="1266"/>
      <c r="F954" s="1266"/>
      <c r="G954" s="877"/>
      <c r="I954" s="391"/>
    </row>
    <row r="955" spans="1:9" ht="12.75" customHeight="1">
      <c r="A955" s="122"/>
      <c r="B955" s="122"/>
      <c r="C955" s="121"/>
      <c r="D955" s="1266"/>
      <c r="E955" s="1266"/>
      <c r="F955" s="1266"/>
      <c r="G955" s="877"/>
      <c r="I955" s="391"/>
    </row>
    <row r="956" spans="1:9" ht="12.75" customHeight="1">
      <c r="A956" s="122"/>
      <c r="B956" s="122"/>
      <c r="C956" s="121"/>
      <c r="D956" s="912"/>
      <c r="E956" s="912"/>
      <c r="F956" s="912"/>
      <c r="G956" s="877"/>
      <c r="I956" s="391"/>
    </row>
    <row r="957" spans="1:9" ht="12.75" customHeight="1">
      <c r="A957" s="122"/>
      <c r="B957" s="386" t="s">
        <v>311</v>
      </c>
      <c r="C957" s="121"/>
      <c r="D957" s="1240" t="s">
        <v>583</v>
      </c>
      <c r="E957" s="1240"/>
      <c r="F957" s="1240"/>
      <c r="G957" s="877"/>
      <c r="I957" s="391"/>
    </row>
    <row r="958" spans="1:9" ht="12.75" customHeight="1">
      <c r="A958" s="122"/>
      <c r="B958" s="122"/>
      <c r="C958" s="121"/>
      <c r="D958" s="1240"/>
      <c r="E958" s="1240"/>
      <c r="F958" s="1240"/>
      <c r="G958" s="877"/>
      <c r="I958" s="391"/>
    </row>
    <row r="959" spans="1:9" ht="12.75" customHeight="1">
      <c r="A959" s="122"/>
      <c r="B959" s="122"/>
      <c r="C959" s="121"/>
      <c r="D959" s="1240"/>
      <c r="E959" s="1240"/>
      <c r="F959" s="1240"/>
      <c r="G959" s="877"/>
      <c r="I959" s="391"/>
    </row>
    <row r="960" spans="1:9" ht="12.75" customHeight="1">
      <c r="A960" s="122"/>
      <c r="B960" s="122"/>
      <c r="C960" s="121"/>
      <c r="D960" s="1240"/>
      <c r="E960" s="1240"/>
      <c r="F960" s="1240"/>
      <c r="G960" s="877"/>
      <c r="I960" s="391"/>
    </row>
    <row r="961" spans="1:9" ht="12.75" customHeight="1">
      <c r="A961" s="122"/>
      <c r="B961" s="122"/>
      <c r="C961" s="121"/>
      <c r="D961" s="1240"/>
      <c r="E961" s="1240"/>
      <c r="F961" s="1240"/>
      <c r="G961" s="877"/>
      <c r="I961" s="391"/>
    </row>
    <row r="962" spans="1:9" ht="12.75" customHeight="1">
      <c r="A962" s="122"/>
      <c r="B962" s="122"/>
      <c r="C962" s="121"/>
      <c r="D962" s="1240"/>
      <c r="E962" s="1240"/>
      <c r="F962" s="1240"/>
      <c r="G962" s="877"/>
      <c r="I962" s="391"/>
    </row>
    <row r="963" spans="1:9" ht="12.75" customHeight="1">
      <c r="A963" s="122"/>
      <c r="B963" s="122"/>
      <c r="C963" s="121"/>
      <c r="D963" s="912"/>
      <c r="E963" s="912"/>
      <c r="F963" s="912"/>
      <c r="G963" s="877"/>
      <c r="I963" s="391"/>
    </row>
    <row r="964" spans="1:9" ht="12.75" customHeight="1">
      <c r="A964" s="878"/>
      <c r="B964" s="386" t="s">
        <v>316</v>
      </c>
      <c r="C964" s="878"/>
      <c r="D964" s="1256" t="s">
        <v>584</v>
      </c>
      <c r="E964" s="1256"/>
      <c r="F964" s="1256"/>
      <c r="G964" s="877"/>
      <c r="I964" s="391"/>
    </row>
    <row r="965" spans="1:9" ht="12.75" customHeight="1">
      <c r="A965" s="878"/>
      <c r="B965" s="878"/>
      <c r="C965" s="878"/>
      <c r="D965" s="1256"/>
      <c r="E965" s="1256"/>
      <c r="F965" s="1256"/>
      <c r="G965" s="877"/>
      <c r="I965" s="391"/>
    </row>
    <row r="966" spans="1:9" ht="12.75" customHeight="1">
      <c r="A966" s="878"/>
      <c r="B966" s="878"/>
      <c r="C966" s="878"/>
      <c r="D966" s="1256"/>
      <c r="E966" s="1256"/>
      <c r="F966" s="1256"/>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41" t="s">
        <v>585</v>
      </c>
      <c r="E969" s="1241"/>
      <c r="F969" s="1241"/>
      <c r="G969" s="877"/>
      <c r="I969" s="391"/>
    </row>
    <row r="970" spans="1:9" ht="12.75" customHeight="1">
      <c r="A970" s="122"/>
      <c r="B970" s="122"/>
      <c r="C970" s="121"/>
      <c r="D970" s="1241"/>
      <c r="E970" s="1241"/>
      <c r="F970" s="1241"/>
      <c r="G970" s="877"/>
      <c r="I970" s="391"/>
    </row>
    <row r="971" spans="1:9" ht="12.75" customHeight="1">
      <c r="A971" s="122"/>
      <c r="B971" s="122"/>
      <c r="C971" s="121"/>
      <c r="D971" s="1241"/>
      <c r="E971" s="1241"/>
      <c r="F971" s="1241"/>
      <c r="G971" s="877"/>
      <c r="I971" s="391"/>
    </row>
    <row r="972" spans="1:9" ht="12.75" customHeight="1">
      <c r="A972" s="122"/>
      <c r="B972" s="122"/>
      <c r="C972" s="121"/>
      <c r="D972" s="1241"/>
      <c r="E972" s="1241"/>
      <c r="F972" s="1241"/>
      <c r="G972" s="877"/>
      <c r="I972" s="391"/>
    </row>
    <row r="973" spans="1:9" ht="12.75" customHeight="1">
      <c r="A973" s="878"/>
      <c r="B973" s="878"/>
      <c r="C973" s="878"/>
      <c r="D973" s="869"/>
      <c r="E973" s="869"/>
      <c r="F973" s="869"/>
      <c r="G973" s="869"/>
      <c r="I973" s="391"/>
    </row>
    <row r="974" spans="1:9" ht="12.75" customHeight="1">
      <c r="A974" s="257"/>
      <c r="B974" s="257"/>
      <c r="C974" s="257"/>
      <c r="D974" s="1257" t="s">
        <v>586</v>
      </c>
      <c r="E974" s="1257"/>
      <c r="F974" s="1257"/>
      <c r="G974" s="3"/>
      <c r="I974" s="391"/>
    </row>
    <row r="975" spans="1:9" ht="12.75" customHeight="1">
      <c r="A975" s="122"/>
      <c r="B975" s="386" t="s">
        <v>316</v>
      </c>
      <c r="C975" s="257"/>
      <c r="D975" s="1258" t="s">
        <v>587</v>
      </c>
      <c r="E975" s="1258"/>
      <c r="F975" s="1258"/>
      <c r="G975" s="3"/>
      <c r="I975" s="391"/>
    </row>
    <row r="976" spans="1:9" ht="12.75" customHeight="1">
      <c r="A976" s="257"/>
      <c r="B976" s="257"/>
      <c r="C976" s="257"/>
      <c r="D976" s="3"/>
      <c r="E976" s="3"/>
      <c r="F976" s="3"/>
      <c r="G976" s="3"/>
      <c r="I976" s="391"/>
    </row>
    <row r="977" spans="1:9" ht="12.75" customHeight="1">
      <c r="A977" s="257"/>
      <c r="B977" s="257"/>
      <c r="C977" s="257"/>
      <c r="D977" s="1257" t="s">
        <v>588</v>
      </c>
      <c r="E977" s="1257"/>
      <c r="F977" s="1257"/>
      <c r="G977"/>
      <c r="I977" s="391"/>
    </row>
    <row r="978" spans="1:9" ht="12.75" customHeight="1">
      <c r="A978" s="122"/>
      <c r="B978" s="386" t="s">
        <v>316</v>
      </c>
      <c r="C978" s="257"/>
      <c r="D978" s="1230" t="s">
        <v>589</v>
      </c>
      <c r="E978" s="1230"/>
      <c r="F978" s="1230"/>
      <c r="G978"/>
      <c r="I978" s="391"/>
    </row>
    <row r="979" spans="1:9" ht="12.75" customHeight="1">
      <c r="A979" s="122"/>
      <c r="B979" s="122"/>
      <c r="C979" s="257"/>
      <c r="D979" s="1230"/>
      <c r="E979" s="1230"/>
      <c r="F979" s="1230"/>
      <c r="G979"/>
      <c r="I979" s="391"/>
    </row>
    <row r="980" spans="1:9" ht="12.75" customHeight="1">
      <c r="A980" s="122"/>
      <c r="B980" s="122"/>
      <c r="C980" s="257"/>
      <c r="D980" s="1230"/>
      <c r="E980" s="1230"/>
      <c r="F980" s="1230"/>
      <c r="G980"/>
      <c r="I980" s="391"/>
    </row>
    <row r="981" spans="1:9" ht="12.75" customHeight="1">
      <c r="A981" s="122"/>
      <c r="B981" s="122"/>
      <c r="C981" s="257"/>
      <c r="D981" s="1230"/>
      <c r="E981" s="1230"/>
      <c r="F981" s="1230"/>
      <c r="G981"/>
      <c r="I981" s="391"/>
    </row>
    <row r="982" spans="1:9" ht="12.75" customHeight="1">
      <c r="A982" s="122"/>
      <c r="B982" s="122"/>
      <c r="C982" s="257"/>
      <c r="D982" s="1230"/>
      <c r="E982" s="1230"/>
      <c r="F982" s="1230"/>
      <c r="G982"/>
      <c r="I982" s="391"/>
    </row>
    <row r="983" spans="1:9" ht="12.75" customHeight="1">
      <c r="A983" s="122"/>
      <c r="B983" s="122"/>
      <c r="C983" s="257"/>
      <c r="D983" s="1230"/>
      <c r="E983" s="1230"/>
      <c r="F983" s="1230"/>
      <c r="G983"/>
      <c r="I983" s="391"/>
    </row>
    <row r="984" spans="1:9" ht="12.75" customHeight="1">
      <c r="A984" s="122"/>
      <c r="B984" s="122"/>
      <c r="C984" s="257"/>
      <c r="D984" s="1230"/>
      <c r="E984" s="1230"/>
      <c r="F984" s="1230"/>
      <c r="G984"/>
      <c r="I984" s="391"/>
    </row>
    <row r="985" spans="1:9" ht="12.75" customHeight="1">
      <c r="A985" s="122"/>
      <c r="B985" s="122"/>
      <c r="C985" s="257"/>
      <c r="D985" s="1230"/>
      <c r="E985" s="1230"/>
      <c r="F985" s="1230"/>
      <c r="G985"/>
      <c r="I985" s="391"/>
    </row>
    <row r="986" spans="1:9" ht="12.75" customHeight="1">
      <c r="A986" s="122"/>
      <c r="B986" s="122"/>
      <c r="C986" s="257"/>
      <c r="D986" s="1230"/>
      <c r="E986" s="1230"/>
      <c r="F986" s="1230"/>
      <c r="G986"/>
      <c r="I986" s="391"/>
    </row>
    <row r="987" spans="1:9" ht="12.75" customHeight="1">
      <c r="A987" s="122"/>
      <c r="B987" s="122"/>
      <c r="C987" s="257"/>
      <c r="D987" s="1230"/>
      <c r="E987" s="1230"/>
      <c r="F987" s="1230"/>
      <c r="G987"/>
      <c r="I987" s="391"/>
    </row>
    <row r="988" spans="1:9" ht="12.75" customHeight="1">
      <c r="A988" s="122"/>
      <c r="B988" s="122"/>
      <c r="C988" s="257"/>
      <c r="D988" s="1230"/>
      <c r="E988" s="1230"/>
      <c r="F988" s="1230"/>
      <c r="G988"/>
      <c r="I988" s="391"/>
    </row>
    <row r="989" spans="1:9" ht="12.75" customHeight="1">
      <c r="A989" s="122"/>
      <c r="B989" s="122"/>
      <c r="C989" s="257"/>
      <c r="D989" s="1230"/>
      <c r="E989" s="1230"/>
      <c r="F989" s="1230"/>
      <c r="G989"/>
      <c r="I989" s="391"/>
    </row>
    <row r="990" spans="1:9" ht="12.75" customHeight="1">
      <c r="A990" s="122"/>
      <c r="B990" s="122"/>
      <c r="C990" s="257"/>
      <c r="D990" s="1230"/>
      <c r="E990" s="1230"/>
      <c r="F990" s="1230"/>
      <c r="G990"/>
      <c r="I990" s="391"/>
    </row>
    <row r="991" spans="1:9" ht="12.75" customHeight="1">
      <c r="A991" s="122"/>
      <c r="B991" s="122"/>
      <c r="C991" s="257"/>
      <c r="D991" s="1230"/>
      <c r="E991" s="1230"/>
      <c r="F991" s="1230"/>
      <c r="G991"/>
      <c r="I991" s="391"/>
    </row>
    <row r="992" spans="1:9" ht="12.75" customHeight="1">
      <c r="A992" s="122"/>
      <c r="B992" s="122"/>
      <c r="C992" s="257"/>
      <c r="D992" s="1230"/>
      <c r="E992" s="1230"/>
      <c r="F992" s="1230"/>
      <c r="G992" s="3"/>
      <c r="I992" s="391"/>
    </row>
    <row r="993" spans="1:9" ht="12.75" customHeight="1">
      <c r="A993" s="257"/>
      <c r="B993" s="257"/>
      <c r="C993" s="257"/>
      <c r="D993" s="3"/>
      <c r="E993" s="3"/>
      <c r="F993" s="3"/>
      <c r="G993" s="3"/>
      <c r="I993" s="391"/>
    </row>
    <row r="994" spans="1:9" ht="12.75" customHeight="1">
      <c r="A994" s="1254" t="s">
        <v>590</v>
      </c>
      <c r="B994" s="1254"/>
      <c r="C994" s="1254"/>
      <c r="D994" s="1254"/>
      <c r="E994" s="1254"/>
      <c r="F994" s="1254"/>
      <c r="G994" s="1254"/>
      <c r="H994" s="914"/>
      <c r="I994" s="1036"/>
    </row>
    <row r="995" spans="1:9" ht="12.75" customHeight="1">
      <c r="A995" s="84"/>
      <c r="B995" s="84"/>
      <c r="C995" s="257"/>
      <c r="D995" s="3"/>
      <c r="E995" s="3"/>
      <c r="F995" s="3"/>
      <c r="G995" s="3"/>
      <c r="I995" s="391"/>
    </row>
    <row r="996" spans="1:9" ht="12.75" customHeight="1">
      <c r="A996" s="257"/>
      <c r="B996" s="257"/>
      <c r="C996" s="878"/>
      <c r="D996" s="1257" t="s">
        <v>591</v>
      </c>
      <c r="E996" s="1257"/>
      <c r="F996" s="1257"/>
      <c r="G996" s="3"/>
      <c r="I996" s="391"/>
    </row>
    <row r="997" spans="1:9" ht="12.75" customHeight="1">
      <c r="A997" s="119"/>
      <c r="B997" s="119"/>
      <c r="C997" s="119"/>
      <c r="D997" s="1258" t="s">
        <v>592</v>
      </c>
      <c r="E997" s="1258"/>
      <c r="F997" s="1258"/>
      <c r="G997" s="3"/>
      <c r="I997" s="391"/>
    </row>
    <row r="998" spans="1:9" ht="12.75" customHeight="1">
      <c r="A998" s="119"/>
      <c r="B998" s="119"/>
      <c r="C998" s="119"/>
      <c r="D998" s="3"/>
      <c r="E998" s="3"/>
      <c r="F998" s="877"/>
      <c r="G998"/>
      <c r="I998" s="391"/>
    </row>
    <row r="999" spans="1:9" ht="12.75" customHeight="1">
      <c r="A999" s="257"/>
      <c r="B999" s="386" t="s">
        <v>311</v>
      </c>
      <c r="C999" s="257"/>
      <c r="D999" s="1259" t="s">
        <v>593</v>
      </c>
      <c r="E999" s="1259"/>
      <c r="F999" s="1259"/>
      <c r="G999"/>
      <c r="I999" s="391"/>
    </row>
    <row r="1000" spans="1:9" ht="12.75" customHeight="1">
      <c r="A1000" s="257"/>
      <c r="B1000" s="257"/>
      <c r="C1000" s="257"/>
      <c r="D1000" s="1259"/>
      <c r="E1000" s="1259"/>
      <c r="F1000" s="1259"/>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235" t="s">
        <v>595</v>
      </c>
      <c r="E1002" s="1235"/>
      <c r="F1002" s="1235"/>
      <c r="G1002"/>
      <c r="I1002" s="391"/>
    </row>
    <row r="1003" spans="1:9" ht="12.75" customHeight="1">
      <c r="A1003" s="257"/>
      <c r="B1003" s="257"/>
      <c r="C1003" s="257"/>
      <c r="D1003" s="1235"/>
      <c r="E1003" s="1235"/>
      <c r="F1003" s="1235"/>
      <c r="G1003"/>
      <c r="I1003" s="391"/>
    </row>
    <row r="1004" spans="1:9" ht="12.75" customHeight="1">
      <c r="A1004" s="121"/>
      <c r="B1004" s="121"/>
      <c r="C1004" s="121"/>
      <c r="D1004" s="1235"/>
      <c r="E1004" s="1235"/>
      <c r="F1004" s="1235"/>
      <c r="G1004"/>
      <c r="I1004" s="391"/>
    </row>
    <row r="1005" spans="1:9" ht="12.75" customHeight="1">
      <c r="A1005" s="121"/>
      <c r="B1005" s="121"/>
      <c r="C1005" s="121"/>
      <c r="D1005" s="1235"/>
      <c r="E1005" s="1235"/>
      <c r="F1005" s="1235"/>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30" t="s">
        <v>596</v>
      </c>
      <c r="E1007" s="1230"/>
      <c r="F1007" s="1230"/>
      <c r="G1007"/>
      <c r="I1007" s="391"/>
    </row>
    <row r="1008" spans="1:9" ht="12.75" customHeight="1">
      <c r="A1008" s="121"/>
      <c r="B1008" s="121"/>
      <c r="C1008" s="121"/>
      <c r="D1008" s="1230"/>
      <c r="E1008" s="1230"/>
      <c r="F1008" s="1230"/>
      <c r="G1008"/>
      <c r="I1008" s="391"/>
    </row>
    <row r="1009" spans="1:9" ht="12.75" customHeight="1">
      <c r="A1009" s="121"/>
      <c r="B1009" s="121"/>
      <c r="C1009" s="121"/>
      <c r="D1009" s="1230"/>
      <c r="E1009" s="1230"/>
      <c r="F1009" s="1230"/>
      <c r="G1009"/>
      <c r="I1009" s="391"/>
    </row>
    <row r="1010" spans="1:9" ht="12.75" customHeight="1">
      <c r="A1010" s="121"/>
      <c r="B1010" s="121"/>
      <c r="C1010" s="121"/>
      <c r="D1010" s="1230"/>
      <c r="E1010" s="1230"/>
      <c r="F1010" s="1230"/>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30" t="s">
        <v>597</v>
      </c>
      <c r="E1012" s="1230"/>
      <c r="F1012" s="1230"/>
      <c r="G1012"/>
      <c r="I1012" s="391"/>
    </row>
    <row r="1013" spans="1:9" ht="12.75" customHeight="1">
      <c r="A1013" s="121"/>
      <c r="B1013" s="121"/>
      <c r="C1013" s="121"/>
      <c r="D1013" s="1230"/>
      <c r="E1013" s="1230"/>
      <c r="F1013" s="1230"/>
      <c r="G1013"/>
      <c r="I1013" s="391"/>
    </row>
    <row r="1014" spans="1:9" ht="12.75" customHeight="1">
      <c r="A1014" s="121"/>
      <c r="B1014" s="121"/>
      <c r="C1014" s="121"/>
      <c r="D1014" s="344"/>
      <c r="E1014" s="344"/>
      <c r="F1014" s="344"/>
      <c r="G1014"/>
      <c r="I1014" s="391"/>
    </row>
    <row r="1015" spans="1:9" ht="12.75" customHeight="1">
      <c r="A1015" s="122"/>
      <c r="B1015" s="386" t="s">
        <v>316</v>
      </c>
      <c r="C1015" s="257"/>
      <c r="D1015" s="1258" t="s">
        <v>598</v>
      </c>
      <c r="E1015" s="1258"/>
      <c r="F1015" s="1258"/>
      <c r="G1015"/>
      <c r="I1015" s="391"/>
    </row>
    <row r="1016" spans="1:9" ht="12.75" customHeight="1">
      <c r="A1016" s="257"/>
      <c r="B1016" s="257"/>
      <c r="C1016" s="257"/>
      <c r="D1016" s="3"/>
      <c r="E1016" s="3"/>
      <c r="F1016" s="3"/>
      <c r="G1016"/>
      <c r="I1016" s="391"/>
    </row>
    <row r="1017" spans="1:9" ht="12.75" customHeight="1">
      <c r="A1017" s="122"/>
      <c r="B1017" s="386" t="s">
        <v>316</v>
      </c>
      <c r="C1017" s="257"/>
      <c r="D1017" s="1258" t="s">
        <v>599</v>
      </c>
      <c r="E1017" s="1258"/>
      <c r="F1017" s="1258"/>
      <c r="G1017"/>
      <c r="I1017" s="391"/>
    </row>
    <row r="1018" spans="1:9" ht="12.75" customHeight="1">
      <c r="A1018" s="257"/>
      <c r="B1018" s="257"/>
      <c r="C1018" s="257"/>
      <c r="D1018" s="84"/>
      <c r="E1018" s="3"/>
      <c r="F1018" s="3"/>
      <c r="G1018"/>
      <c r="I1018" s="391"/>
    </row>
    <row r="1019" spans="1:9" ht="12.75" customHeight="1">
      <c r="A1019" s="122"/>
      <c r="B1019" s="386" t="s">
        <v>311</v>
      </c>
      <c r="C1019" s="257"/>
      <c r="D1019" s="1258" t="s">
        <v>600</v>
      </c>
      <c r="E1019" s="1258"/>
      <c r="F1019" s="1258"/>
      <c r="G1019"/>
      <c r="I1019" s="391"/>
    </row>
    <row r="1020" spans="1:9" ht="12.75" customHeight="1">
      <c r="A1020" s="257"/>
      <c r="B1020" s="257"/>
      <c r="C1020" s="257"/>
      <c r="D1020" s="84"/>
      <c r="E1020" s="3"/>
      <c r="F1020" s="3"/>
      <c r="G1020"/>
      <c r="I1020" s="391"/>
    </row>
    <row r="1021" spans="1:9" ht="12.75" customHeight="1">
      <c r="A1021" s="122"/>
      <c r="B1021" s="386" t="s">
        <v>316</v>
      </c>
      <c r="C1021" s="257"/>
      <c r="D1021" s="1230" t="s">
        <v>601</v>
      </c>
      <c r="E1021" s="1230"/>
      <c r="F1021" s="1230"/>
      <c r="G1021"/>
      <c r="I1021" s="391"/>
    </row>
    <row r="1022" spans="1:9" ht="12.75" customHeight="1">
      <c r="A1022" s="122"/>
      <c r="B1022" s="122"/>
      <c r="C1022" s="257"/>
      <c r="D1022" s="1230"/>
      <c r="E1022" s="1230"/>
      <c r="F1022" s="1230"/>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60" t="s">
        <v>602</v>
      </c>
      <c r="E1024" s="1260"/>
      <c r="F1024" s="1260"/>
      <c r="G1024" s="890"/>
      <c r="I1024" s="391"/>
    </row>
    <row r="1025" spans="1:9" ht="12.75" customHeight="1">
      <c r="A1025" s="889"/>
      <c r="B1025" s="889"/>
      <c r="C1025" s="889"/>
      <c r="D1025" s="1260"/>
      <c r="E1025" s="1260"/>
      <c r="F1025" s="1260"/>
      <c r="G1025" s="890"/>
      <c r="I1025" s="391"/>
    </row>
    <row r="1026" spans="1:9" ht="12.75" customHeight="1">
      <c r="A1026" s="889"/>
      <c r="B1026" s="889"/>
      <c r="C1026" s="889"/>
      <c r="D1026" s="873"/>
      <c r="E1026" s="890"/>
      <c r="F1026" s="890"/>
      <c r="G1026" s="890"/>
      <c r="I1026" s="391"/>
    </row>
    <row r="1027" spans="1:9" ht="12.75" customHeight="1">
      <c r="A1027" s="169"/>
      <c r="B1027" s="386" t="s">
        <v>311</v>
      </c>
      <c r="C1027" s="889"/>
      <c r="D1027" s="1253" t="s">
        <v>603</v>
      </c>
      <c r="E1027" s="1253"/>
      <c r="F1027" s="1253"/>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58" t="s">
        <v>604</v>
      </c>
      <c r="E1029" s="1258"/>
      <c r="F1029" s="1258"/>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30" t="s">
        <v>605</v>
      </c>
      <c r="E1031" s="1230"/>
      <c r="F1031" s="1230"/>
      <c r="G1031" s="3"/>
      <c r="I1031" s="391"/>
    </row>
    <row r="1032" spans="1:9" ht="12.75" customHeight="1">
      <c r="A1032" s="122"/>
      <c r="B1032" s="122"/>
      <c r="C1032" s="257"/>
      <c r="D1032" s="1230"/>
      <c r="E1032" s="1230"/>
      <c r="F1032" s="1230"/>
      <c r="G1032" s="3"/>
      <c r="I1032" s="391"/>
    </row>
    <row r="1033" spans="1:9" ht="12.75" customHeight="1">
      <c r="A1033" s="257"/>
      <c r="B1033" s="257"/>
      <c r="C1033" s="257"/>
      <c r="D1033" s="3"/>
      <c r="E1033" s="3"/>
      <c r="F1033" s="3"/>
      <c r="G1033" s="3"/>
      <c r="I1033" s="391"/>
    </row>
    <row r="1034" spans="1:9" ht="12.75" customHeight="1">
      <c r="A1034" s="1254" t="s">
        <v>606</v>
      </c>
      <c r="B1034" s="1254"/>
      <c r="C1034" s="1254"/>
      <c r="D1034" s="1254"/>
      <c r="E1034" s="1254"/>
      <c r="F1034" s="1254"/>
      <c r="G1034" s="1254"/>
      <c r="H1034" s="914"/>
      <c r="I1034" s="1036"/>
    </row>
    <row r="1035" spans="1:9" ht="12.75" customHeight="1">
      <c r="A1035" s="257"/>
      <c r="B1035" s="257"/>
      <c r="C1035" s="257"/>
      <c r="D1035" s="3"/>
      <c r="E1035" s="3"/>
      <c r="F1035" s="3"/>
      <c r="G1035" s="3"/>
      <c r="I1035" s="391"/>
    </row>
    <row r="1036" spans="1:9" ht="12.75" customHeight="1">
      <c r="A1036" s="257"/>
      <c r="B1036" s="257"/>
      <c r="C1036" s="257"/>
      <c r="D1036" s="1252" t="s">
        <v>607</v>
      </c>
      <c r="E1036" s="1252"/>
      <c r="F1036" s="1252"/>
      <c r="G1036" s="3"/>
      <c r="I1036" s="391"/>
    </row>
    <row r="1037" spans="1:9" ht="12.75" customHeight="1">
      <c r="A1037" s="257"/>
      <c r="B1037" s="257"/>
      <c r="C1037" s="257"/>
      <c r="D1037" s="1253" t="s">
        <v>608</v>
      </c>
      <c r="E1037" s="1253"/>
      <c r="F1037" s="1253"/>
      <c r="G1037" s="3"/>
      <c r="I1037" s="391"/>
    </row>
    <row r="1038" spans="1:9" ht="12.75" customHeight="1">
      <c r="A1038" s="119"/>
      <c r="B1038" s="119"/>
      <c r="C1038" s="119"/>
      <c r="D1038" s="3"/>
      <c r="E1038" s="3"/>
      <c r="F1038" s="3"/>
      <c r="G1038" s="3"/>
      <c r="I1038" s="391"/>
    </row>
    <row r="1039" spans="1:9" ht="12.75" customHeight="1">
      <c r="A1039" s="122"/>
      <c r="B1039" s="122"/>
      <c r="C1039" s="121"/>
      <c r="D1039" s="1252" t="s">
        <v>609</v>
      </c>
      <c r="E1039" s="1252"/>
      <c r="F1039" s="1252"/>
      <c r="G1039" s="3"/>
      <c r="I1039" s="391"/>
    </row>
    <row r="1040" spans="1:9" ht="12.75" customHeight="1">
      <c r="A1040" s="257"/>
      <c r="B1040" s="386" t="s">
        <v>311</v>
      </c>
      <c r="C1040" s="257"/>
      <c r="D1040" s="1253" t="s">
        <v>610</v>
      </c>
      <c r="E1040" s="1253"/>
      <c r="F1040" s="1253"/>
      <c r="G1040" s="3"/>
      <c r="I1040" s="391"/>
    </row>
    <row r="1041" spans="1:9" ht="12.75" customHeight="1">
      <c r="A1041" s="257"/>
      <c r="B1041" s="122"/>
      <c r="C1041" s="257"/>
      <c r="D1041" s="1253" t="s">
        <v>611</v>
      </c>
      <c r="E1041" s="1253"/>
      <c r="F1041" s="1253"/>
      <c r="G1041" s="3"/>
      <c r="I1041" s="391"/>
    </row>
    <row r="1042" spans="1:9" ht="12.75" customHeight="1">
      <c r="A1042" s="257"/>
      <c r="B1042" s="257"/>
      <c r="C1042" s="257"/>
      <c r="D1042" s="1253"/>
      <c r="E1042" s="1253"/>
      <c r="F1042" s="1253"/>
      <c r="G1042" s="3"/>
      <c r="I1042" s="391"/>
    </row>
    <row r="1043" spans="1:9" ht="12.75" customHeight="1">
      <c r="A1043" s="1254" t="s">
        <v>612</v>
      </c>
      <c r="B1043" s="1254"/>
      <c r="C1043" s="1254"/>
      <c r="D1043" s="1254"/>
      <c r="E1043" s="1254"/>
      <c r="F1043" s="1254"/>
      <c r="G1043" s="1254"/>
      <c r="H1043" s="914"/>
      <c r="I1043" s="1036"/>
    </row>
    <row r="1044" spans="1:9" ht="12.75" customHeight="1">
      <c r="A1044" s="84"/>
      <c r="B1044" s="84"/>
      <c r="C1044" s="257"/>
      <c r="D1044" s="3"/>
      <c r="E1044" s="3"/>
      <c r="F1044" s="3"/>
      <c r="G1044" s="3"/>
      <c r="I1044" s="391"/>
    </row>
    <row r="1045" spans="1:9" ht="12.75" hidden="1" customHeight="1">
      <c r="A1045" s="84"/>
      <c r="B1045" s="305"/>
      <c r="D1045" s="1251" t="s">
        <v>613</v>
      </c>
      <c r="E1045" s="1251"/>
      <c r="F1045" s="1251"/>
      <c r="G1045" s="3"/>
      <c r="I1045" s="391"/>
    </row>
    <row r="1046" spans="1:9" ht="12.75" hidden="1" customHeight="1">
      <c r="A1046" s="84"/>
      <c r="B1046" s="386" t="s">
        <v>348</v>
      </c>
      <c r="D1046" s="1250" t="s">
        <v>610</v>
      </c>
      <c r="E1046" s="1250"/>
      <c r="F1046" s="1250"/>
      <c r="G1046" s="3"/>
      <c r="I1046" s="391"/>
    </row>
    <row r="1047" spans="1:9" ht="12.75" hidden="1" customHeight="1">
      <c r="A1047" s="84"/>
      <c r="B1047" s="305"/>
      <c r="D1047" s="1250" t="s">
        <v>614</v>
      </c>
      <c r="E1047" s="1250"/>
      <c r="F1047" s="1250"/>
      <c r="G1047" s="3"/>
      <c r="I1047" s="391"/>
    </row>
    <row r="1048" spans="1:9" ht="12.75" hidden="1" customHeight="1">
      <c r="A1048" s="84"/>
      <c r="B1048" s="305"/>
      <c r="D1048" s="346"/>
      <c r="E1048" s="346"/>
      <c r="F1048" s="346"/>
      <c r="G1048" s="3"/>
      <c r="I1048" s="391"/>
    </row>
    <row r="1049" spans="1:9" ht="12.75" customHeight="1">
      <c r="A1049" s="84"/>
      <c r="B1049" s="84"/>
      <c r="C1049" s="257"/>
      <c r="D1049" s="1255" t="s">
        <v>615</v>
      </c>
      <c r="E1049" s="1255"/>
      <c r="F1049" s="1255"/>
      <c r="G1049" s="3"/>
      <c r="I1049" s="391"/>
    </row>
    <row r="1050" spans="1:9" ht="12.75" customHeight="1">
      <c r="A1050" s="224"/>
      <c r="B1050" s="224"/>
      <c r="C1050" s="224"/>
      <c r="D1050" s="1249" t="s">
        <v>616</v>
      </c>
      <c r="E1050" s="1249"/>
      <c r="F1050" s="1249"/>
      <c r="G1050" s="73"/>
      <c r="I1050" s="391"/>
    </row>
    <row r="1051" spans="1:9" ht="12.75" customHeight="1">
      <c r="A1051" s="122"/>
      <c r="B1051" s="386" t="s">
        <v>316</v>
      </c>
      <c r="C1051" s="257"/>
      <c r="D1051" s="1249" t="s">
        <v>617</v>
      </c>
      <c r="E1051" s="1249"/>
      <c r="F1051" s="1249"/>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254" t="s">
        <v>619</v>
      </c>
      <c r="B1054" s="1254"/>
      <c r="C1054" s="1254"/>
      <c r="D1054" s="1254"/>
      <c r="E1054" s="1254"/>
      <c r="F1054" s="1254"/>
      <c r="G1054" s="1254"/>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311</v>
      </c>
      <c r="C1059" s="305"/>
      <c r="D1059" s="1262" t="s">
        <v>622</v>
      </c>
      <c r="E1059" s="1262"/>
      <c r="F1059" s="1262"/>
      <c r="I1059" s="391"/>
    </row>
    <row r="1060" spans="1:9">
      <c r="A1060" s="305"/>
      <c r="B1060" s="305"/>
      <c r="C1060" s="305"/>
      <c r="D1060" s="1262"/>
      <c r="E1060" s="1262"/>
      <c r="F1060" s="1262"/>
      <c r="I1060" s="391"/>
    </row>
    <row r="1061" spans="1:9">
      <c r="A1061" s="305"/>
      <c r="B1061" s="305"/>
      <c r="C1061" s="305"/>
      <c r="D1061" s="1262"/>
      <c r="E1061" s="1262"/>
      <c r="F1061" s="1262"/>
      <c r="I1061" s="391"/>
    </row>
    <row r="1062" spans="1:9">
      <c r="A1062" s="305"/>
      <c r="B1062" s="305"/>
      <c r="C1062" s="305"/>
      <c r="D1062" s="1262"/>
      <c r="E1062" s="1262"/>
      <c r="F1062" s="1262"/>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316</v>
      </c>
      <c r="C1067" s="305"/>
      <c r="D1067" s="305" t="s">
        <v>571</v>
      </c>
      <c r="I1067" s="391"/>
    </row>
    <row r="1068" spans="1:9">
      <c r="A1068" s="305"/>
      <c r="B1068" s="305"/>
      <c r="C1068" s="305"/>
      <c r="I1068" s="391"/>
    </row>
    <row r="1069" spans="1:9">
      <c r="A1069" s="305"/>
      <c r="B1069" s="386" t="s">
        <v>316</v>
      </c>
      <c r="C1069" s="305"/>
      <c r="D1069" s="1262" t="s">
        <v>625</v>
      </c>
      <c r="E1069" s="1262"/>
      <c r="F1069" s="1262"/>
      <c r="I1069" s="391"/>
    </row>
    <row r="1070" spans="1:9">
      <c r="A1070" s="305"/>
      <c r="B1070" s="305"/>
      <c r="C1070" s="305"/>
      <c r="D1070" s="1262"/>
      <c r="E1070" s="1262"/>
      <c r="F1070" s="1262"/>
      <c r="I1070" s="391"/>
    </row>
    <row r="1071" spans="1:9">
      <c r="A1071" s="305"/>
      <c r="B1071" s="305"/>
      <c r="C1071" s="305"/>
      <c r="D1071" s="1262"/>
      <c r="E1071" s="1262"/>
      <c r="F1071" s="1262"/>
      <c r="I1071" s="391"/>
    </row>
    <row r="1072" spans="1:9">
      <c r="A1072" s="305"/>
      <c r="B1072" s="305"/>
      <c r="C1072" s="305"/>
      <c r="D1072" s="1262"/>
      <c r="E1072" s="1262"/>
      <c r="F1072" s="1262"/>
      <c r="I1072" s="391"/>
    </row>
    <row r="1073" spans="1:9">
      <c r="A1073" s="305"/>
      <c r="B1073" s="305"/>
      <c r="C1073" s="305"/>
      <c r="D1073" s="1262"/>
      <c r="E1073" s="1262"/>
      <c r="F1073" s="1262"/>
      <c r="I1073" s="391"/>
    </row>
    <row r="1074" spans="1:9">
      <c r="A1074" s="305"/>
      <c r="B1074" s="305"/>
      <c r="C1074" s="305"/>
      <c r="I1074" s="391"/>
    </row>
    <row r="1075" spans="1:9">
      <c r="A1075" s="1254" t="s">
        <v>626</v>
      </c>
      <c r="B1075" s="1254"/>
      <c r="C1075" s="1254"/>
      <c r="D1075" s="1254"/>
      <c r="E1075" s="1254"/>
      <c r="F1075" s="1254"/>
      <c r="G1075" s="1254"/>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311</v>
      </c>
      <c r="C1081" s="305"/>
      <c r="D1081" s="1265" t="s">
        <v>629</v>
      </c>
      <c r="E1081" s="1265"/>
      <c r="F1081" s="1265"/>
      <c r="I1081" s="391"/>
    </row>
    <row r="1082" spans="1:9">
      <c r="A1082" s="305"/>
      <c r="B1082" s="305"/>
      <c r="C1082" s="305"/>
      <c r="D1082" s="1265"/>
      <c r="E1082" s="1265"/>
      <c r="F1082" s="1265"/>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230" t="s">
        <v>632</v>
      </c>
      <c r="E1086" s="1230"/>
      <c r="F1086" s="1230"/>
      <c r="I1086" s="391"/>
    </row>
    <row r="1087" spans="1:9">
      <c r="A1087" s="305"/>
      <c r="B1087" s="305"/>
      <c r="C1087" s="305"/>
      <c r="D1087" s="1230"/>
      <c r="E1087" s="1230"/>
      <c r="F1087" s="1230"/>
      <c r="I1087" s="391"/>
    </row>
    <row r="1088" spans="1:9">
      <c r="A1088" s="305"/>
      <c r="B1088" s="305"/>
      <c r="C1088" s="305"/>
      <c r="D1088" s="1230"/>
      <c r="E1088" s="1230"/>
      <c r="F1088" s="1230"/>
      <c r="I1088" s="391"/>
    </row>
    <row r="1089" spans="1:9">
      <c r="A1089" s="305"/>
      <c r="B1089" s="305"/>
      <c r="C1089" s="305"/>
      <c r="D1089" s="1230"/>
      <c r="E1089" s="1230"/>
      <c r="F1089" s="1230"/>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261" t="s">
        <v>635</v>
      </c>
      <c r="E1093" s="1261"/>
      <c r="F1093" s="1261"/>
      <c r="I1093" s="391"/>
    </row>
    <row r="1094" spans="1:9">
      <c r="A1094" s="305"/>
      <c r="B1094" s="305"/>
      <c r="C1094" s="305"/>
      <c r="D1094" s="1261"/>
      <c r="E1094" s="1261"/>
      <c r="F1094" s="1261"/>
      <c r="I1094" s="391"/>
    </row>
    <row r="1095" spans="1:9">
      <c r="A1095" s="305"/>
      <c r="B1095" s="305"/>
      <c r="C1095" s="305"/>
      <c r="D1095" s="1261"/>
      <c r="E1095" s="1261"/>
      <c r="F1095" s="1261"/>
      <c r="I1095" s="391"/>
    </row>
    <row r="1096" spans="1:9">
      <c r="A1096" s="305"/>
      <c r="B1096" s="305"/>
      <c r="C1096" s="305"/>
      <c r="D1096" s="1261"/>
      <c r="E1096" s="1261"/>
      <c r="F1096" s="1261"/>
      <c r="I1096" s="391"/>
    </row>
    <row r="1097" spans="1:9">
      <c r="A1097" s="305"/>
      <c r="B1097" s="305"/>
      <c r="C1097" s="305"/>
      <c r="D1097" s="1261"/>
      <c r="E1097" s="1261"/>
      <c r="F1097" s="1261"/>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244" t="s">
        <v>637</v>
      </c>
      <c r="E1100" s="1244"/>
      <c r="F1100" s="1244"/>
      <c r="I1100" s="391"/>
    </row>
    <row r="1101" spans="1:9">
      <c r="A1101" s="305"/>
      <c r="B1101" s="305"/>
      <c r="C1101" s="305"/>
      <c r="D1101" s="1244"/>
      <c r="E1101" s="1244"/>
      <c r="F1101" s="1244"/>
      <c r="I1101" s="391"/>
    </row>
    <row r="1102" spans="1:9">
      <c r="A1102" s="305"/>
      <c r="B1102" s="305"/>
      <c r="C1102" s="305"/>
      <c r="D1102" s="1244"/>
      <c r="E1102" s="1244"/>
      <c r="F1102" s="1244"/>
      <c r="I1102" s="391"/>
    </row>
    <row r="1103" spans="1:9">
      <c r="A1103" s="305"/>
      <c r="B1103" s="305"/>
      <c r="C1103" s="305"/>
      <c r="I1103" s="391"/>
    </row>
    <row r="1104" spans="1:9">
      <c r="A1104" s="1254" t="s">
        <v>638</v>
      </c>
      <c r="B1104" s="1254"/>
      <c r="C1104" s="1254"/>
      <c r="D1104" s="1254"/>
      <c r="E1104" s="1254"/>
      <c r="F1104" s="1254"/>
      <c r="G1104" s="1254"/>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63" t="s">
        <v>639</v>
      </c>
      <c r="E1107" s="1263"/>
      <c r="F1107" s="1263"/>
      <c r="I1107" s="391"/>
    </row>
    <row r="1108" spans="1:9">
      <c r="A1108" s="305"/>
      <c r="B1108" s="305"/>
      <c r="C1108" s="305"/>
      <c r="D1108" s="1263"/>
      <c r="E1108" s="1263"/>
      <c r="F1108" s="1263"/>
      <c r="I1108" s="391"/>
    </row>
    <row r="1109" spans="1:9">
      <c r="A1109" s="305"/>
      <c r="B1109" s="305"/>
      <c r="C1109" s="305"/>
      <c r="D1109" s="1264" t="s">
        <v>640</v>
      </c>
      <c r="E1109" s="1230"/>
      <c r="F1109" s="1230"/>
      <c r="I1109" s="391"/>
    </row>
    <row r="1110" spans="1:9">
      <c r="A1110" s="305"/>
      <c r="B1110" s="305"/>
      <c r="C1110" s="305"/>
      <c r="D1110" s="427"/>
      <c r="I1110" s="391"/>
    </row>
    <row r="1111" spans="1:9">
      <c r="A1111" s="305"/>
      <c r="B1111" s="386" t="s">
        <v>311</v>
      </c>
      <c r="C1111" s="305"/>
      <c r="D1111" s="1261" t="s">
        <v>641</v>
      </c>
      <c r="E1111" s="1261"/>
      <c r="F1111" s="1261"/>
      <c r="I1111" s="391"/>
    </row>
    <row r="1112" spans="1:9">
      <c r="A1112" s="305"/>
      <c r="B1112" s="305"/>
      <c r="C1112" s="305"/>
      <c r="D1112" s="1261"/>
      <c r="E1112" s="1261"/>
      <c r="F1112" s="1261"/>
      <c r="I1112" s="391"/>
    </row>
    <row r="1113" spans="1:9">
      <c r="A1113" s="305"/>
      <c r="B1113" s="305"/>
      <c r="C1113" s="305"/>
      <c r="D1113" s="1261"/>
      <c r="E1113" s="1261"/>
      <c r="F1113" s="1261"/>
      <c r="I1113" s="391"/>
    </row>
    <row r="1114" spans="1:9">
      <c r="A1114" s="305"/>
      <c r="B1114" s="305"/>
      <c r="C1114" s="305"/>
      <c r="D1114" s="427"/>
      <c r="I1114" s="391"/>
    </row>
    <row r="1115" spans="1:9">
      <c r="A1115" s="305"/>
      <c r="B1115" s="386" t="s">
        <v>316</v>
      </c>
      <c r="C1115" s="305"/>
      <c r="D1115" s="1261" t="s">
        <v>642</v>
      </c>
      <c r="E1115" s="1261"/>
      <c r="F1115" s="1261"/>
      <c r="I1115" s="391"/>
    </row>
    <row r="1116" spans="1:9">
      <c r="A1116" s="305"/>
      <c r="B1116" s="305"/>
      <c r="C1116" s="305"/>
      <c r="D1116" s="1261"/>
      <c r="E1116" s="1261"/>
      <c r="F1116" s="1261"/>
      <c r="I1116" s="391"/>
    </row>
    <row r="1117" spans="1:9">
      <c r="A1117" s="305"/>
      <c r="B1117" s="305"/>
      <c r="C1117" s="305"/>
      <c r="D1117" s="1261"/>
      <c r="E1117" s="1261"/>
      <c r="F1117" s="1261"/>
      <c r="I1117" s="391"/>
    </row>
    <row r="1118" spans="1:9">
      <c r="A1118" s="305"/>
      <c r="B1118" s="305"/>
      <c r="C1118" s="305"/>
      <c r="D1118" s="1261"/>
      <c r="E1118" s="1261"/>
      <c r="F1118" s="1261"/>
      <c r="I1118" s="391"/>
    </row>
    <row r="1119" spans="1:9">
      <c r="A1119" s="305"/>
      <c r="B1119" s="305"/>
      <c r="C1119" s="305"/>
      <c r="D1119" s="1261"/>
      <c r="E1119" s="1261"/>
      <c r="F1119" s="1261"/>
      <c r="I1119" s="391"/>
    </row>
    <row r="1120" spans="1:9">
      <c r="A1120" s="305"/>
      <c r="B1120" s="305"/>
      <c r="C1120" s="305"/>
      <c r="D1120" s="427"/>
      <c r="I1120" s="381"/>
    </row>
    <row r="1121" spans="1:9">
      <c r="A1121" s="305"/>
      <c r="B1121" s="386" t="s">
        <v>316</v>
      </c>
      <c r="C1121" s="305"/>
      <c r="D1121" s="1261" t="s">
        <v>643</v>
      </c>
      <c r="E1121" s="1261"/>
      <c r="F1121" s="1261"/>
      <c r="I1121" s="391"/>
    </row>
    <row r="1122" spans="1:9">
      <c r="A1122" s="305"/>
      <c r="B1122" s="305"/>
      <c r="C1122" s="305"/>
      <c r="D1122" s="1261"/>
      <c r="E1122" s="1261"/>
      <c r="F1122" s="1261"/>
      <c r="I1122" s="391"/>
    </row>
    <row r="1123" spans="1:9">
      <c r="A1123" s="305"/>
      <c r="B1123" s="305"/>
      <c r="C1123" s="305"/>
      <c r="D1123" s="1261"/>
      <c r="E1123" s="1261"/>
      <c r="F1123" s="1261"/>
      <c r="I1123" s="391"/>
    </row>
    <row r="1124" spans="1:9">
      <c r="A1124" s="305"/>
      <c r="B1124" s="305"/>
      <c r="C1124" s="305"/>
      <c r="D1124" s="427"/>
      <c r="I1124" s="391"/>
    </row>
    <row r="1125" spans="1:9">
      <c r="A1125" s="305"/>
      <c r="B1125" s="386" t="s">
        <v>316</v>
      </c>
      <c r="C1125" s="305"/>
      <c r="D1125" s="1235" t="s">
        <v>644</v>
      </c>
      <c r="E1125" s="1235"/>
      <c r="F1125" s="1235"/>
      <c r="I1125" s="391"/>
    </row>
    <row r="1126" spans="1:9">
      <c r="A1126" s="305"/>
      <c r="B1126" s="305"/>
      <c r="C1126" s="305"/>
      <c r="D1126" s="1235"/>
      <c r="E1126" s="1235"/>
      <c r="F1126" s="1235"/>
      <c r="I1126" s="391"/>
    </row>
    <row r="1127" spans="1:9">
      <c r="A1127" s="305"/>
      <c r="B1127" s="305"/>
      <c r="C1127" s="305"/>
      <c r="D1127" s="1235"/>
      <c r="E1127" s="1235"/>
      <c r="F1127" s="1235"/>
      <c r="I1127" s="391"/>
    </row>
    <row r="1128" spans="1:9">
      <c r="A1128" s="305"/>
      <c r="B1128" s="305"/>
      <c r="C1128" s="305"/>
      <c r="D1128" s="869"/>
      <c r="E1128" s="869"/>
      <c r="F1128" s="869"/>
      <c r="I1128" s="391"/>
    </row>
    <row r="1129" spans="1:9" ht="15.75" customHeight="1">
      <c r="A1129" s="305"/>
      <c r="B1129" s="386" t="s">
        <v>316</v>
      </c>
      <c r="C1129" s="305"/>
      <c r="D1129" s="1230" t="s">
        <v>645</v>
      </c>
      <c r="E1129" s="1230"/>
      <c r="F1129" s="1230"/>
      <c r="I1129" s="391"/>
    </row>
    <row r="1130" spans="1:9">
      <c r="A1130" s="305"/>
      <c r="B1130" s="305"/>
      <c r="C1130" s="305"/>
      <c r="D1130" s="1230"/>
      <c r="E1130" s="1230"/>
      <c r="F1130" s="1230"/>
      <c r="I1130" s="391"/>
    </row>
    <row r="1131" spans="1:9">
      <c r="A1131" s="305"/>
      <c r="B1131" s="305"/>
      <c r="C1131" s="305"/>
      <c r="D1131" s="1230"/>
      <c r="E1131" s="1230"/>
      <c r="F1131" s="1230"/>
      <c r="I1131" s="391"/>
    </row>
    <row r="1132" spans="1:9">
      <c r="A1132" s="305"/>
      <c r="B1132" s="305"/>
      <c r="C1132" s="305"/>
      <c r="D1132" s="1230"/>
      <c r="E1132" s="1230"/>
      <c r="F1132" s="1230"/>
      <c r="I1132" s="391"/>
    </row>
    <row r="1133" spans="1:9">
      <c r="A1133" s="305"/>
      <c r="B1133" s="305"/>
      <c r="C1133" s="305"/>
      <c r="D1133" s="869"/>
      <c r="E1133" s="869"/>
      <c r="F1133" s="869"/>
      <c r="I1133" s="391"/>
    </row>
    <row r="1134" spans="1:9">
      <c r="A1134" s="305"/>
      <c r="B1134" s="386" t="s">
        <v>316</v>
      </c>
      <c r="C1134" s="305"/>
      <c r="D1134" s="1235" t="s">
        <v>646</v>
      </c>
      <c r="E1134" s="1235"/>
      <c r="F1134" s="1235"/>
      <c r="I1134" s="391"/>
    </row>
    <row r="1135" spans="1:9">
      <c r="A1135" s="305"/>
      <c r="B1135" s="305"/>
      <c r="C1135" s="305"/>
      <c r="D1135" s="1235"/>
      <c r="E1135" s="1235"/>
      <c r="F1135" s="1235"/>
      <c r="I1135" s="391"/>
    </row>
    <row r="1136" spans="1:9">
      <c r="A1136" s="305"/>
      <c r="B1136" s="305"/>
      <c r="C1136" s="305"/>
      <c r="D1136" s="1235"/>
      <c r="E1136" s="1235"/>
      <c r="F1136" s="1235"/>
      <c r="I1136" s="391"/>
    </row>
    <row r="1137" spans="1:9">
      <c r="A1137" s="305"/>
      <c r="B1137" s="305"/>
      <c r="C1137" s="305"/>
      <c r="D1137" s="1235"/>
      <c r="E1137" s="1235"/>
      <c r="F1137" s="1235"/>
      <c r="I1137" s="391"/>
    </row>
    <row r="1138" spans="1:9">
      <c r="A1138" s="305"/>
      <c r="B1138" s="305"/>
      <c r="C1138" s="305"/>
      <c r="D1138" s="1235"/>
      <c r="E1138" s="1235"/>
      <c r="F1138" s="1235"/>
      <c r="I1138" s="391"/>
    </row>
    <row r="1139" spans="1:9">
      <c r="A1139" s="305"/>
      <c r="B1139" s="305"/>
      <c r="C1139" s="305"/>
      <c r="D1139" s="1235"/>
      <c r="E1139" s="1235"/>
      <c r="F1139" s="1235"/>
      <c r="I1139" s="391"/>
    </row>
    <row r="1140" spans="1:9">
      <c r="A1140" s="305"/>
      <c r="B1140" s="305"/>
      <c r="C1140" s="305"/>
      <c r="D1140" s="869"/>
      <c r="E1140" s="869"/>
      <c r="F1140" s="869"/>
      <c r="I1140" s="391"/>
    </row>
    <row r="1141" spans="1:9">
      <c r="A1141" s="305"/>
      <c r="B1141" s="386" t="s">
        <v>316</v>
      </c>
      <c r="C1141" s="305"/>
      <c r="D1141" s="1262" t="s">
        <v>647</v>
      </c>
      <c r="E1141" s="1262"/>
      <c r="F1141" s="1262"/>
      <c r="I1141" s="1042"/>
    </row>
    <row r="1142" spans="1:9">
      <c r="A1142" s="305"/>
      <c r="B1142" s="305"/>
      <c r="C1142" s="305"/>
      <c r="D1142" s="1262"/>
      <c r="E1142" s="1262"/>
      <c r="F1142" s="1262"/>
      <c r="I1142" s="391"/>
    </row>
    <row r="1143" spans="1:9">
      <c r="A1143" s="305"/>
      <c r="B1143" s="305"/>
      <c r="C1143" s="305"/>
      <c r="D1143" s="1262"/>
      <c r="E1143" s="1262"/>
      <c r="F1143" s="1262"/>
    </row>
    <row r="1144" spans="1:9">
      <c r="A1144" s="305"/>
      <c r="B1144" s="305"/>
      <c r="C1144" s="305"/>
      <c r="D1144" s="1262"/>
      <c r="E1144" s="1262"/>
      <c r="F1144" s="1262"/>
    </row>
    <row r="1145" spans="1:9">
      <c r="A1145" s="305"/>
      <c r="B1145" s="305"/>
      <c r="C1145" s="305"/>
      <c r="D1145" s="1262"/>
      <c r="E1145" s="1262"/>
      <c r="F1145" s="1262"/>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71"/>
      <c r="H1553" s="1271"/>
      <c r="I1553" s="1271"/>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5 B24 B20 B33 B27 B41 B47 B36 B52 B65 B56 B68 B72 B61 B80 B103 B119 B96 B128 B131 B151 B171 B177 B182 B205 B213 B228 B259 B256 B245 B250 B271 B278 B290 B267 B297 B293 B307 B305 B316 B313 B334 B318 B355 B360 B362 B380 B423 B429 B387 B420 B344 B471 B474 B478 B481 B486 B435 B467 B488 B501 B514 B504 B509 B527 B511 B1078 B530 B549 B557 B560 B551 B564 B554 B567 B570 B574 B589 B600 B595 B579 B603 B591 B621 B623 B629 B638 B645 B658 B648 B663 B626 B651 B674 B695 B699 B707 B669 B690 B714 B1093 B730 B734 B738 B743 B763 B775 B779 B749 B782 B233 B536 B100 B92 B89 B201 B137 B197 B209 B217 B791 B795 B803 B770 B813 B820 B827 B799 B842 B839 B857 B866 B870 B853 B880 B886 B895 B899 B913 B937 B918 B964 B883 B927 B949 B930 B935 B957 B969 B975 B999 B1012 B1017 B978 B1015 B1019 B1007 B1027 B1029 B1031 B1021 B908 B1046 B1051 B1059 B1024 B1067 B1040 B1069 B1134 B1081 B1085 B1129 B1121 B1115 B1107 B1111 B375 B939 B516 B494 B717 B703 B611 B632 B1100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opLeftCell="A784" zoomScaleNormal="100" workbookViewId="0">
      <selection activeCell="AQ211" sqref="AQ211"/>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Inland (Fresno, Imperial, Kern, Kings, Madera, Merced, Riverside, San Bernardino, Stanislaus, and Tulare Counties)</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3</v>
      </c>
    </row>
    <row r="8" spans="1:58" ht="26.25" customHeight="1">
      <c r="A8" s="1455" t="s">
        <v>658</v>
      </c>
      <c r="B8" s="1455"/>
      <c r="C8" s="1455"/>
      <c r="D8" s="1455"/>
      <c r="E8" s="1455"/>
      <c r="F8" s="1455"/>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455"/>
      <c r="AJ8" s="1455"/>
      <c r="AK8" s="1455"/>
      <c r="AL8" s="1455"/>
      <c r="AM8" s="1455"/>
      <c r="AN8" s="1455"/>
      <c r="AO8" s="1455"/>
      <c r="AP8" s="1455"/>
      <c r="AQ8" s="1455"/>
      <c r="AR8" s="1455"/>
      <c r="AS8" s="1455"/>
      <c r="AT8" s="1455"/>
      <c r="AU8" s="790"/>
      <c r="AV8" s="790"/>
      <c r="AW8" s="790"/>
      <c r="AX8" s="790"/>
      <c r="AY8" s="790"/>
      <c r="BD8" s="3" t="s">
        <v>659</v>
      </c>
      <c r="BE8" s="1072">
        <f>SUMIF($AC$726:$AC$760,"&lt;=35%",$G$726:G$760)-SUM($BE$5:BE7)</f>
        <v>0</v>
      </c>
    </row>
    <row r="9" spans="1:58" ht="12.95" customHeight="1">
      <c r="A9" s="1338" t="s">
        <v>660</v>
      </c>
      <c r="B9" s="1338"/>
      <c r="C9" s="1338"/>
      <c r="D9" s="1338"/>
      <c r="E9" s="1338"/>
      <c r="F9" s="1338"/>
      <c r="G9" s="1338"/>
      <c r="H9" s="1338"/>
      <c r="I9" s="1338"/>
      <c r="J9" s="1338"/>
      <c r="K9" s="1338"/>
      <c r="L9" s="1338"/>
      <c r="M9" s="1338"/>
      <c r="N9" s="1338"/>
      <c r="O9" s="1338"/>
      <c r="P9" s="1338"/>
      <c r="Q9" s="1338"/>
      <c r="R9" s="1338"/>
      <c r="S9" s="1338"/>
      <c r="T9" s="1338"/>
      <c r="U9" s="1338"/>
      <c r="V9" s="1338"/>
      <c r="W9" s="1338"/>
      <c r="X9" s="1338"/>
      <c r="Y9" s="1338"/>
      <c r="Z9" s="1338"/>
      <c r="AA9" s="1338"/>
      <c r="AB9" s="1338"/>
      <c r="AC9" s="1338"/>
      <c r="AD9" s="1338"/>
      <c r="AE9" s="1338"/>
      <c r="AF9" s="1338"/>
      <c r="AG9" s="1338"/>
      <c r="AH9" s="1338"/>
      <c r="AI9" s="1338"/>
      <c r="AJ9" s="1338"/>
      <c r="AK9" s="1338"/>
      <c r="AL9" s="1338"/>
      <c r="AM9" s="1338"/>
      <c r="AN9" s="1338"/>
      <c r="AO9" s="1338"/>
      <c r="AP9" s="1338"/>
      <c r="AQ9" s="1338"/>
      <c r="AR9" s="1338"/>
      <c r="AS9" s="1338"/>
      <c r="AT9" s="1338"/>
      <c r="AU9" s="12"/>
      <c r="AV9" s="12"/>
      <c r="AW9" s="12"/>
      <c r="AX9" s="12"/>
      <c r="AY9" s="12"/>
      <c r="BD9" s="1071" t="s">
        <v>661</v>
      </c>
      <c r="BE9" s="1072">
        <f>SUMIF($AC$726:$AC$760,"&lt;=40%",$G$726:G$760)-SUM($BE$5:BE8)</f>
        <v>0</v>
      </c>
    </row>
    <row r="10" spans="1:58" ht="12.95" customHeight="1">
      <c r="A10" s="1338" t="s">
        <v>662</v>
      </c>
      <c r="B10" s="1338"/>
      <c r="C10" s="1338"/>
      <c r="D10" s="1338"/>
      <c r="E10" s="1338"/>
      <c r="F10" s="1338"/>
      <c r="G10" s="1338"/>
      <c r="H10" s="1338"/>
      <c r="I10" s="1338"/>
      <c r="J10" s="1338"/>
      <c r="K10" s="1338"/>
      <c r="L10" s="1338"/>
      <c r="M10" s="1338"/>
      <c r="N10" s="1338"/>
      <c r="O10" s="1338"/>
      <c r="P10" s="1338"/>
      <c r="Q10" s="1338"/>
      <c r="R10" s="1338"/>
      <c r="S10" s="1338"/>
      <c r="T10" s="1338"/>
      <c r="U10" s="1338"/>
      <c r="V10" s="1338"/>
      <c r="W10" s="1338"/>
      <c r="X10" s="1338"/>
      <c r="Y10" s="1338"/>
      <c r="Z10" s="1338"/>
      <c r="AA10" s="1338"/>
      <c r="AB10" s="1338"/>
      <c r="AC10" s="1338"/>
      <c r="AD10" s="1338"/>
      <c r="AE10" s="1338"/>
      <c r="AF10" s="1338"/>
      <c r="AG10" s="1338"/>
      <c r="AH10" s="1338"/>
      <c r="AI10" s="1338"/>
      <c r="AJ10" s="1338"/>
      <c r="AK10" s="1338"/>
      <c r="AL10" s="1338"/>
      <c r="AM10" s="1338"/>
      <c r="AN10" s="1338"/>
      <c r="AO10" s="1338"/>
      <c r="AP10" s="1338"/>
      <c r="AQ10" s="1338"/>
      <c r="AR10" s="1338"/>
      <c r="AS10" s="1338"/>
      <c r="AT10" s="1338"/>
      <c r="AU10" s="12"/>
      <c r="AV10" s="12"/>
      <c r="AW10" s="12"/>
      <c r="AX10" s="12"/>
      <c r="AY10" s="12"/>
      <c r="BD10" s="3" t="s">
        <v>663</v>
      </c>
      <c r="BE10" s="1072">
        <f>SUMIF($AC$726:$AC$760,"&lt;=45%",$G$726:G$760)-SUM($BE$5:BE9)</f>
        <v>0</v>
      </c>
    </row>
    <row r="11" spans="1:58" ht="12.95" customHeight="1">
      <c r="A11" s="1338" t="s">
        <v>664</v>
      </c>
      <c r="B11" s="1338"/>
      <c r="C11" s="1338"/>
      <c r="D11" s="1338"/>
      <c r="E11" s="1338"/>
      <c r="F11" s="1338"/>
      <c r="G11" s="1338"/>
      <c r="H11" s="1338"/>
      <c r="I11" s="1338"/>
      <c r="J11" s="1338"/>
      <c r="K11" s="1338"/>
      <c r="L11" s="1338"/>
      <c r="M11" s="1338"/>
      <c r="N11" s="1338"/>
      <c r="O11" s="1338"/>
      <c r="P11" s="1338"/>
      <c r="Q11" s="1338"/>
      <c r="R11" s="1338"/>
      <c r="S11" s="1338"/>
      <c r="T11" s="1338"/>
      <c r="U11" s="1338"/>
      <c r="V11" s="1338"/>
      <c r="W11" s="1338"/>
      <c r="X11" s="1338"/>
      <c r="Y11" s="1338"/>
      <c r="Z11" s="1338"/>
      <c r="AA11" s="1338"/>
      <c r="AB11" s="1338"/>
      <c r="AC11" s="1338"/>
      <c r="AD11" s="1338"/>
      <c r="AE11" s="1338"/>
      <c r="AF11" s="1338"/>
      <c r="AG11" s="1338"/>
      <c r="AH11" s="1338"/>
      <c r="AI11" s="1338"/>
      <c r="AJ11" s="1338"/>
      <c r="AK11" s="1338"/>
      <c r="AL11" s="1338"/>
      <c r="AM11" s="1338"/>
      <c r="AN11" s="1338"/>
      <c r="AO11" s="1338"/>
      <c r="AP11" s="1338"/>
      <c r="AQ11" s="1338"/>
      <c r="AR11" s="1338"/>
      <c r="AS11" s="1338"/>
      <c r="AT11" s="1338"/>
      <c r="AU11" s="12"/>
      <c r="AV11" s="12"/>
      <c r="AW11" s="12"/>
      <c r="AX11" s="12"/>
      <c r="AY11" s="12"/>
      <c r="BD11" s="1070" t="s">
        <v>665</v>
      </c>
      <c r="BE11" s="1072">
        <f>SUMIF($AC$726:$AC$760,"&lt;=50%",$G$726:G$760)-SUM($BE$5:BE10)</f>
        <v>11</v>
      </c>
    </row>
    <row r="12" spans="1:58" ht="12.95" customHeight="1">
      <c r="A12" s="1456" t="s">
        <v>666</v>
      </c>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456"/>
      <c r="AM12" s="1456"/>
      <c r="AN12" s="1456"/>
      <c r="AO12" s="1456"/>
      <c r="AP12" s="1456"/>
      <c r="AQ12" s="1456"/>
      <c r="AR12" s="1456"/>
      <c r="AS12" s="1456"/>
      <c r="AT12" s="1456"/>
      <c r="AU12" s="257"/>
      <c r="AV12" s="257"/>
      <c r="AW12" s="257"/>
      <c r="AX12" s="257"/>
      <c r="AY12" s="257"/>
      <c r="BD12" s="3" t="s">
        <v>667</v>
      </c>
      <c r="BE12" s="1072">
        <f>SUMIF($AC$726:$AC$760,"&lt;=55%",$G$726:G$760)-SUM($BE$5:BE11)</f>
        <v>0</v>
      </c>
    </row>
    <row r="13" spans="1:58" ht="12.95" customHeight="1">
      <c r="A13" s="1228" t="s">
        <v>668</v>
      </c>
      <c r="B13" s="1228"/>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791"/>
      <c r="AV13" s="791"/>
      <c r="AW13" s="791"/>
      <c r="AX13" s="791"/>
      <c r="AY13" s="791"/>
      <c r="BD13" s="1071" t="s">
        <v>669</v>
      </c>
      <c r="BE13" s="1072">
        <f>SUMIF($AC$726:$AC$760,"&lt;=60%",$G$726:G$760)-SUM($BE$5:BE12)</f>
        <v>18</v>
      </c>
    </row>
    <row r="14" spans="1:58" ht="12.95" customHeight="1">
      <c r="A14" s="1228"/>
      <c r="B14" s="1228"/>
      <c r="C14" s="1228"/>
      <c r="D14" s="1228"/>
      <c r="E14" s="1228"/>
      <c r="F14" s="1228"/>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c r="AH14" s="1228"/>
      <c r="AI14" s="1228"/>
      <c r="AJ14" s="1228"/>
      <c r="AK14" s="1228"/>
      <c r="AL14" s="1228"/>
      <c r="AM14" s="1228"/>
      <c r="AN14" s="1228"/>
      <c r="AO14" s="1228"/>
      <c r="AP14" s="1228"/>
      <c r="AQ14" s="1228"/>
      <c r="AR14" s="1228"/>
      <c r="AS14" s="1228"/>
      <c r="AT14" s="1228"/>
      <c r="AU14" s="791"/>
      <c r="AV14" s="791"/>
      <c r="AW14" s="791"/>
      <c r="AX14" s="791"/>
      <c r="AY14" s="791"/>
      <c r="BD14" s="1070" t="s">
        <v>670</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3</v>
      </c>
    </row>
    <row r="16" spans="1:58" ht="12.95" customHeight="1">
      <c r="A16" s="49" t="s">
        <v>672</v>
      </c>
      <c r="C16" s="3"/>
      <c r="D16" s="3"/>
      <c r="E16" s="3"/>
      <c r="F16" s="3"/>
      <c r="G16" s="3"/>
      <c r="H16" s="1462" t="s">
        <v>673</v>
      </c>
      <c r="I16" s="1462"/>
      <c r="J16" s="1462"/>
      <c r="K16" s="1462"/>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BD16" s="1071" t="s">
        <v>77</v>
      </c>
      <c r="BE16" s="1072" t="str">
        <f>Application!H18</f>
        <v xml:space="preserve">Baker Street Village RAD </v>
      </c>
    </row>
    <row r="17" spans="1:58" ht="12.95" customHeight="1">
      <c r="BD17" s="1070" t="s">
        <v>674</v>
      </c>
      <c r="BE17" s="1072">
        <f>Application!AA943</f>
        <v>0</v>
      </c>
    </row>
    <row r="18" spans="1:58" ht="12.95" customHeight="1">
      <c r="A18" s="49" t="s">
        <v>675</v>
      </c>
      <c r="C18" s="3"/>
      <c r="D18" s="3"/>
      <c r="E18" s="3"/>
      <c r="F18" s="3"/>
      <c r="G18" s="3"/>
      <c r="H18" s="1460" t="s">
        <v>676</v>
      </c>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BD18" s="1071" t="s">
        <v>677</v>
      </c>
      <c r="BE18" s="1072">
        <f>AA943</f>
        <v>0</v>
      </c>
    </row>
    <row r="19" spans="1:58" ht="12.95" customHeight="1">
      <c r="BD19" s="1070" t="s">
        <v>678</v>
      </c>
      <c r="BE19" s="1072">
        <f>Application!M26</f>
        <v>761198</v>
      </c>
    </row>
    <row r="20" spans="1:58" ht="12.95" customHeight="1">
      <c r="A20" s="1457" t="s">
        <v>679</v>
      </c>
      <c r="B20" s="1457"/>
      <c r="C20" s="1457"/>
      <c r="D20" s="1457"/>
      <c r="E20" s="1457"/>
      <c r="F20" s="1457"/>
      <c r="G20" s="1457"/>
      <c r="H20" s="1457"/>
      <c r="I20" s="1457"/>
      <c r="J20" s="1457"/>
      <c r="K20" s="1457"/>
      <c r="L20" s="1457"/>
      <c r="M20" s="1457"/>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c r="AL20" s="1457"/>
      <c r="AM20" s="1457"/>
      <c r="AN20" s="1457"/>
      <c r="AO20" s="1457"/>
      <c r="AP20" s="1457"/>
      <c r="AQ20" s="1457"/>
      <c r="AR20" s="1457"/>
      <c r="AS20" s="1457"/>
      <c r="AT20" s="1457"/>
      <c r="AU20" s="792"/>
      <c r="AV20" s="792"/>
      <c r="AW20" s="792"/>
      <c r="AX20" s="792"/>
      <c r="AY20" s="792"/>
      <c r="BD20" s="1071" t="s">
        <v>680</v>
      </c>
      <c r="BE20" s="1072">
        <f>Application!M27</f>
        <v>0</v>
      </c>
    </row>
    <row r="21" spans="1:58" ht="12.95" customHeight="1">
      <c r="A21" s="1463" t="s">
        <v>681</v>
      </c>
      <c r="B21" s="1463"/>
      <c r="C21" s="1463"/>
      <c r="D21" s="1463"/>
      <c r="E21" s="1463"/>
      <c r="F21" s="1463"/>
      <c r="G21" s="1463"/>
      <c r="H21" s="1463"/>
      <c r="I21" s="1463"/>
      <c r="J21" s="1463"/>
      <c r="K21" s="1463"/>
      <c r="L21" s="1463"/>
      <c r="M21" s="1463"/>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c r="AL21" s="1463"/>
      <c r="AM21" s="793"/>
      <c r="AN21" s="793"/>
      <c r="AO21" s="793"/>
      <c r="AP21" s="793"/>
      <c r="AQ21" s="793"/>
      <c r="AR21" s="793"/>
      <c r="AS21" s="793"/>
      <c r="AT21" s="793"/>
      <c r="AU21" s="793"/>
      <c r="AV21" s="793"/>
      <c r="AW21" s="793"/>
      <c r="AX21" s="793"/>
      <c r="AY21" s="793"/>
      <c r="BD21" s="1070" t="s">
        <v>682</v>
      </c>
      <c r="BE21" s="1072">
        <f>Application!AM562</f>
        <v>5000000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18560657</v>
      </c>
      <c r="BF22" s="3" t="s">
        <v>684</v>
      </c>
    </row>
    <row r="23" spans="1:58" ht="12.95" customHeight="1">
      <c r="A23" s="1263" t="s">
        <v>685</v>
      </c>
      <c r="B23" s="1263"/>
      <c r="C23" s="1263"/>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6"/>
      <c r="AV23" s="16"/>
      <c r="AW23" s="16"/>
      <c r="AX23" s="16"/>
      <c r="AY23" s="16"/>
      <c r="AZ23" s="16"/>
      <c r="BD23" s="1070" t="s">
        <v>686</v>
      </c>
      <c r="BE23" s="1072">
        <f>'Sources and Uses Budget'!B4</f>
        <v>560000</v>
      </c>
    </row>
    <row r="24" spans="1:58" ht="12.95" customHeight="1">
      <c r="A24" s="1263"/>
      <c r="B24" s="1263"/>
      <c r="C24" s="1263"/>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6"/>
      <c r="AV24" s="16"/>
      <c r="AW24" s="16"/>
      <c r="AX24" s="16"/>
      <c r="AY24" s="16"/>
      <c r="AZ24" s="16"/>
      <c r="BD24" s="1071" t="s">
        <v>687</v>
      </c>
      <c r="BE24" s="1072">
        <f>Application!AG459</f>
        <v>67401</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 Average Income</v>
      </c>
    </row>
    <row r="26" spans="1:58" ht="12.95" customHeight="1">
      <c r="A26" s="3"/>
      <c r="C26" s="3"/>
      <c r="D26" s="3"/>
      <c r="E26" s="3"/>
      <c r="F26" s="3"/>
      <c r="G26" s="3"/>
      <c r="H26" s="3"/>
      <c r="I26" s="3"/>
      <c r="J26" s="3"/>
      <c r="K26" s="3"/>
      <c r="L26" s="3"/>
      <c r="M26" s="1461">
        <f>'Basis &amp; Credits'!AB56</f>
        <v>761198</v>
      </c>
      <c r="N26" s="1461"/>
      <c r="O26" s="1461"/>
      <c r="P26" s="1461"/>
      <c r="Q26" s="1461"/>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434">
        <f>'Basis &amp; Credits'!AB78</f>
        <v>0</v>
      </c>
      <c r="N27" s="1434"/>
      <c r="O27" s="1434"/>
      <c r="P27" s="1434"/>
      <c r="Q27" s="1434"/>
      <c r="R27" s="3" t="s">
        <v>691</v>
      </c>
      <c r="S27" s="3"/>
      <c r="T27" s="3"/>
      <c r="U27" s="3"/>
      <c r="V27" s="3"/>
      <c r="W27" s="3"/>
      <c r="X27" s="3"/>
      <c r="Y27" s="3"/>
      <c r="Z27" s="3"/>
      <c r="AF27" s="3"/>
      <c r="AG27" s="3"/>
      <c r="AH27" s="3"/>
      <c r="AI27" s="3"/>
      <c r="AJ27" s="3"/>
      <c r="AK27" s="3"/>
      <c r="BD27" s="1070" t="s">
        <v>692</v>
      </c>
      <c r="BE27" s="1072" t="b">
        <f>Application!M364="Yes"</f>
        <v>0</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458" t="s">
        <v>694</v>
      </c>
      <c r="B29" s="1458"/>
      <c r="C29" s="1458"/>
      <c r="D29" s="1458"/>
      <c r="E29" s="1458"/>
      <c r="F29" s="1458"/>
      <c r="G29" s="1458"/>
      <c r="H29" s="1458"/>
      <c r="I29" s="1458"/>
      <c r="J29" s="1458"/>
      <c r="K29" s="1458"/>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c r="AL29" s="1458"/>
      <c r="AM29" s="1458"/>
      <c r="AN29" s="1458"/>
      <c r="AO29" s="1458"/>
      <c r="AP29" s="1458"/>
      <c r="AQ29" s="1458"/>
      <c r="AR29" s="1458"/>
      <c r="AS29" s="1458"/>
      <c r="AT29" s="1458"/>
      <c r="BD29" s="1070" t="s">
        <v>695</v>
      </c>
      <c r="BE29" s="1072" t="b">
        <f>Application!M367="Yes"</f>
        <v>1</v>
      </c>
    </row>
    <row r="30" spans="1:58" ht="12.95" customHeight="1">
      <c r="A30" s="1458"/>
      <c r="B30" s="1458"/>
      <c r="C30" s="1458"/>
      <c r="D30" s="1458"/>
      <c r="E30" s="1458"/>
      <c r="F30" s="1458"/>
      <c r="G30" s="1458"/>
      <c r="H30" s="1458"/>
      <c r="I30" s="1458"/>
      <c r="J30" s="1458"/>
      <c r="K30" s="145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458"/>
      <c r="AM30" s="1458"/>
      <c r="AN30" s="1458"/>
      <c r="AO30" s="1458"/>
      <c r="AP30" s="1458"/>
      <c r="AQ30" s="1458"/>
      <c r="AR30" s="1458"/>
      <c r="AS30" s="1458"/>
      <c r="AT30" s="1458"/>
      <c r="AZ30" s="17"/>
      <c r="BD30" s="1071" t="s">
        <v>696</v>
      </c>
      <c r="BE30" s="1072" t="b">
        <f>Application!AJ364="Yes"</f>
        <v>0</v>
      </c>
    </row>
    <row r="31" spans="1:58" ht="12.95" customHeight="1">
      <c r="A31" s="1458"/>
      <c r="B31" s="1458"/>
      <c r="C31" s="1458"/>
      <c r="D31" s="1458"/>
      <c r="E31" s="1458"/>
      <c r="F31" s="1458"/>
      <c r="G31" s="1458"/>
      <c r="H31" s="1458"/>
      <c r="I31" s="1458"/>
      <c r="J31" s="1458"/>
      <c r="K31" s="145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1458"/>
      <c r="AH31" s="1458"/>
      <c r="AI31" s="1458"/>
      <c r="AJ31" s="1458"/>
      <c r="AK31" s="1458"/>
      <c r="AL31" s="1458"/>
      <c r="AM31" s="1458"/>
      <c r="AN31" s="1458"/>
      <c r="AO31" s="1458"/>
      <c r="AP31" s="1458"/>
      <c r="AQ31" s="1458"/>
      <c r="AR31" s="1458"/>
      <c r="AS31" s="1458"/>
      <c r="AT31" s="1458"/>
      <c r="AU31" s="17"/>
      <c r="AV31" s="17"/>
      <c r="AW31" s="17"/>
      <c r="AX31" s="17"/>
      <c r="AY31" s="17"/>
      <c r="AZ31" s="17"/>
      <c r="BD31" s="1070" t="s">
        <v>697</v>
      </c>
      <c r="BE31" s="1072"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2.95" hidden="1" customHeight="1">
      <c r="A33" s="419" t="s">
        <v>699</v>
      </c>
      <c r="C33" s="419"/>
      <c r="D33" s="419"/>
      <c r="E33" s="419"/>
      <c r="F33" s="419"/>
      <c r="G33" s="419"/>
      <c r="H33" s="419"/>
      <c r="I33" s="419"/>
      <c r="J33" s="419"/>
      <c r="K33" s="419"/>
      <c r="L33" s="419"/>
      <c r="M33" s="419"/>
      <c r="N33" s="419"/>
      <c r="O33" s="1308" t="s">
        <v>700</v>
      </c>
      <c r="P33" s="1308"/>
      <c r="Q33" s="1459" t="s">
        <v>701</v>
      </c>
      <c r="R33" s="1459"/>
      <c r="S33" s="1459"/>
      <c r="T33" s="1459"/>
      <c r="U33" s="1459"/>
      <c r="V33" s="1459"/>
      <c r="W33" s="1459"/>
      <c r="X33" s="1459"/>
      <c r="Y33" s="1459"/>
      <c r="Z33" s="1459"/>
      <c r="AA33" s="1459"/>
      <c r="AB33" s="1459"/>
      <c r="AC33" s="1459"/>
      <c r="AD33" s="1459"/>
      <c r="AE33" s="1459"/>
      <c r="AF33" s="1459"/>
      <c r="AG33" s="1459"/>
      <c r="AH33" s="1459"/>
      <c r="AI33" s="1459"/>
      <c r="AJ33" s="1459"/>
      <c r="AK33" s="1459"/>
      <c r="AL33" s="1459"/>
      <c r="AM33" s="1459"/>
      <c r="AN33" s="1459"/>
      <c r="AO33" s="1459"/>
      <c r="AP33" s="1459"/>
      <c r="AQ33" s="1459"/>
      <c r="AR33" s="1459"/>
      <c r="AS33" s="1459"/>
      <c r="AT33" s="1459"/>
      <c r="AU33" s="17"/>
      <c r="AV33" s="17"/>
      <c r="AW33" s="17"/>
      <c r="AX33" s="17"/>
      <c r="AY33" s="17"/>
      <c r="BD33" s="1070" t="s">
        <v>702</v>
      </c>
      <c r="BE33" s="1072" t="str">
        <f>Application!D220</f>
        <v>Central Valley Region: Fresno, Kern, Kings, Madera, Merced, San Joaquin, Stanislaus, and Tulare Counties</v>
      </c>
    </row>
    <row r="34" spans="1:57" ht="12.95" hidden="1" customHeight="1">
      <c r="A34" s="1458" t="s">
        <v>703</v>
      </c>
      <c r="B34" s="1458"/>
      <c r="C34" s="1458"/>
      <c r="D34" s="1458"/>
      <c r="E34" s="1458"/>
      <c r="F34" s="1458"/>
      <c r="G34" s="1458"/>
      <c r="H34" s="1458"/>
      <c r="I34" s="1458"/>
      <c r="J34" s="1458"/>
      <c r="K34" s="1458"/>
      <c r="L34" s="1458"/>
      <c r="M34" s="1458"/>
      <c r="N34" s="1458"/>
      <c r="O34" s="1458"/>
      <c r="P34" s="1458"/>
      <c r="Q34" s="1458"/>
      <c r="R34" s="1458"/>
      <c r="S34" s="1458"/>
      <c r="T34" s="1458"/>
      <c r="U34" s="1458"/>
      <c r="V34" s="1458"/>
      <c r="W34" s="1458"/>
      <c r="X34" s="1458"/>
      <c r="Y34" s="1458"/>
      <c r="Z34" s="1458"/>
      <c r="AA34" s="1458"/>
      <c r="AB34" s="1458"/>
      <c r="AC34" s="1458"/>
      <c r="AD34" s="1458"/>
      <c r="AE34" s="1458"/>
      <c r="AF34" s="1458"/>
      <c r="AG34" s="1458"/>
      <c r="AH34" s="1458"/>
      <c r="AI34" s="1458"/>
      <c r="AJ34" s="1458"/>
      <c r="AK34" s="1458"/>
      <c r="AL34" s="1458"/>
      <c r="AM34" s="1458"/>
      <c r="AN34" s="1458"/>
      <c r="AO34" s="1458"/>
      <c r="AP34" s="1458"/>
      <c r="AQ34" s="1458"/>
      <c r="AR34" s="1458"/>
      <c r="AS34" s="1458"/>
      <c r="AT34" s="1458"/>
      <c r="AU34" s="17"/>
      <c r="AV34" s="17"/>
      <c r="AW34" s="17"/>
      <c r="AX34" s="17"/>
      <c r="AY34" s="17"/>
      <c r="AZ34" s="17"/>
      <c r="BD34" s="1071" t="s">
        <v>704</v>
      </c>
      <c r="BE34" s="1072" t="str">
        <f>Application!I185</f>
        <v>1015 Baker Street</v>
      </c>
    </row>
    <row r="35" spans="1:57" ht="12.95" hidden="1" customHeight="1">
      <c r="A35" s="1458"/>
      <c r="B35" s="1458"/>
      <c r="C35" s="1458"/>
      <c r="D35" s="1458"/>
      <c r="E35" s="1458"/>
      <c r="F35" s="1458"/>
      <c r="G35" s="1458"/>
      <c r="H35" s="1458"/>
      <c r="I35" s="1458"/>
      <c r="J35" s="1458"/>
      <c r="K35" s="1458"/>
      <c r="L35" s="1458"/>
      <c r="M35" s="1458"/>
      <c r="N35" s="1458"/>
      <c r="O35" s="1458"/>
      <c r="P35" s="1458"/>
      <c r="Q35" s="1458"/>
      <c r="R35" s="1458"/>
      <c r="S35" s="1458"/>
      <c r="T35" s="1458"/>
      <c r="U35" s="1458"/>
      <c r="V35" s="1458"/>
      <c r="W35" s="1458"/>
      <c r="X35" s="1458"/>
      <c r="Y35" s="1458"/>
      <c r="Z35" s="1458"/>
      <c r="AA35" s="1458"/>
      <c r="AB35" s="1458"/>
      <c r="AC35" s="1458"/>
      <c r="AD35" s="1458"/>
      <c r="AE35" s="1458"/>
      <c r="AF35" s="1458"/>
      <c r="AG35" s="1458"/>
      <c r="AH35" s="1458"/>
      <c r="AI35" s="1458"/>
      <c r="AJ35" s="1458"/>
      <c r="AK35" s="1458"/>
      <c r="AL35" s="1458"/>
      <c r="AM35" s="1458"/>
      <c r="AN35" s="1458"/>
      <c r="AO35" s="1458"/>
      <c r="AP35" s="1458"/>
      <c r="AQ35" s="1458"/>
      <c r="AR35" s="1458"/>
      <c r="AS35" s="1458"/>
      <c r="AT35" s="1458"/>
      <c r="AU35" s="17"/>
      <c r="AV35" s="17"/>
      <c r="AW35" s="17"/>
      <c r="AX35" s="17"/>
      <c r="AY35" s="17"/>
      <c r="AZ35" s="17"/>
      <c r="BD35" s="1070" t="s">
        <v>705</v>
      </c>
      <c r="BE35" s="1072" t="str">
        <f>IF(Application!E187="","",Application!E187)</f>
        <v/>
      </c>
    </row>
    <row r="36" spans="1:57" ht="12.95" hidden="1" customHeight="1">
      <c r="A36" s="1458"/>
      <c r="B36" s="1458"/>
      <c r="C36" s="1458"/>
      <c r="D36" s="1458"/>
      <c r="E36" s="1458"/>
      <c r="F36" s="1458"/>
      <c r="G36" s="1458"/>
      <c r="H36" s="1458"/>
      <c r="I36" s="1458"/>
      <c r="J36" s="1458"/>
      <c r="K36" s="1458"/>
      <c r="L36" s="1458"/>
      <c r="M36" s="1458"/>
      <c r="N36" s="1458"/>
      <c r="O36" s="1458"/>
      <c r="P36" s="1458"/>
      <c r="Q36" s="1458"/>
      <c r="R36" s="1458"/>
      <c r="S36" s="1458"/>
      <c r="T36" s="1458"/>
      <c r="U36" s="1458"/>
      <c r="V36" s="1458"/>
      <c r="W36" s="1458"/>
      <c r="X36" s="1458"/>
      <c r="Y36" s="1458"/>
      <c r="Z36" s="1458"/>
      <c r="AA36" s="1458"/>
      <c r="AB36" s="1458"/>
      <c r="AC36" s="1458"/>
      <c r="AD36" s="1458"/>
      <c r="AE36" s="1458"/>
      <c r="AF36" s="1458"/>
      <c r="AG36" s="1458"/>
      <c r="AH36" s="1458"/>
      <c r="AI36" s="1458"/>
      <c r="AJ36" s="1458"/>
      <c r="AK36" s="1458"/>
      <c r="AL36" s="1458"/>
      <c r="AM36" s="1458"/>
      <c r="AN36" s="1458"/>
      <c r="AO36" s="1458"/>
      <c r="AP36" s="1458"/>
      <c r="AQ36" s="1458"/>
      <c r="AR36" s="1458"/>
      <c r="AS36" s="1458"/>
      <c r="AT36" s="1458"/>
      <c r="AU36" s="17"/>
      <c r="AV36" s="17"/>
      <c r="AW36" s="17"/>
      <c r="AX36" s="17"/>
      <c r="AY36" s="17"/>
      <c r="AZ36" s="17"/>
      <c r="BD36" s="1071" t="s">
        <v>706</v>
      </c>
      <c r="BE36" s="1072" t="str">
        <f>Application!I189</f>
        <v>Bakersfield</v>
      </c>
    </row>
    <row r="37" spans="1:57" ht="12.95" hidden="1" customHeight="1">
      <c r="A37" s="1458"/>
      <c r="B37" s="1458"/>
      <c r="C37" s="1458"/>
      <c r="D37" s="1458"/>
      <c r="E37" s="1458"/>
      <c r="F37" s="1458"/>
      <c r="G37" s="1458"/>
      <c r="H37" s="1458"/>
      <c r="I37" s="1458"/>
      <c r="J37" s="1458"/>
      <c r="K37" s="1458"/>
      <c r="L37" s="1458"/>
      <c r="M37" s="1458"/>
      <c r="N37" s="1458"/>
      <c r="O37" s="1458"/>
      <c r="P37" s="1458"/>
      <c r="Q37" s="1458"/>
      <c r="R37" s="1458"/>
      <c r="S37" s="1458"/>
      <c r="T37" s="1458"/>
      <c r="U37" s="1458"/>
      <c r="V37" s="1458"/>
      <c r="W37" s="1458"/>
      <c r="X37" s="1458"/>
      <c r="Y37" s="1458"/>
      <c r="Z37" s="1458"/>
      <c r="AA37" s="1458"/>
      <c r="AB37" s="1458"/>
      <c r="AC37" s="1458"/>
      <c r="AD37" s="1458"/>
      <c r="AE37" s="1458"/>
      <c r="AF37" s="1458"/>
      <c r="AG37" s="1458"/>
      <c r="AH37" s="1458"/>
      <c r="AI37" s="1458"/>
      <c r="AJ37" s="1458"/>
      <c r="AK37" s="1458"/>
      <c r="AL37" s="1458"/>
      <c r="AM37" s="1458"/>
      <c r="AN37" s="1458"/>
      <c r="AO37" s="1458"/>
      <c r="AP37" s="1458"/>
      <c r="AQ37" s="1458"/>
      <c r="AR37" s="1458"/>
      <c r="AS37" s="1458"/>
      <c r="AT37" s="1458"/>
      <c r="AZ37" s="17"/>
      <c r="BD37" s="1070" t="s">
        <v>707</v>
      </c>
      <c r="BE37" s="1072" t="str">
        <f>Application!T189</f>
        <v>Kern</v>
      </c>
    </row>
    <row r="38" spans="1:57" ht="12.95" hidden="1" customHeight="1">
      <c r="A38" s="3"/>
      <c r="AZ38" s="17"/>
      <c r="BD38" s="1071" t="s">
        <v>708</v>
      </c>
      <c r="BE38" s="1072">
        <f>Application!I190</f>
        <v>93305</v>
      </c>
    </row>
    <row r="39" spans="1:57" ht="12.95" customHeight="1">
      <c r="A39" s="1230" t="s">
        <v>709</v>
      </c>
      <c r="B39" s="1230"/>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Z39" s="17"/>
      <c r="BD39" s="1070" t="s">
        <v>710</v>
      </c>
      <c r="BE39" s="1072">
        <f>Application!AG446</f>
        <v>37</v>
      </c>
    </row>
    <row r="40" spans="1:57" ht="12.95" customHeight="1">
      <c r="A40" s="1230"/>
      <c r="B40" s="1230"/>
      <c r="C40" s="1230"/>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7"/>
      <c r="AV40" s="17"/>
      <c r="AW40" s="17"/>
      <c r="AX40" s="17"/>
      <c r="AY40" s="17"/>
      <c r="AZ40" s="17"/>
      <c r="BD40" s="1071" t="s">
        <v>201</v>
      </c>
      <c r="BE40" s="1072">
        <f>Application!AG449</f>
        <v>35</v>
      </c>
    </row>
    <row r="41" spans="1:57" ht="12.95" customHeight="1">
      <c r="A41" s="1230"/>
      <c r="B41" s="1230"/>
      <c r="C41" s="1230"/>
      <c r="D41" s="1230"/>
      <c r="E41" s="1230"/>
      <c r="F41" s="1230"/>
      <c r="G41" s="1230"/>
      <c r="H41" s="1230"/>
      <c r="I41" s="1230"/>
      <c r="J41" s="1230"/>
      <c r="K41" s="1230"/>
      <c r="L41" s="1230"/>
      <c r="M41" s="1230"/>
      <c r="N41" s="1230"/>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7"/>
      <c r="AV41" s="17"/>
      <c r="AW41" s="17"/>
      <c r="AX41" s="17"/>
      <c r="AY41" s="17"/>
      <c r="AZ41" s="17"/>
      <c r="BD41" s="1070" t="s">
        <v>209</v>
      </c>
      <c r="BE41" s="1072">
        <f>Application!AG447</f>
        <v>1</v>
      </c>
    </row>
    <row r="42" spans="1:57" ht="12.95" customHeight="1">
      <c r="A42" s="1230"/>
      <c r="B42" s="1230"/>
      <c r="C42" s="1230"/>
      <c r="D42" s="1230"/>
      <c r="E42" s="1230"/>
      <c r="F42" s="1230"/>
      <c r="G42" s="1230"/>
      <c r="H42" s="1230"/>
      <c r="I42" s="1230"/>
      <c r="J42" s="1230"/>
      <c r="K42" s="1230"/>
      <c r="L42" s="1230"/>
      <c r="M42" s="1230"/>
      <c r="N42" s="1230"/>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Z42" s="17"/>
      <c r="BD42" s="1071" t="s">
        <v>711</v>
      </c>
      <c r="BE42" s="1074">
        <f>Application!AC761</f>
        <v>0.55999999999999994</v>
      </c>
    </row>
    <row r="43" spans="1:57" ht="12.95" customHeight="1">
      <c r="A43" s="1230"/>
      <c r="B43" s="1230"/>
      <c r="C43" s="1230"/>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7"/>
      <c r="AV43" s="17"/>
      <c r="AW43" s="17"/>
      <c r="AX43" s="17"/>
      <c r="AY43" s="17"/>
      <c r="AZ43" s="17"/>
      <c r="BD43" s="1070" t="s">
        <v>712</v>
      </c>
      <c r="BE43" s="1074">
        <f>Application!AH761</f>
        <v>0.48283337363927603</v>
      </c>
    </row>
    <row r="44" spans="1:57" ht="12.95" customHeight="1">
      <c r="A44" s="1230"/>
      <c r="B44" s="1230"/>
      <c r="C44" s="1230"/>
      <c r="D44" s="1230"/>
      <c r="E44" s="1230"/>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7"/>
      <c r="AV44" s="17"/>
      <c r="AW44" s="17"/>
      <c r="AX44" s="17"/>
      <c r="AY44" s="17"/>
      <c r="AZ44" s="17"/>
      <c r="BD44" s="1071" t="s">
        <v>713</v>
      </c>
      <c r="BE44" s="1072">
        <f>Application!AC463</f>
        <v>501639.3783783784</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5</v>
      </c>
    </row>
    <row r="46" spans="1:57" ht="12.95" customHeight="1">
      <c r="A46" s="1263" t="s">
        <v>715</v>
      </c>
      <c r="B46" s="1263"/>
      <c r="C46" s="1263"/>
      <c r="D46" s="1263"/>
      <c r="E46" s="1263"/>
      <c r="F46" s="1263"/>
      <c r="G46" s="1263"/>
      <c r="H46" s="1263"/>
      <c r="I46" s="1263"/>
      <c r="J46" s="1263"/>
      <c r="K46" s="1263"/>
      <c r="L46" s="1263"/>
      <c r="M46" s="1263"/>
      <c r="N46" s="1263"/>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7"/>
      <c r="AV46" s="17"/>
      <c r="AW46" s="17"/>
      <c r="AX46" s="17"/>
      <c r="AY46" s="17"/>
      <c r="AZ46" s="17"/>
      <c r="BD46" s="1071" t="s">
        <v>716</v>
      </c>
      <c r="BE46" s="1072" t="b">
        <f>Application!T195="Yes"</f>
        <v>0</v>
      </c>
    </row>
    <row r="47" spans="1:57" ht="12.95" customHeight="1">
      <c r="A47" s="1263"/>
      <c r="B47" s="1263"/>
      <c r="C47" s="1263"/>
      <c r="D47" s="1263"/>
      <c r="E47" s="1263"/>
      <c r="F47" s="1263"/>
      <c r="G47" s="1263"/>
      <c r="H47" s="1263"/>
      <c r="I47" s="1263"/>
      <c r="J47" s="1263"/>
      <c r="K47" s="1263"/>
      <c r="L47" s="1263"/>
      <c r="M47" s="1263"/>
      <c r="N47" s="1263"/>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7"/>
      <c r="AV47" s="17"/>
      <c r="AW47" s="17"/>
      <c r="AX47" s="17"/>
      <c r="AY47" s="17"/>
      <c r="AZ47" s="17"/>
      <c r="BD47" s="1070" t="s">
        <v>717</v>
      </c>
      <c r="BE47" s="1072" t="b">
        <f>Application!T196="Yes"</f>
        <v>1</v>
      </c>
    </row>
    <row r="48" spans="1:57" ht="12.95" customHeight="1">
      <c r="A48" s="1263"/>
      <c r="B48" s="1263"/>
      <c r="C48" s="1263"/>
      <c r="D48" s="1263"/>
      <c r="E48" s="1263"/>
      <c r="F48" s="1263"/>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7"/>
      <c r="AV48" s="17"/>
      <c r="AW48" s="17"/>
      <c r="AX48" s="17"/>
      <c r="AY48" s="17"/>
      <c r="AZ48" s="17"/>
      <c r="BD48" s="1071" t="s">
        <v>718</v>
      </c>
      <c r="BE48" s="1072" t="str">
        <f>Application!M252</f>
        <v>Golden Empire Affordable Housing, Inc.</v>
      </c>
    </row>
    <row r="49" spans="1:57" ht="12.95" customHeight="1">
      <c r="A49" s="1263"/>
      <c r="B49" s="1263"/>
      <c r="C49" s="1263"/>
      <c r="D49" s="1263"/>
      <c r="E49" s="1263"/>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7"/>
      <c r="AV49" s="17"/>
      <c r="AW49" s="17"/>
      <c r="AX49" s="17"/>
      <c r="AY49" s="17"/>
      <c r="AZ49" s="17"/>
      <c r="BD49" s="1070" t="s">
        <v>719</v>
      </c>
      <c r="BE49" s="1072" t="str">
        <f>Application!M255</f>
        <v>Stephen M. Pelz</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f>Application!AA258</f>
        <v>0</v>
      </c>
    </row>
    <row r="51" spans="1:57" ht="12.95" customHeight="1">
      <c r="A51" s="1230" t="s">
        <v>721</v>
      </c>
      <c r="B51" s="1230"/>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7"/>
      <c r="AV51" s="17"/>
      <c r="AW51" s="17"/>
      <c r="AX51" s="17"/>
      <c r="AY51" s="17"/>
      <c r="AZ51" s="17"/>
      <c r="BD51" s="1070" t="s">
        <v>722</v>
      </c>
      <c r="BE51" s="1072" t="str">
        <f>Application!M260</f>
        <v>Housing Authority of the County of Kern</v>
      </c>
    </row>
    <row r="52" spans="1:57" ht="12.95" customHeight="1">
      <c r="A52" s="1230"/>
      <c r="B52" s="1230"/>
      <c r="C52" s="1230"/>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7"/>
      <c r="AV52" s="17"/>
      <c r="AW52" s="17"/>
      <c r="AX52" s="17"/>
      <c r="AY52" s="17"/>
      <c r="AZ52" s="17"/>
      <c r="BD52" s="1071" t="s">
        <v>723</v>
      </c>
      <c r="BE52" s="1072" t="str">
        <f>Application!M263</f>
        <v>Stephen M. Pelz</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f>Application!AA266</f>
        <v>0</v>
      </c>
    </row>
    <row r="54" spans="1:57" ht="12.95" customHeight="1">
      <c r="A54" s="1230" t="s">
        <v>725</v>
      </c>
      <c r="B54" s="1230"/>
      <c r="C54" s="1230"/>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7"/>
      <c r="AV54" s="17"/>
      <c r="AW54" s="17"/>
      <c r="AX54" s="17"/>
      <c r="AY54" s="17"/>
      <c r="AZ54" s="18"/>
      <c r="BD54" s="1071" t="s">
        <v>726</v>
      </c>
      <c r="BE54" s="1072" t="str">
        <f>Application!M268</f>
        <v>NA</v>
      </c>
    </row>
    <row r="55" spans="1:57" ht="12.95" customHeight="1">
      <c r="A55" s="1230"/>
      <c r="B55" s="1230"/>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Z55" s="18"/>
      <c r="BD55" s="1070" t="s">
        <v>727</v>
      </c>
      <c r="BE55" s="1072" t="str">
        <f>Application!M271</f>
        <v>NA</v>
      </c>
    </row>
    <row r="56" spans="1:57" ht="12.95" customHeight="1">
      <c r="A56" s="1230"/>
      <c r="B56" s="1230"/>
      <c r="C56" s="1230"/>
      <c r="D56" s="1230"/>
      <c r="E56" s="1230"/>
      <c r="F56" s="1230"/>
      <c r="G56" s="1230"/>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BD56" s="1071" t="s">
        <v>728</v>
      </c>
      <c r="BE56" s="1072" t="str">
        <f>Application!AA274</f>
        <v>NA</v>
      </c>
    </row>
    <row r="57" spans="1:57" ht="12.95" customHeight="1">
      <c r="A57" s="1230"/>
      <c r="B57" s="1230"/>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BD57" s="1070" t="s">
        <v>729</v>
      </c>
      <c r="BE57" s="1072" t="str">
        <f>Application!H296</f>
        <v>Housing Authority of the County of Kern</v>
      </c>
    </row>
    <row r="58" spans="1:57" ht="12.95" customHeight="1">
      <c r="A58" s="1230"/>
      <c r="B58" s="1230"/>
      <c r="C58" s="1230"/>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BD58" s="1071" t="s">
        <v>730</v>
      </c>
      <c r="BE58" s="1072" t="str">
        <f>Application!H297</f>
        <v>601 24th Street</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Bakersfield, CA 93301</v>
      </c>
    </row>
    <row r="60" spans="1:57" ht="12.95" customHeight="1">
      <c r="A60" s="1230" t="s">
        <v>732</v>
      </c>
      <c r="B60" s="1230"/>
      <c r="C60" s="1230"/>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7"/>
      <c r="AV60" s="17"/>
      <c r="AW60" s="17"/>
      <c r="AX60" s="17"/>
      <c r="AY60" s="17"/>
      <c r="AZ60" s="17"/>
      <c r="BD60" s="1071" t="s">
        <v>733</v>
      </c>
      <c r="BE60" s="1072" t="str">
        <f>Application!H299</f>
        <v>Stephen M. Pelz</v>
      </c>
    </row>
    <row r="61" spans="1:57" ht="12.95" customHeight="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7"/>
      <c r="AV61" s="17"/>
      <c r="AW61" s="17"/>
      <c r="AX61" s="17"/>
      <c r="AY61" s="17"/>
      <c r="AZ61" s="17"/>
      <c r="BD61" s="1070" t="s">
        <v>734</v>
      </c>
      <c r="BE61" s="1072" t="str">
        <f>Application!H302</f>
        <v>spelz@kernha.org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230" t="s">
        <v>739</v>
      </c>
      <c r="B65" s="1230"/>
      <c r="C65" s="1230"/>
      <c r="D65" s="1230"/>
      <c r="E65" s="1230"/>
      <c r="F65" s="1230"/>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8"/>
      <c r="AV65" s="18"/>
      <c r="AW65" s="18"/>
      <c r="AX65" s="18"/>
      <c r="AY65" s="18"/>
      <c r="AZ65" s="17"/>
      <c r="BD65" s="1070" t="s">
        <v>740</v>
      </c>
      <c r="BE65" s="1072" t="str">
        <f>Z205</f>
        <v>(select)</v>
      </c>
    </row>
    <row r="66" spans="1:57" ht="12.95" customHeight="1">
      <c r="A66" s="1230"/>
      <c r="B66" s="1230"/>
      <c r="C66" s="1230"/>
      <c r="D66" s="1230"/>
      <c r="E66" s="1230"/>
      <c r="F66" s="1230"/>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8"/>
      <c r="AV66" s="18"/>
      <c r="AW66" s="18"/>
      <c r="AX66" s="18"/>
      <c r="AY66" s="18"/>
      <c r="AZ66" s="17"/>
      <c r="BD66" s="1071" t="s">
        <v>741</v>
      </c>
      <c r="BE66" s="1072" t="b">
        <f>Application!Z205="State Farmworker Credit"</f>
        <v>0</v>
      </c>
    </row>
    <row r="67" spans="1:57" ht="12.95" customHeight="1">
      <c r="A67" s="1230"/>
      <c r="B67" s="1230"/>
      <c r="C67" s="1230"/>
      <c r="D67" s="1230"/>
      <c r="E67" s="1230"/>
      <c r="F67" s="1230"/>
      <c r="G67" s="1230"/>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230" t="s">
        <v>744</v>
      </c>
      <c r="B69" s="1230"/>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Z69" s="17"/>
      <c r="BD69" s="1070" t="s">
        <v>745</v>
      </c>
      <c r="BE69" s="1072" t="str">
        <f>Application!W708</f>
        <v>Housing Authority of the County of Kern</v>
      </c>
    </row>
    <row r="70" spans="1:57" ht="12.95" customHeight="1">
      <c r="A70" s="1230"/>
      <c r="B70" s="1230"/>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7"/>
      <c r="AV70" s="17"/>
      <c r="AW70" s="17"/>
      <c r="AX70" s="17"/>
      <c r="AY70" s="17"/>
      <c r="AZ70" s="17"/>
      <c r="BD70" s="1071" t="s">
        <v>746</v>
      </c>
      <c r="BE70" s="1072">
        <f ca="1">'Points System'!AF843</f>
        <v>101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19</v>
      </c>
    </row>
    <row r="72" spans="1:57" ht="12.95" customHeight="1">
      <c r="A72" s="1458" t="s">
        <v>748</v>
      </c>
      <c r="B72" s="1458"/>
      <c r="C72" s="1458"/>
      <c r="D72" s="1458"/>
      <c r="E72" s="1458"/>
      <c r="F72" s="1458"/>
      <c r="G72" s="1458"/>
      <c r="H72" s="1458"/>
      <c r="I72" s="1458"/>
      <c r="J72" s="1458"/>
      <c r="K72" s="1458"/>
      <c r="L72" s="1458"/>
      <c r="M72" s="1458"/>
      <c r="N72" s="1458"/>
      <c r="O72" s="1458"/>
      <c r="P72" s="1458"/>
      <c r="Q72" s="1458"/>
      <c r="R72" s="1458"/>
      <c r="S72" s="1458"/>
      <c r="T72" s="1458"/>
      <c r="U72" s="1458"/>
      <c r="V72" s="1458"/>
      <c r="W72" s="1458"/>
      <c r="X72" s="1458"/>
      <c r="Y72" s="1458"/>
      <c r="Z72" s="1458"/>
      <c r="AA72" s="1458"/>
      <c r="AB72" s="1458"/>
      <c r="AC72" s="1458"/>
      <c r="AD72" s="1458"/>
      <c r="AE72" s="1458"/>
      <c r="AF72" s="1458"/>
      <c r="AG72" s="1458"/>
      <c r="AH72" s="1458"/>
      <c r="AI72" s="1458"/>
      <c r="AJ72" s="1458"/>
      <c r="AK72" s="1458"/>
      <c r="AL72" s="1458"/>
      <c r="AM72" s="1458"/>
      <c r="AN72" s="1458"/>
      <c r="AO72" s="1458"/>
      <c r="AP72" s="1458"/>
      <c r="AQ72" s="1458"/>
      <c r="AR72" s="1458"/>
      <c r="AS72" s="1458"/>
      <c r="AT72" s="1458"/>
      <c r="AU72" s="17"/>
      <c r="AV72" s="17"/>
      <c r="AW72" s="17"/>
      <c r="AX72" s="17"/>
      <c r="AY72" s="17"/>
      <c r="AZ72" s="17"/>
      <c r="BD72" s="1071" t="s">
        <v>749</v>
      </c>
      <c r="BE72" s="1072">
        <f>'Points System'!AF827</f>
        <v>0</v>
      </c>
    </row>
    <row r="73" spans="1:57" ht="12.95" customHeight="1">
      <c r="A73" s="1458"/>
      <c r="B73" s="1458"/>
      <c r="C73" s="1458"/>
      <c r="D73" s="1458"/>
      <c r="E73" s="1458"/>
      <c r="F73" s="1458"/>
      <c r="G73" s="1458"/>
      <c r="H73" s="1458"/>
      <c r="I73" s="1458"/>
      <c r="J73" s="1458"/>
      <c r="K73" s="1458"/>
      <c r="L73" s="1458"/>
      <c r="M73" s="1458"/>
      <c r="N73" s="1458"/>
      <c r="O73" s="1458"/>
      <c r="P73" s="1458"/>
      <c r="Q73" s="1458"/>
      <c r="R73" s="1458"/>
      <c r="S73" s="1458"/>
      <c r="T73" s="1458"/>
      <c r="U73" s="1458"/>
      <c r="V73" s="1458"/>
      <c r="W73" s="1458"/>
      <c r="X73" s="1458"/>
      <c r="Y73" s="1458"/>
      <c r="Z73" s="1458"/>
      <c r="AA73" s="1458"/>
      <c r="AB73" s="1458"/>
      <c r="AC73" s="1458"/>
      <c r="AD73" s="1458"/>
      <c r="AE73" s="1458"/>
      <c r="AF73" s="1458"/>
      <c r="AG73" s="1458"/>
      <c r="AH73" s="1458"/>
      <c r="AI73" s="1458"/>
      <c r="AJ73" s="1458"/>
      <c r="AK73" s="1458"/>
      <c r="AL73" s="1458"/>
      <c r="AM73" s="1458"/>
      <c r="AN73" s="1458"/>
      <c r="AO73" s="1458"/>
      <c r="AP73" s="1458"/>
      <c r="AQ73" s="1458"/>
      <c r="AR73" s="1458"/>
      <c r="AS73" s="1458"/>
      <c r="AT73" s="1458"/>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735" t="s">
        <v>752</v>
      </c>
      <c r="B75" s="1735"/>
      <c r="C75" s="1735"/>
      <c r="D75" s="1735"/>
      <c r="E75" s="1735"/>
      <c r="F75" s="1735"/>
      <c r="G75" s="1735"/>
      <c r="H75" s="1735"/>
      <c r="I75" s="1735"/>
      <c r="J75" s="1735"/>
      <c r="K75" s="1735"/>
      <c r="L75" s="1735"/>
      <c r="M75" s="1735"/>
      <c r="N75" s="1735"/>
      <c r="O75" s="1735"/>
      <c r="P75" s="1735"/>
      <c r="Q75" s="1735"/>
      <c r="R75" s="1735"/>
      <c r="S75" s="1735"/>
      <c r="T75" s="1735"/>
      <c r="U75" s="1735"/>
      <c r="V75" s="1735"/>
      <c r="W75" s="1735"/>
      <c r="X75" s="1735"/>
      <c r="Y75" s="1735"/>
      <c r="Z75" s="1735"/>
      <c r="AA75" s="1735"/>
      <c r="AB75" s="1735"/>
      <c r="AC75" s="1735"/>
      <c r="AD75" s="1735"/>
      <c r="AE75" s="1735"/>
      <c r="AF75" s="1735"/>
      <c r="AG75" s="1735"/>
      <c r="AH75" s="1735"/>
      <c r="AI75" s="1735"/>
      <c r="AJ75" s="1735"/>
      <c r="AK75" s="1735"/>
      <c r="AL75" s="1735"/>
      <c r="AM75" s="1735"/>
      <c r="AN75" s="1735"/>
      <c r="AO75" s="1735"/>
      <c r="AP75" s="1735"/>
      <c r="AQ75" s="1735"/>
      <c r="AR75" s="1735"/>
      <c r="AS75" s="1735"/>
      <c r="AT75" s="1735"/>
      <c r="AU75" s="17"/>
      <c r="AV75" s="17"/>
      <c r="AW75" s="17"/>
      <c r="AX75" s="17"/>
      <c r="AY75" s="17"/>
      <c r="AZ75" s="17"/>
      <c r="BD75" s="1070" t="s">
        <v>753</v>
      </c>
      <c r="BE75" s="1072">
        <f>'Points System'!AF830</f>
        <v>10</v>
      </c>
    </row>
    <row r="76" spans="1:57" ht="12.95" customHeight="1">
      <c r="A76" s="1735"/>
      <c r="B76" s="1735"/>
      <c r="C76" s="1735"/>
      <c r="D76" s="1735"/>
      <c r="E76" s="1735"/>
      <c r="F76" s="1735"/>
      <c r="G76" s="1735"/>
      <c r="H76" s="1735"/>
      <c r="I76" s="1735"/>
      <c r="J76" s="1735"/>
      <c r="K76" s="1735"/>
      <c r="L76" s="1735"/>
      <c r="M76" s="1735"/>
      <c r="N76" s="1735"/>
      <c r="O76" s="1735"/>
      <c r="P76" s="1735"/>
      <c r="Q76" s="1735"/>
      <c r="R76" s="1735"/>
      <c r="S76" s="1735"/>
      <c r="T76" s="1735"/>
      <c r="U76" s="1735"/>
      <c r="V76" s="1735"/>
      <c r="W76" s="1735"/>
      <c r="X76" s="1735"/>
      <c r="Y76" s="1735"/>
      <c r="Z76" s="1735"/>
      <c r="AA76" s="1735"/>
      <c r="AB76" s="1735"/>
      <c r="AC76" s="1735"/>
      <c r="AD76" s="1735"/>
      <c r="AE76" s="1735"/>
      <c r="AF76" s="1735"/>
      <c r="AG76" s="1735"/>
      <c r="AH76" s="1735"/>
      <c r="AI76" s="1735"/>
      <c r="AJ76" s="1735"/>
      <c r="AK76" s="1735"/>
      <c r="AL76" s="1735"/>
      <c r="AM76" s="1735"/>
      <c r="AN76" s="1735"/>
      <c r="AO76" s="1735"/>
      <c r="AP76" s="1735"/>
      <c r="AQ76" s="1735"/>
      <c r="AR76" s="1735"/>
      <c r="AS76" s="1735"/>
      <c r="AT76" s="1735"/>
      <c r="AU76" s="17"/>
      <c r="AV76" s="17"/>
      <c r="AW76" s="17"/>
      <c r="AX76" s="17"/>
      <c r="AY76" s="17"/>
      <c r="AZ76" s="15"/>
      <c r="BD76" s="1071" t="s">
        <v>754</v>
      </c>
      <c r="BE76" s="1072">
        <f>'Points System'!AF833</f>
        <v>0</v>
      </c>
    </row>
    <row r="77" spans="1:57" ht="12.95" customHeight="1">
      <c r="A77" s="1735"/>
      <c r="B77" s="1735"/>
      <c r="C77" s="1735"/>
      <c r="D77" s="1735"/>
      <c r="E77" s="1735"/>
      <c r="F77" s="1735"/>
      <c r="G77" s="1735"/>
      <c r="H77" s="1735"/>
      <c r="I77" s="1735"/>
      <c r="J77" s="1735"/>
      <c r="K77" s="1735"/>
      <c r="L77" s="1735"/>
      <c r="M77" s="1735"/>
      <c r="N77" s="1735"/>
      <c r="O77" s="1735"/>
      <c r="P77" s="1735"/>
      <c r="Q77" s="1735"/>
      <c r="R77" s="1735"/>
      <c r="S77" s="1735"/>
      <c r="T77" s="1735"/>
      <c r="U77" s="1735"/>
      <c r="V77" s="1735"/>
      <c r="W77" s="1735"/>
      <c r="X77" s="1735"/>
      <c r="Y77" s="1735"/>
      <c r="Z77" s="1735"/>
      <c r="AA77" s="1735"/>
      <c r="AB77" s="1735"/>
      <c r="AC77" s="1735"/>
      <c r="AD77" s="1735"/>
      <c r="AE77" s="1735"/>
      <c r="AF77" s="1735"/>
      <c r="AG77" s="1735"/>
      <c r="AH77" s="1735"/>
      <c r="AI77" s="1735"/>
      <c r="AJ77" s="1735"/>
      <c r="AK77" s="1735"/>
      <c r="AL77" s="1735"/>
      <c r="AM77" s="1735"/>
      <c r="AN77" s="1735"/>
      <c r="AO77" s="1735"/>
      <c r="AP77" s="1735"/>
      <c r="AQ77" s="1735"/>
      <c r="AR77" s="1735"/>
      <c r="AS77" s="1735"/>
      <c r="AT77" s="1735"/>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230" t="s">
        <v>757</v>
      </c>
      <c r="B79" s="1230"/>
      <c r="C79" s="1230"/>
      <c r="D79" s="1230"/>
      <c r="E79" s="1230"/>
      <c r="F79" s="1230"/>
      <c r="G79" s="1230"/>
      <c r="H79" s="1230"/>
      <c r="I79" s="1230"/>
      <c r="J79" s="1230"/>
      <c r="K79" s="1230"/>
      <c r="L79" s="1230"/>
      <c r="M79" s="1230"/>
      <c r="N79" s="1230"/>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7"/>
      <c r="AV79" s="17"/>
      <c r="AW79" s="17"/>
      <c r="AX79" s="17"/>
      <c r="AY79" s="17"/>
      <c r="AZ79" s="17"/>
      <c r="BD79" s="1070" t="s">
        <v>758</v>
      </c>
      <c r="BE79" s="1072">
        <f>'Points System'!AF837</f>
        <v>0</v>
      </c>
    </row>
    <row r="80" spans="1:57" ht="12.95" customHeight="1">
      <c r="A80" s="1230"/>
      <c r="B80" s="1230"/>
      <c r="C80" s="1230"/>
      <c r="D80" s="1230"/>
      <c r="E80" s="1230"/>
      <c r="F80" s="1230"/>
      <c r="G80" s="1230"/>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7"/>
      <c r="AV80" s="17"/>
      <c r="AW80" s="17"/>
      <c r="AX80" s="17"/>
      <c r="AY80" s="17"/>
      <c r="AZ80" s="17"/>
      <c r="BD80" s="1071" t="s">
        <v>759</v>
      </c>
      <c r="BE80" s="1072">
        <f>'Points System'!AF839</f>
        <v>10</v>
      </c>
    </row>
    <row r="81" spans="1:57" ht="12.95" customHeight="1">
      <c r="A81" s="1230"/>
      <c r="B81" s="1230"/>
      <c r="C81" s="1230"/>
      <c r="D81" s="1230"/>
      <c r="E81" s="1230"/>
      <c r="F81" s="1230"/>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230" t="s">
        <v>762</v>
      </c>
      <c r="B83" s="1230"/>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7"/>
      <c r="AV83" s="17"/>
      <c r="AW83" s="17"/>
      <c r="AX83" s="17"/>
      <c r="AY83" s="17"/>
      <c r="AZ83" s="17"/>
      <c r="BD83" s="1070" t="s">
        <v>763</v>
      </c>
      <c r="BE83" s="1076">
        <f>'Tie Breaker'!H5</f>
        <v>2.6879562859490553</v>
      </c>
    </row>
    <row r="84" spans="1:57" ht="12.95" customHeight="1">
      <c r="A84" s="1230"/>
      <c r="B84" s="1230"/>
      <c r="C84" s="1230"/>
      <c r="D84" s="1230"/>
      <c r="E84" s="1230"/>
      <c r="F84" s="1230"/>
      <c r="G84" s="1230"/>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7"/>
      <c r="AV84" s="17"/>
      <c r="AW84" s="17"/>
      <c r="AX84" s="17"/>
      <c r="AY84" s="17"/>
      <c r="AZ84" s="17"/>
      <c r="BD84" s="1071" t="s">
        <v>764</v>
      </c>
      <c r="BE84" s="1072" t="str">
        <f>Application!O153</f>
        <v>City of Bakersfield</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Christian Clegg</v>
      </c>
    </row>
    <row r="86" spans="1:57" ht="12.95" customHeight="1">
      <c r="A86" s="1230" t="s">
        <v>766</v>
      </c>
      <c r="B86" s="1230"/>
      <c r="C86" s="1230"/>
      <c r="D86" s="1230"/>
      <c r="E86" s="1230"/>
      <c r="F86" s="1230"/>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7"/>
      <c r="AV86" s="17"/>
      <c r="AW86" s="17"/>
      <c r="AX86" s="17"/>
      <c r="AY86" s="17"/>
      <c r="AZ86" s="17"/>
      <c r="BD86" s="1071" t="s">
        <v>767</v>
      </c>
      <c r="BE86" s="1072" t="str">
        <f>Application!O155</f>
        <v>City Manager</v>
      </c>
    </row>
    <row r="87" spans="1:57" ht="12.95" customHeight="1">
      <c r="A87" s="1230"/>
      <c r="B87" s="1230"/>
      <c r="C87" s="1230"/>
      <c r="D87" s="1230"/>
      <c r="E87" s="1230"/>
      <c r="F87" s="1230"/>
      <c r="G87" s="1230"/>
      <c r="H87" s="1230"/>
      <c r="I87" s="1230"/>
      <c r="J87" s="1230"/>
      <c r="K87" s="1230"/>
      <c r="L87" s="1230"/>
      <c r="M87" s="1230"/>
      <c r="N87" s="1230"/>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7"/>
      <c r="AV87" s="17"/>
      <c r="AW87" s="17"/>
      <c r="AX87" s="17"/>
      <c r="AY87" s="17"/>
      <c r="AZ87" s="17"/>
      <c r="BD87" s="1070" t="s">
        <v>768</v>
      </c>
      <c r="BE87" s="1072" t="str">
        <f>Application!O156</f>
        <v>1600 Truxtun Ave</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Bakersfield</v>
      </c>
    </row>
    <row r="89" spans="1:57" ht="12.95" customHeight="1">
      <c r="A89" s="1734" t="s">
        <v>770</v>
      </c>
      <c r="B89" s="1734"/>
      <c r="C89" s="1734"/>
      <c r="D89" s="1734"/>
      <c r="E89" s="1734"/>
      <c r="F89" s="1734"/>
      <c r="G89" s="1734"/>
      <c r="H89" s="1734"/>
      <c r="I89" s="1734"/>
      <c r="J89" s="1734"/>
      <c r="K89" s="1734"/>
      <c r="L89" s="1734"/>
      <c r="M89" s="1734"/>
      <c r="N89" s="1734"/>
      <c r="O89" s="1734"/>
      <c r="P89" s="1734"/>
      <c r="Q89" s="1734"/>
      <c r="R89" s="1734"/>
      <c r="S89" s="1734"/>
      <c r="T89" s="1734"/>
      <c r="U89" s="1734"/>
      <c r="V89" s="1734"/>
      <c r="W89" s="1734"/>
      <c r="X89" s="1734"/>
      <c r="Y89" s="1734"/>
      <c r="Z89" s="1734"/>
      <c r="AA89" s="1734"/>
      <c r="AB89" s="1734"/>
      <c r="AC89" s="1734"/>
      <c r="AD89" s="1734"/>
      <c r="AE89" s="1734"/>
      <c r="AF89" s="1734"/>
      <c r="AG89" s="1734"/>
      <c r="AH89" s="1734"/>
      <c r="AI89" s="1734"/>
      <c r="AJ89" s="1734"/>
      <c r="AK89" s="1734"/>
      <c r="AL89" s="1734"/>
      <c r="AM89" s="1734"/>
      <c r="AN89" s="1734"/>
      <c r="AO89" s="1734"/>
      <c r="AP89" s="1734"/>
      <c r="AQ89" s="1734"/>
      <c r="AR89" s="1734"/>
      <c r="AS89" s="1734"/>
      <c r="AT89" s="1734"/>
      <c r="AU89" s="15"/>
      <c r="AV89" s="15"/>
      <c r="AW89" s="15"/>
      <c r="AX89" s="15"/>
      <c r="AY89" s="15"/>
      <c r="AZ89" s="17"/>
      <c r="BD89" s="1070" t="s">
        <v>771</v>
      </c>
      <c r="BE89" s="1072">
        <f>Application!O158</f>
        <v>93301</v>
      </c>
    </row>
    <row r="90" spans="1:57" ht="12.95" customHeight="1">
      <c r="A90" s="1734"/>
      <c r="B90" s="1734"/>
      <c r="C90" s="1734"/>
      <c r="D90" s="1734"/>
      <c r="E90" s="1734"/>
      <c r="F90" s="1734"/>
      <c r="G90" s="1734"/>
      <c r="H90" s="1734"/>
      <c r="I90" s="1734"/>
      <c r="J90" s="1734"/>
      <c r="K90" s="1734"/>
      <c r="L90" s="1734"/>
      <c r="M90" s="1734"/>
      <c r="N90" s="1734"/>
      <c r="O90" s="1734"/>
      <c r="P90" s="1734"/>
      <c r="Q90" s="1734"/>
      <c r="R90" s="1734"/>
      <c r="S90" s="1734"/>
      <c r="T90" s="1734"/>
      <c r="U90" s="1734"/>
      <c r="V90" s="1734"/>
      <c r="W90" s="1734"/>
      <c r="X90" s="1734"/>
      <c r="Y90" s="1734"/>
      <c r="Z90" s="1734"/>
      <c r="AA90" s="1734"/>
      <c r="AB90" s="1734"/>
      <c r="AC90" s="1734"/>
      <c r="AD90" s="1734"/>
      <c r="AE90" s="1734"/>
      <c r="AF90" s="1734"/>
      <c r="AG90" s="1734"/>
      <c r="AH90" s="1734"/>
      <c r="AI90" s="1734"/>
      <c r="AJ90" s="1734"/>
      <c r="AK90" s="1734"/>
      <c r="AL90" s="1734"/>
      <c r="AM90" s="1734"/>
      <c r="AN90" s="1734"/>
      <c r="AO90" s="1734"/>
      <c r="AP90" s="1734"/>
      <c r="AQ90" s="1734"/>
      <c r="AR90" s="1734"/>
      <c r="AS90" s="1734"/>
      <c r="AT90" s="1734"/>
      <c r="AU90" s="15"/>
      <c r="AV90" s="15"/>
      <c r="AW90" s="15"/>
      <c r="AX90" s="15"/>
      <c r="AY90" s="15"/>
      <c r="AZ90" s="17"/>
      <c r="BD90" s="1071" t="s">
        <v>772</v>
      </c>
      <c r="BE90" s="1072" t="str">
        <f>Application!H16</f>
        <v>Housing Authority of the County of Kern</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601 24th Street</v>
      </c>
    </row>
    <row r="92" spans="1:57" ht="12.95" customHeight="1">
      <c r="A92" s="1735" t="s">
        <v>774</v>
      </c>
      <c r="B92" s="1735"/>
      <c r="C92" s="1735"/>
      <c r="D92" s="1735"/>
      <c r="E92" s="1735"/>
      <c r="F92" s="1735"/>
      <c r="G92" s="1735"/>
      <c r="H92" s="1735"/>
      <c r="I92" s="1735"/>
      <c r="J92" s="1735"/>
      <c r="K92" s="1735"/>
      <c r="L92" s="1735"/>
      <c r="M92" s="1735"/>
      <c r="N92" s="1735"/>
      <c r="O92" s="1735"/>
      <c r="P92" s="1735"/>
      <c r="Q92" s="1735"/>
      <c r="R92" s="1735"/>
      <c r="S92" s="1735"/>
      <c r="T92" s="1735"/>
      <c r="U92" s="1735"/>
      <c r="V92" s="1735"/>
      <c r="W92" s="1735"/>
      <c r="X92" s="1735"/>
      <c r="Y92" s="1735"/>
      <c r="Z92" s="1735"/>
      <c r="AA92" s="1735"/>
      <c r="AB92" s="1735"/>
      <c r="AC92" s="1735"/>
      <c r="AD92" s="1735"/>
      <c r="AE92" s="1735"/>
      <c r="AF92" s="1735"/>
      <c r="AG92" s="1735"/>
      <c r="AH92" s="1735"/>
      <c r="AI92" s="1735"/>
      <c r="AJ92" s="1735"/>
      <c r="AK92" s="1735"/>
      <c r="AL92" s="1735"/>
      <c r="AM92" s="1735"/>
      <c r="AN92" s="1735"/>
      <c r="AO92" s="1735"/>
      <c r="AP92" s="1735"/>
      <c r="AQ92" s="1735"/>
      <c r="AR92" s="1735"/>
      <c r="AS92" s="1735"/>
      <c r="AT92" s="1735"/>
      <c r="AU92" s="17"/>
      <c r="AV92" s="17"/>
      <c r="AW92" s="17"/>
      <c r="AX92" s="17"/>
      <c r="AY92" s="17"/>
      <c r="AZ92" s="17"/>
      <c r="BD92" s="1071" t="s">
        <v>775</v>
      </c>
      <c r="BE92" s="1072" t="str">
        <f>Application!M243</f>
        <v>Bakersfield</v>
      </c>
    </row>
    <row r="93" spans="1:57" ht="12.95" customHeight="1">
      <c r="A93" s="1735"/>
      <c r="B93" s="1735"/>
      <c r="C93" s="1735"/>
      <c r="D93" s="1735"/>
      <c r="E93" s="1735"/>
      <c r="F93" s="1735"/>
      <c r="G93" s="1735"/>
      <c r="H93" s="1735"/>
      <c r="I93" s="1735"/>
      <c r="J93" s="1735"/>
      <c r="K93" s="1735"/>
      <c r="L93" s="1735"/>
      <c r="M93" s="1735"/>
      <c r="N93" s="1735"/>
      <c r="O93" s="1735"/>
      <c r="P93" s="1735"/>
      <c r="Q93" s="1735"/>
      <c r="R93" s="1735"/>
      <c r="S93" s="1735"/>
      <c r="T93" s="1735"/>
      <c r="U93" s="1735"/>
      <c r="V93" s="1735"/>
      <c r="W93" s="1735"/>
      <c r="X93" s="1735"/>
      <c r="Y93" s="1735"/>
      <c r="Z93" s="1735"/>
      <c r="AA93" s="1735"/>
      <c r="AB93" s="1735"/>
      <c r="AC93" s="1735"/>
      <c r="AD93" s="1735"/>
      <c r="AE93" s="1735"/>
      <c r="AF93" s="1735"/>
      <c r="AG93" s="1735"/>
      <c r="AH93" s="1735"/>
      <c r="AI93" s="1735"/>
      <c r="AJ93" s="1735"/>
      <c r="AK93" s="1735"/>
      <c r="AL93" s="1735"/>
      <c r="AM93" s="1735"/>
      <c r="AN93" s="1735"/>
      <c r="AO93" s="1735"/>
      <c r="AP93" s="1735"/>
      <c r="AQ93" s="1735"/>
      <c r="AR93" s="1735"/>
      <c r="AS93" s="1735"/>
      <c r="AT93" s="1735"/>
      <c r="AU93" s="17"/>
      <c r="AV93" s="17"/>
      <c r="AW93" s="17"/>
      <c r="AX93" s="17"/>
      <c r="AY93" s="17"/>
      <c r="AZ93" s="17"/>
      <c r="BD93" s="1070" t="s">
        <v>776</v>
      </c>
      <c r="BE93" s="1072" t="str">
        <f>Application!W243</f>
        <v>CA</v>
      </c>
    </row>
    <row r="94" spans="1:57" ht="12.95" customHeight="1">
      <c r="A94" s="1735"/>
      <c r="B94" s="1735"/>
      <c r="C94" s="1735"/>
      <c r="D94" s="1735"/>
      <c r="E94" s="1735"/>
      <c r="F94" s="1735"/>
      <c r="G94" s="1735"/>
      <c r="H94" s="1735"/>
      <c r="I94" s="1735"/>
      <c r="J94" s="1735"/>
      <c r="K94" s="1735"/>
      <c r="L94" s="1735"/>
      <c r="M94" s="1735"/>
      <c r="N94" s="1735"/>
      <c r="O94" s="1735"/>
      <c r="P94" s="1735"/>
      <c r="Q94" s="1735"/>
      <c r="R94" s="1735"/>
      <c r="S94" s="1735"/>
      <c r="T94" s="1735"/>
      <c r="U94" s="1735"/>
      <c r="V94" s="1735"/>
      <c r="W94" s="1735"/>
      <c r="X94" s="1735"/>
      <c r="Y94" s="1735"/>
      <c r="Z94" s="1735"/>
      <c r="AA94" s="1735"/>
      <c r="AB94" s="1735"/>
      <c r="AC94" s="1735"/>
      <c r="AD94" s="1735"/>
      <c r="AE94" s="1735"/>
      <c r="AF94" s="1735"/>
      <c r="AG94" s="1735"/>
      <c r="AH94" s="1735"/>
      <c r="AI94" s="1735"/>
      <c r="AJ94" s="1735"/>
      <c r="AK94" s="1735"/>
      <c r="AL94" s="1735"/>
      <c r="AM94" s="1735"/>
      <c r="AN94" s="1735"/>
      <c r="AO94" s="1735"/>
      <c r="AP94" s="1735"/>
      <c r="AQ94" s="1735"/>
      <c r="AR94" s="1735"/>
      <c r="AS94" s="1735"/>
      <c r="AT94" s="1735"/>
      <c r="AU94" s="17"/>
      <c r="AV94" s="17"/>
      <c r="AW94" s="17"/>
      <c r="AX94" s="17"/>
      <c r="AY94" s="17"/>
      <c r="AZ94" s="17"/>
      <c r="BD94" s="1071" t="s">
        <v>777</v>
      </c>
      <c r="BE94" s="1072">
        <f>Application!AC243</f>
        <v>93301</v>
      </c>
    </row>
    <row r="95" spans="1:57" ht="12.95" customHeight="1">
      <c r="A95" s="1735"/>
      <c r="B95" s="1735"/>
      <c r="C95" s="1735"/>
      <c r="D95" s="1735"/>
      <c r="E95" s="1735"/>
      <c r="F95" s="1735"/>
      <c r="G95" s="1735"/>
      <c r="H95" s="1735"/>
      <c r="I95" s="1735"/>
      <c r="J95" s="1735"/>
      <c r="K95" s="1735"/>
      <c r="L95" s="1735"/>
      <c r="M95" s="1735"/>
      <c r="N95" s="1735"/>
      <c r="O95" s="1735"/>
      <c r="P95" s="1735"/>
      <c r="Q95" s="1735"/>
      <c r="R95" s="1735"/>
      <c r="S95" s="1735"/>
      <c r="T95" s="1735"/>
      <c r="U95" s="1735"/>
      <c r="V95" s="1735"/>
      <c r="W95" s="1735"/>
      <c r="X95" s="1735"/>
      <c r="Y95" s="1735"/>
      <c r="Z95" s="1735"/>
      <c r="AA95" s="1735"/>
      <c r="AB95" s="1735"/>
      <c r="AC95" s="1735"/>
      <c r="AD95" s="1735"/>
      <c r="AE95" s="1735"/>
      <c r="AF95" s="1735"/>
      <c r="AG95" s="1735"/>
      <c r="AH95" s="1735"/>
      <c r="AI95" s="1735"/>
      <c r="AJ95" s="1735"/>
      <c r="AK95" s="1735"/>
      <c r="AL95" s="1735"/>
      <c r="AM95" s="1735"/>
      <c r="AN95" s="1735"/>
      <c r="AO95" s="1735"/>
      <c r="AP95" s="1735"/>
      <c r="AQ95" s="1735"/>
      <c r="AR95" s="1735"/>
      <c r="AS95" s="1735"/>
      <c r="AT95" s="1735"/>
      <c r="AU95" s="17"/>
      <c r="AV95" s="17"/>
      <c r="AW95" s="17"/>
      <c r="AX95" s="17"/>
      <c r="AY95" s="17"/>
      <c r="AZ95" s="17"/>
      <c r="BD95" s="1070" t="s">
        <v>778</v>
      </c>
      <c r="BE95" s="1072" t="str">
        <f>Application!M244</f>
        <v>Stephen M. Pelz</v>
      </c>
    </row>
    <row r="96" spans="1:57" ht="12.95" customHeight="1">
      <c r="A96" s="1735"/>
      <c r="B96" s="1735"/>
      <c r="C96" s="1735"/>
      <c r="D96" s="1735"/>
      <c r="E96" s="1735"/>
      <c r="F96" s="1735"/>
      <c r="G96" s="1735"/>
      <c r="H96" s="1735"/>
      <c r="I96" s="1735"/>
      <c r="J96" s="1735"/>
      <c r="K96" s="1735"/>
      <c r="L96" s="1735"/>
      <c r="M96" s="1735"/>
      <c r="N96" s="1735"/>
      <c r="O96" s="1735"/>
      <c r="P96" s="1735"/>
      <c r="Q96" s="1735"/>
      <c r="R96" s="1735"/>
      <c r="S96" s="1735"/>
      <c r="T96" s="1735"/>
      <c r="U96" s="1735"/>
      <c r="V96" s="1735"/>
      <c r="W96" s="1735"/>
      <c r="X96" s="1735"/>
      <c r="Y96" s="1735"/>
      <c r="Z96" s="1735"/>
      <c r="AA96" s="1735"/>
      <c r="AB96" s="1735"/>
      <c r="AC96" s="1735"/>
      <c r="AD96" s="1735"/>
      <c r="AE96" s="1735"/>
      <c r="AF96" s="1735"/>
      <c r="AG96" s="1735"/>
      <c r="AH96" s="1735"/>
      <c r="AI96" s="1735"/>
      <c r="AJ96" s="1735"/>
      <c r="AK96" s="1735"/>
      <c r="AL96" s="1735"/>
      <c r="AM96" s="1735"/>
      <c r="AN96" s="1735"/>
      <c r="AO96" s="1735"/>
      <c r="AP96" s="1735"/>
      <c r="AQ96" s="1735"/>
      <c r="AR96" s="1735"/>
      <c r="AS96" s="1735"/>
      <c r="AT96" s="1735"/>
      <c r="AU96" s="17"/>
      <c r="AV96" s="17"/>
      <c r="AW96" s="17"/>
      <c r="AX96" s="17"/>
      <c r="AY96" s="17"/>
      <c r="AZ96" s="17"/>
      <c r="BD96" s="1071" t="s">
        <v>779</v>
      </c>
      <c r="BE96" s="1072" t="e">
        <f>Application!#REF!</f>
        <v>#REF!</v>
      </c>
    </row>
    <row r="97" spans="1:57" ht="12.95" customHeight="1">
      <c r="A97" s="1735"/>
      <c r="B97" s="1735"/>
      <c r="C97" s="1735"/>
      <c r="D97" s="1735"/>
      <c r="E97" s="1735"/>
      <c r="F97" s="1735"/>
      <c r="G97" s="1735"/>
      <c r="H97" s="1735"/>
      <c r="I97" s="1735"/>
      <c r="J97" s="1735"/>
      <c r="K97" s="1735"/>
      <c r="L97" s="1735"/>
      <c r="M97" s="1735"/>
      <c r="N97" s="1735"/>
      <c r="O97" s="1735"/>
      <c r="P97" s="1735"/>
      <c r="Q97" s="1735"/>
      <c r="R97" s="1735"/>
      <c r="S97" s="1735"/>
      <c r="T97" s="1735"/>
      <c r="U97" s="1735"/>
      <c r="V97" s="1735"/>
      <c r="W97" s="1735"/>
      <c r="X97" s="1735"/>
      <c r="Y97" s="1735"/>
      <c r="Z97" s="1735"/>
      <c r="AA97" s="1735"/>
      <c r="AB97" s="1735"/>
      <c r="AC97" s="1735"/>
      <c r="AD97" s="1735"/>
      <c r="AE97" s="1735"/>
      <c r="AF97" s="1735"/>
      <c r="AG97" s="1735"/>
      <c r="AH97" s="1735"/>
      <c r="AI97" s="1735"/>
      <c r="AJ97" s="1735"/>
      <c r="AK97" s="1735"/>
      <c r="AL97" s="1735"/>
      <c r="AM97" s="1735"/>
      <c r="AN97" s="1735"/>
      <c r="AO97" s="1735"/>
      <c r="AP97" s="1735"/>
      <c r="AQ97" s="1735"/>
      <c r="AR97" s="1735"/>
      <c r="AS97" s="1735"/>
      <c r="AT97" s="1735"/>
      <c r="AU97" s="17"/>
      <c r="AV97" s="17"/>
      <c r="AW97" s="17"/>
      <c r="AX97" s="17"/>
      <c r="AY97" s="17"/>
      <c r="AZ97" s="17"/>
      <c r="BD97" s="1070" t="s">
        <v>780</v>
      </c>
      <c r="BE97" s="1072" t="str">
        <f>Application!M257</f>
        <v>spelz@kernha.org</v>
      </c>
    </row>
    <row r="98" spans="1:57" ht="12.95" customHeight="1">
      <c r="A98" s="1735"/>
      <c r="B98" s="1735"/>
      <c r="C98" s="1735"/>
      <c r="D98" s="1735"/>
      <c r="E98" s="1735"/>
      <c r="F98" s="1735"/>
      <c r="G98" s="1735"/>
      <c r="H98" s="1735"/>
      <c r="I98" s="1735"/>
      <c r="J98" s="1735"/>
      <c r="K98" s="1735"/>
      <c r="L98" s="1735"/>
      <c r="M98" s="1735"/>
      <c r="N98" s="1735"/>
      <c r="O98" s="1735"/>
      <c r="P98" s="1735"/>
      <c r="Q98" s="1735"/>
      <c r="R98" s="1735"/>
      <c r="S98" s="1735"/>
      <c r="T98" s="1735"/>
      <c r="U98" s="1735"/>
      <c r="V98" s="1735"/>
      <c r="W98" s="1735"/>
      <c r="X98" s="1735"/>
      <c r="Y98" s="1735"/>
      <c r="Z98" s="1735"/>
      <c r="AA98" s="1735"/>
      <c r="AB98" s="1735"/>
      <c r="AC98" s="1735"/>
      <c r="AD98" s="1735"/>
      <c r="AE98" s="1735"/>
      <c r="AF98" s="1735"/>
      <c r="AG98" s="1735"/>
      <c r="AH98" s="1735"/>
      <c r="AI98" s="1735"/>
      <c r="AJ98" s="1735"/>
      <c r="AK98" s="1735"/>
      <c r="AL98" s="1735"/>
      <c r="AM98" s="1735"/>
      <c r="AN98" s="1735"/>
      <c r="AO98" s="1735"/>
      <c r="AP98" s="1735"/>
      <c r="AQ98" s="1735"/>
      <c r="AR98" s="1735"/>
      <c r="AS98" s="1735"/>
      <c r="AT98" s="1735"/>
      <c r="AU98" s="17"/>
      <c r="AV98" s="17"/>
      <c r="AW98" s="17"/>
      <c r="AX98" s="17"/>
      <c r="AY98" s="17"/>
      <c r="AZ98" s="17"/>
      <c r="BD98" s="1071" t="s">
        <v>781</v>
      </c>
      <c r="BE98" s="1072" t="str">
        <f>Application!M265</f>
        <v>spelz@kernha.org</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t="str">
        <f>Application!M273</f>
        <v>NA</v>
      </c>
    </row>
    <row r="100" spans="1:57" ht="12.95" customHeight="1">
      <c r="A100" s="1736" t="s">
        <v>783</v>
      </c>
      <c r="B100" s="1736"/>
      <c r="C100" s="1736"/>
      <c r="D100" s="1736"/>
      <c r="E100" s="1736"/>
      <c r="F100" s="1736"/>
      <c r="G100" s="1736"/>
      <c r="H100" s="1736"/>
      <c r="I100" s="1736"/>
      <c r="J100" s="1736"/>
      <c r="K100" s="1736"/>
      <c r="L100" s="1736"/>
      <c r="M100" s="1736"/>
      <c r="N100" s="1736"/>
      <c r="O100" s="1736"/>
      <c r="P100" s="1736"/>
      <c r="Q100" s="1736"/>
      <c r="R100" s="1736"/>
      <c r="S100" s="1736"/>
      <c r="T100" s="1736"/>
      <c r="U100" s="1736"/>
      <c r="V100" s="1736"/>
      <c r="W100" s="1736"/>
      <c r="X100" s="1736"/>
      <c r="Y100" s="1736"/>
      <c r="Z100" s="1736"/>
      <c r="AA100" s="1736"/>
      <c r="AB100" s="1736"/>
      <c r="AC100" s="1736"/>
      <c r="AD100" s="1736"/>
      <c r="AE100" s="1736"/>
      <c r="AF100" s="1736"/>
      <c r="AG100" s="1736"/>
      <c r="AH100" s="1736"/>
      <c r="AI100" s="1736"/>
      <c r="AJ100" s="1736"/>
      <c r="AK100" s="1736"/>
      <c r="AL100" s="1736"/>
      <c r="AM100" s="1736"/>
      <c r="AN100" s="1736"/>
      <c r="AO100" s="1736"/>
      <c r="AP100" s="1736"/>
      <c r="AQ100" s="1736"/>
      <c r="AR100" s="1736"/>
      <c r="AS100" s="1736"/>
      <c r="AT100" s="1736"/>
      <c r="AU100" s="17"/>
      <c r="AV100" s="17"/>
      <c r="AW100" s="17"/>
      <c r="AX100" s="17"/>
      <c r="AY100" s="17"/>
      <c r="AZ100" s="17"/>
      <c r="BD100" s="1071" t="s">
        <v>784</v>
      </c>
      <c r="BE100" s="1072" t="str">
        <f>Application!L288</f>
        <v>spelz@kernha.org</v>
      </c>
    </row>
    <row r="101" spans="1:57" ht="12.95" customHeight="1">
      <c r="A101" s="1736"/>
      <c r="B101" s="1736"/>
      <c r="C101" s="1736"/>
      <c r="D101" s="1736"/>
      <c r="E101" s="1736"/>
      <c r="F101" s="1736"/>
      <c r="G101" s="1736"/>
      <c r="H101" s="1736"/>
      <c r="I101" s="1736"/>
      <c r="J101" s="1736"/>
      <c r="K101" s="1736"/>
      <c r="L101" s="1736"/>
      <c r="M101" s="1736"/>
      <c r="N101" s="1736"/>
      <c r="O101" s="1736"/>
      <c r="P101" s="1736"/>
      <c r="Q101" s="1736"/>
      <c r="R101" s="1736"/>
      <c r="S101" s="1736"/>
      <c r="T101" s="1736"/>
      <c r="U101" s="1736"/>
      <c r="V101" s="1736"/>
      <c r="W101" s="1736"/>
      <c r="X101" s="1736"/>
      <c r="Y101" s="1736"/>
      <c r="Z101" s="1736"/>
      <c r="AA101" s="1736"/>
      <c r="AB101" s="1736"/>
      <c r="AC101" s="1736"/>
      <c r="AD101" s="1736"/>
      <c r="AE101" s="1736"/>
      <c r="AF101" s="1736"/>
      <c r="AG101" s="1736"/>
      <c r="AH101" s="1736"/>
      <c r="AI101" s="1736"/>
      <c r="AJ101" s="1736"/>
      <c r="AK101" s="1736"/>
      <c r="AL101" s="1736"/>
      <c r="AM101" s="1736"/>
      <c r="AN101" s="1736"/>
      <c r="AO101" s="1736"/>
      <c r="AP101" s="1736"/>
      <c r="AQ101" s="1736"/>
      <c r="AR101" s="1736"/>
      <c r="AS101" s="1736"/>
      <c r="AT101" s="1736"/>
      <c r="AU101" s="17"/>
      <c r="AV101" s="17"/>
      <c r="AW101" s="17"/>
      <c r="AX101" s="17"/>
      <c r="AY101" s="17"/>
      <c r="AZ101" s="17"/>
      <c r="BD101" s="3" t="s">
        <v>785</v>
      </c>
      <c r="BE101">
        <f>'Sources and Uses Budget'!C105</f>
        <v>18560657</v>
      </c>
    </row>
    <row r="102" spans="1:57" ht="12.95" customHeight="1">
      <c r="A102" s="1736"/>
      <c r="B102" s="1736"/>
      <c r="C102" s="1736"/>
      <c r="D102" s="1736"/>
      <c r="E102" s="1736"/>
      <c r="F102" s="1736"/>
      <c r="G102" s="1736"/>
      <c r="H102" s="1736"/>
      <c r="I102" s="1736"/>
      <c r="J102" s="1736"/>
      <c r="K102" s="1736"/>
      <c r="L102" s="1736"/>
      <c r="M102" s="1736"/>
      <c r="N102" s="1736"/>
      <c r="O102" s="1736"/>
      <c r="P102" s="1736"/>
      <c r="Q102" s="1736"/>
      <c r="R102" s="1736"/>
      <c r="S102" s="1736"/>
      <c r="T102" s="1736"/>
      <c r="U102" s="1736"/>
      <c r="V102" s="1736"/>
      <c r="W102" s="1736"/>
      <c r="X102" s="1736"/>
      <c r="Y102" s="1736"/>
      <c r="Z102" s="1736"/>
      <c r="AA102" s="1736"/>
      <c r="AB102" s="1736"/>
      <c r="AC102" s="1736"/>
      <c r="AD102" s="1736"/>
      <c r="AE102" s="1736"/>
      <c r="AF102" s="1736"/>
      <c r="AG102" s="1736"/>
      <c r="AH102" s="1736"/>
      <c r="AI102" s="1736"/>
      <c r="AJ102" s="1736"/>
      <c r="AK102" s="1736"/>
      <c r="AL102" s="1736"/>
      <c r="AM102" s="1736"/>
      <c r="AN102" s="1736"/>
      <c r="AO102" s="1736"/>
      <c r="AP102" s="1736"/>
      <c r="AQ102" s="1736"/>
      <c r="AR102" s="1736"/>
      <c r="AS102" s="1736"/>
      <c r="AT102" s="1736"/>
      <c r="AU102" s="17"/>
      <c r="AV102" s="17"/>
      <c r="AW102" s="17"/>
      <c r="AX102" s="17"/>
      <c r="AY102" s="17"/>
      <c r="AZ102" s="17"/>
      <c r="BD102" s="3" t="s">
        <v>786</v>
      </c>
      <c r="BE102" t="b">
        <f>T197="Yes"</f>
        <v>0</v>
      </c>
    </row>
    <row r="103" spans="1:57" ht="12.95" customHeight="1">
      <c r="A103" s="1736"/>
      <c r="B103" s="1736"/>
      <c r="C103" s="1736"/>
      <c r="D103" s="1736"/>
      <c r="E103" s="1736"/>
      <c r="F103" s="1736"/>
      <c r="G103" s="1736"/>
      <c r="H103" s="1736"/>
      <c r="I103" s="1736"/>
      <c r="J103" s="1736"/>
      <c r="K103" s="1736"/>
      <c r="L103" s="1736"/>
      <c r="M103" s="1736"/>
      <c r="N103" s="1736"/>
      <c r="O103" s="1736"/>
      <c r="P103" s="1736"/>
      <c r="Q103" s="1736"/>
      <c r="R103" s="1736"/>
      <c r="S103" s="1736"/>
      <c r="T103" s="1736"/>
      <c r="U103" s="1736"/>
      <c r="V103" s="1736"/>
      <c r="W103" s="1736"/>
      <c r="X103" s="1736"/>
      <c r="Y103" s="1736"/>
      <c r="Z103" s="1736"/>
      <c r="AA103" s="1736"/>
      <c r="AB103" s="1736"/>
      <c r="AC103" s="1736"/>
      <c r="AD103" s="1736"/>
      <c r="AE103" s="1736"/>
      <c r="AF103" s="1736"/>
      <c r="AG103" s="1736"/>
      <c r="AH103" s="1736"/>
      <c r="AI103" s="1736"/>
      <c r="AJ103" s="1736"/>
      <c r="AK103" s="1736"/>
      <c r="AL103" s="1736"/>
      <c r="AM103" s="1736"/>
      <c r="AN103" s="1736"/>
      <c r="AO103" s="1736"/>
      <c r="AP103" s="1736"/>
      <c r="AQ103" s="1736"/>
      <c r="AR103" s="1736"/>
      <c r="AS103" s="1736"/>
      <c r="AT103" s="1736"/>
      <c r="AU103" s="17"/>
      <c r="AV103" s="17"/>
      <c r="AW103" s="17"/>
      <c r="AX103" s="17"/>
      <c r="AY103" s="17"/>
      <c r="BD103" t="s">
        <v>787</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736" t="s">
        <v>789</v>
      </c>
      <c r="B105" s="1736"/>
      <c r="C105" s="1736"/>
      <c r="D105" s="1736"/>
      <c r="E105" s="1736"/>
      <c r="F105" s="1736"/>
      <c r="G105" s="1736"/>
      <c r="H105" s="1736"/>
      <c r="I105" s="1736"/>
      <c r="J105" s="1736"/>
      <c r="K105" s="1736"/>
      <c r="L105" s="1736"/>
      <c r="M105" s="1736"/>
      <c r="N105" s="1736"/>
      <c r="O105" s="1736"/>
      <c r="P105" s="1736"/>
      <c r="Q105" s="1736"/>
      <c r="R105" s="1736"/>
      <c r="S105" s="1736"/>
      <c r="T105" s="1736"/>
      <c r="U105" s="1736"/>
      <c r="V105" s="1736"/>
      <c r="W105" s="1736"/>
      <c r="X105" s="1736"/>
      <c r="Y105" s="1736"/>
      <c r="Z105" s="1736"/>
      <c r="AA105" s="1736"/>
      <c r="AB105" s="1736"/>
      <c r="AC105" s="1736"/>
      <c r="AD105" s="1736"/>
      <c r="AE105" s="1736"/>
      <c r="AF105" s="1736"/>
      <c r="AG105" s="1736"/>
      <c r="AH105" s="1736"/>
      <c r="AI105" s="1736"/>
      <c r="AJ105" s="1736"/>
      <c r="AK105" s="1736"/>
      <c r="AL105" s="1736"/>
      <c r="AM105" s="1736"/>
      <c r="AN105" s="1736"/>
      <c r="AO105" s="1736"/>
      <c r="AP105" s="1736"/>
      <c r="AQ105" s="1736"/>
      <c r="AR105" s="1736"/>
      <c r="AS105" s="1736"/>
      <c r="AT105" s="1736"/>
      <c r="AU105" s="17"/>
      <c r="AV105" s="17"/>
      <c r="AW105" s="17"/>
      <c r="AX105" s="17"/>
      <c r="AY105" s="17"/>
      <c r="BD105" s="3" t="s">
        <v>790</v>
      </c>
      <c r="BE105" s="1072" t="b">
        <f>V224="Yes"</f>
        <v>0</v>
      </c>
    </row>
    <row r="106" spans="1:57" ht="12.95" customHeight="1">
      <c r="A106" s="1736"/>
      <c r="B106" s="1736"/>
      <c r="C106" s="1736"/>
      <c r="D106" s="1736"/>
      <c r="E106" s="1736"/>
      <c r="F106" s="1736"/>
      <c r="G106" s="1736"/>
      <c r="H106" s="1736"/>
      <c r="I106" s="1736"/>
      <c r="J106" s="1736"/>
      <c r="K106" s="1736"/>
      <c r="L106" s="1736"/>
      <c r="M106" s="1736"/>
      <c r="N106" s="1736"/>
      <c r="O106" s="1736"/>
      <c r="P106" s="1736"/>
      <c r="Q106" s="1736"/>
      <c r="R106" s="1736"/>
      <c r="S106" s="1736"/>
      <c r="T106" s="1736"/>
      <c r="U106" s="1736"/>
      <c r="V106" s="1736"/>
      <c r="W106" s="1736"/>
      <c r="X106" s="1736"/>
      <c r="Y106" s="1736"/>
      <c r="Z106" s="1736"/>
      <c r="AA106" s="1736"/>
      <c r="AB106" s="1736"/>
      <c r="AC106" s="1736"/>
      <c r="AD106" s="1736"/>
      <c r="AE106" s="1736"/>
      <c r="AF106" s="1736"/>
      <c r="AG106" s="1736"/>
      <c r="AH106" s="1736"/>
      <c r="AI106" s="1736"/>
      <c r="AJ106" s="1736"/>
      <c r="AK106" s="1736"/>
      <c r="AL106" s="1736"/>
      <c r="AM106" s="1736"/>
      <c r="AN106" s="1736"/>
      <c r="AO106" s="1736"/>
      <c r="AP106" s="1736"/>
      <c r="AQ106" s="1736"/>
      <c r="AR106" s="1736"/>
      <c r="AS106" s="1736"/>
      <c r="AT106" s="1736"/>
      <c r="AU106" s="17"/>
      <c r="AV106" s="17"/>
      <c r="AW106" s="17"/>
      <c r="AX106" s="17"/>
      <c r="AY106" s="17"/>
      <c r="BD106" s="3" t="s">
        <v>791</v>
      </c>
      <c r="BE106" s="1072" t="b">
        <f t="shared" ref="BE106:BE110" si="0">V225="Yes"</f>
        <v>1</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737">
        <v>21</v>
      </c>
      <c r="H113" s="1737"/>
      <c r="I113" s="3" t="s">
        <v>798</v>
      </c>
      <c r="L113" s="1737" t="s">
        <v>799</v>
      </c>
      <c r="M113" s="1737"/>
      <c r="N113" s="1737"/>
      <c r="O113" s="1737"/>
      <c r="P113" s="1743" t="s">
        <v>800</v>
      </c>
      <c r="Q113" s="1743"/>
      <c r="R113" s="1743"/>
      <c r="S113" s="1743"/>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47" t="s">
        <v>801</v>
      </c>
      <c r="D115" s="1747"/>
      <c r="E115" s="1747"/>
      <c r="F115" s="1747"/>
      <c r="G115" s="1747"/>
      <c r="H115" s="1747"/>
      <c r="I115" s="1747"/>
      <c r="J115" s="1747"/>
      <c r="K115" s="1747"/>
      <c r="L115" s="134" t="s">
        <v>802</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803</v>
      </c>
      <c r="Y117" s="1737"/>
      <c r="Z117" s="1737"/>
      <c r="AA117" s="1737"/>
      <c r="AB117" s="1737"/>
      <c r="AC117" s="1737"/>
      <c r="AD117" s="1737"/>
      <c r="AE117" s="1737"/>
      <c r="AF117" s="1737"/>
      <c r="AG117" s="1737"/>
      <c r="AH117" s="1737"/>
      <c r="AI117" s="1737"/>
      <c r="AJ117" s="1737"/>
      <c r="AK117" s="1737"/>
    </row>
    <row r="118" spans="1:117" ht="12.95" customHeight="1">
      <c r="X118" s="3"/>
      <c r="Y118" s="3"/>
      <c r="Z118" s="3" t="s">
        <v>804</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37" t="s">
        <v>805</v>
      </c>
      <c r="Z120" s="1737"/>
      <c r="AA120" s="1737"/>
      <c r="AB120" s="1737"/>
      <c r="AC120" s="1737"/>
      <c r="AD120" s="1737"/>
      <c r="AE120" s="1737"/>
      <c r="AF120" s="1737"/>
      <c r="AG120" s="1737"/>
      <c r="AH120" s="1737"/>
      <c r="AI120" s="1737"/>
      <c r="AJ120" s="1737"/>
      <c r="AK120" s="173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807</v>
      </c>
      <c r="CR122" s="13"/>
      <c r="CS122" s="13"/>
      <c r="CT122" s="13"/>
      <c r="CU122" s="1617" t="s">
        <v>808</v>
      </c>
      <c r="CV122" s="1618"/>
      <c r="CW122" s="13"/>
      <c r="CX122" s="13" t="s">
        <v>809</v>
      </c>
      <c r="CY122" s="13"/>
      <c r="CZ122" s="13"/>
      <c r="DA122" s="13"/>
      <c r="DB122" s="13"/>
      <c r="DC122" s="13"/>
      <c r="DD122" s="13"/>
      <c r="DE122" s="13"/>
      <c r="DF122" s="13"/>
      <c r="DG122" s="1614" t="str">
        <f>T189</f>
        <v>Kern</v>
      </c>
      <c r="DH122" s="1615"/>
      <c r="DI122" s="1615"/>
      <c r="DJ122" s="1615"/>
      <c r="DK122" s="1615"/>
      <c r="DL122" s="1615"/>
      <c r="DM122" s="1616"/>
    </row>
    <row r="123" spans="1:117" ht="12.95" customHeight="1">
      <c r="A123" s="3"/>
      <c r="B123" s="3"/>
      <c r="T123" s="3"/>
      <c r="U123" s="3"/>
      <c r="V123" s="3"/>
      <c r="W123" s="3"/>
      <c r="X123" s="3"/>
      <c r="Y123" s="1737" t="s">
        <v>810</v>
      </c>
      <c r="Z123" s="1737"/>
      <c r="AA123" s="1737"/>
      <c r="AB123" s="1737"/>
      <c r="AC123" s="1737"/>
      <c r="AD123" s="1737"/>
      <c r="AE123" s="1737"/>
      <c r="AF123" s="1737"/>
      <c r="AG123" s="1737"/>
      <c r="AH123" s="1737"/>
      <c r="AI123" s="1737"/>
      <c r="AJ123" s="1737"/>
      <c r="AK123" s="173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811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808</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812</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808</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813</v>
      </c>
    </row>
    <row r="150" spans="1:108" ht="12.95" customHeight="1">
      <c r="A150" s="3"/>
      <c r="B150" s="3"/>
      <c r="D150" s="3"/>
      <c r="E150" s="3"/>
      <c r="F150" s="1307"/>
      <c r="G150" s="1307"/>
      <c r="H150" s="1307"/>
      <c r="I150" s="1307"/>
      <c r="J150" s="1307"/>
      <c r="K150" s="1307"/>
      <c r="L150" s="1307"/>
      <c r="M150" s="1307"/>
      <c r="N150" s="1307"/>
      <c r="O150" s="1307"/>
      <c r="P150" s="1307"/>
      <c r="Q150" s="1307"/>
      <c r="R150" s="1307"/>
      <c r="S150" s="1307"/>
      <c r="T150" s="13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814</v>
      </c>
    </row>
    <row r="152" spans="1:108" ht="12.95" customHeight="1">
      <c r="BM152">
        <v>4</v>
      </c>
      <c r="BN152" s="3" t="s">
        <v>815</v>
      </c>
    </row>
    <row r="153" spans="1:108" ht="12.95" customHeight="1">
      <c r="D153" t="s">
        <v>816</v>
      </c>
      <c r="O153" s="1460" t="s">
        <v>817</v>
      </c>
      <c r="P153" s="1460"/>
      <c r="Q153" s="1460"/>
      <c r="R153" s="1460"/>
      <c r="S153" s="1460"/>
      <c r="T153" s="1460"/>
      <c r="U153" s="1460"/>
      <c r="V153" s="1460"/>
      <c r="W153" s="1460"/>
      <c r="X153" s="1460"/>
      <c r="Y153" s="1460"/>
      <c r="Z153" s="1460"/>
      <c r="AA153" s="1460"/>
      <c r="AB153" s="1460"/>
      <c r="AC153" s="1460"/>
      <c r="AD153" s="1460"/>
      <c r="AE153" s="1460"/>
      <c r="AF153" s="1460"/>
      <c r="AG153" s="1460"/>
      <c r="AH153" s="1460"/>
      <c r="BM153">
        <v>5</v>
      </c>
      <c r="BN153" s="3" t="s">
        <v>818</v>
      </c>
      <c r="CR153" s="26" t="s">
        <v>819</v>
      </c>
      <c r="CS153" s="27"/>
      <c r="CT153" s="27"/>
      <c r="CU153" s="27"/>
      <c r="CV153" s="27"/>
      <c r="CW153" s="27"/>
      <c r="CX153" s="13"/>
      <c r="CY153" s="26" t="s">
        <v>820</v>
      </c>
      <c r="CZ153" s="13"/>
      <c r="DA153" s="13"/>
      <c r="DB153" s="13"/>
      <c r="DC153" s="13"/>
      <c r="DD153" s="13"/>
    </row>
    <row r="154" spans="1:108" ht="12.95" customHeight="1">
      <c r="D154" s="210" t="s">
        <v>821</v>
      </c>
      <c r="O154" s="1381" t="s">
        <v>822</v>
      </c>
      <c r="P154" s="1381"/>
      <c r="Q154" s="1381"/>
      <c r="R154" s="1381"/>
      <c r="S154" s="1381"/>
      <c r="T154" s="1381"/>
      <c r="U154" s="1381"/>
      <c r="V154" s="1381"/>
      <c r="W154" s="1381"/>
      <c r="X154" s="1381"/>
      <c r="Y154" s="1381"/>
      <c r="Z154" s="1381"/>
      <c r="AA154" s="1381"/>
      <c r="AB154" s="1381"/>
      <c r="AC154" s="1381"/>
      <c r="AD154" s="1381"/>
      <c r="AE154" s="1381"/>
      <c r="AF154" s="1381"/>
      <c r="AG154" s="1381"/>
      <c r="AH154" s="1381"/>
      <c r="BM154">
        <v>6</v>
      </c>
      <c r="BN154" s="3" t="s">
        <v>823</v>
      </c>
      <c r="CR154" s="26"/>
      <c r="CS154" s="27"/>
      <c r="CT154" s="27"/>
      <c r="CU154" s="27"/>
      <c r="CV154" s="27"/>
      <c r="CW154" s="27"/>
      <c r="CX154" s="13"/>
      <c r="CY154" s="26"/>
      <c r="CZ154" s="13"/>
      <c r="DA154" s="13"/>
      <c r="DB154" s="13"/>
      <c r="DC154" s="13"/>
      <c r="DD154" s="13"/>
    </row>
    <row r="155" spans="1:108" ht="12.95" customHeight="1">
      <c r="D155" s="7" t="s">
        <v>824</v>
      </c>
      <c r="F155" s="7"/>
      <c r="G155" s="7"/>
      <c r="H155" s="7"/>
      <c r="I155" s="7"/>
      <c r="J155" s="7"/>
      <c r="K155" s="7"/>
      <c r="L155" s="7"/>
      <c r="M155" s="7"/>
      <c r="N155" s="7"/>
      <c r="O155" s="1752" t="s">
        <v>825</v>
      </c>
      <c r="P155" s="1752"/>
      <c r="Q155" s="1752"/>
      <c r="R155" s="1752"/>
      <c r="S155" s="1752"/>
      <c r="T155" s="1752"/>
      <c r="U155" s="1752"/>
      <c r="V155" s="1752"/>
      <c r="W155" s="1752"/>
      <c r="X155" s="1752"/>
      <c r="Y155" s="1752"/>
      <c r="Z155" s="1752"/>
      <c r="AA155" s="1752"/>
      <c r="AB155" s="1752"/>
      <c r="AC155" s="1752"/>
      <c r="AD155" s="1752"/>
      <c r="AE155" s="1752"/>
      <c r="AF155" s="1752"/>
      <c r="AG155" s="1752"/>
      <c r="AH155" s="1752"/>
      <c r="BM155">
        <v>7</v>
      </c>
      <c r="BN155" s="3" t="s">
        <v>826</v>
      </c>
      <c r="CR155" s="26"/>
      <c r="CS155" s="27"/>
      <c r="CT155" s="27"/>
      <c r="CU155" s="27"/>
      <c r="CV155" s="27"/>
      <c r="CW155" s="27"/>
      <c r="CX155" s="13"/>
      <c r="CY155" s="26"/>
      <c r="CZ155" s="13"/>
      <c r="DA155" s="13"/>
      <c r="DB155" s="13"/>
      <c r="DC155" s="13"/>
      <c r="DD155" s="13"/>
    </row>
    <row r="156" spans="1:108" ht="12.95" customHeight="1">
      <c r="D156" t="s">
        <v>827</v>
      </c>
      <c r="O156" s="1428" t="s">
        <v>828</v>
      </c>
      <c r="P156" s="1428"/>
      <c r="Q156" s="1428"/>
      <c r="R156" s="1428"/>
      <c r="S156" s="1428"/>
      <c r="T156" s="1428"/>
      <c r="U156" s="1428"/>
      <c r="V156" s="1428"/>
      <c r="W156" s="1428"/>
      <c r="X156" s="1428"/>
      <c r="Y156" s="1428"/>
      <c r="Z156" s="1428"/>
      <c r="AA156" s="1428"/>
      <c r="AB156" s="1428"/>
      <c r="AC156" s="1428"/>
      <c r="AD156" s="1428"/>
      <c r="AE156" s="1428"/>
      <c r="AF156" s="1428"/>
      <c r="AG156" s="1428"/>
      <c r="AH156" s="1428"/>
      <c r="BT156" t="s">
        <v>348</v>
      </c>
      <c r="CB156" s="131" t="s">
        <v>829</v>
      </c>
      <c r="CC156" s="132"/>
      <c r="CD156" s="132"/>
      <c r="CE156" s="132"/>
      <c r="CF156" s="132"/>
      <c r="CG156" s="132"/>
      <c r="CH156" s="132"/>
      <c r="CI156" s="3"/>
      <c r="CJ156" s="131" t="s">
        <v>830</v>
      </c>
      <c r="CK156" s="3"/>
      <c r="CL156" s="3"/>
      <c r="CM156" s="3"/>
      <c r="CN156" s="3"/>
      <c r="CR156" s="26"/>
      <c r="CS156" s="27"/>
      <c r="CT156" s="27"/>
      <c r="CU156" s="27"/>
      <c r="CV156" s="27"/>
      <c r="CW156" s="27"/>
      <c r="CX156" s="13"/>
      <c r="CY156" s="26"/>
      <c r="CZ156" s="13"/>
      <c r="DA156" s="13"/>
      <c r="DB156" s="13"/>
      <c r="DC156" s="13"/>
      <c r="DD156" s="13"/>
    </row>
    <row r="157" spans="1:108" ht="12.95" customHeight="1">
      <c r="D157" t="s">
        <v>831</v>
      </c>
      <c r="O157" s="1460" t="s">
        <v>801</v>
      </c>
      <c r="P157" s="1460"/>
      <c r="Q157" s="1460"/>
      <c r="R157" s="1460"/>
      <c r="S157" s="1460"/>
      <c r="T157" s="1460"/>
      <c r="U157" s="1460"/>
      <c r="V157" s="1460"/>
      <c r="W157" s="1460"/>
      <c r="X157" s="1460"/>
      <c r="Y157" s="7"/>
      <c r="Z157" s="7"/>
      <c r="AA157" s="7"/>
      <c r="AB157" s="7"/>
      <c r="AC157" s="7"/>
      <c r="AD157" s="7"/>
      <c r="AE157" s="7"/>
      <c r="AF157" s="7"/>
      <c r="BN157" s="133" t="s">
        <v>832</v>
      </c>
      <c r="BS157">
        <v>2</v>
      </c>
      <c r="BT157" t="s">
        <v>833</v>
      </c>
      <c r="CB157" s="196" t="s">
        <v>834</v>
      </c>
      <c r="CC157" s="132"/>
      <c r="CD157" s="132"/>
      <c r="CE157" s="132"/>
      <c r="CF157" s="132"/>
      <c r="CG157" s="132"/>
      <c r="CH157" s="132"/>
      <c r="CI157" s="3"/>
      <c r="CJ157" s="196" t="s">
        <v>835</v>
      </c>
      <c r="CK157" s="3"/>
      <c r="CL157" s="3"/>
      <c r="CM157" s="3"/>
      <c r="CN157" s="3"/>
      <c r="CR157" s="13"/>
      <c r="CS157" s="27"/>
      <c r="CT157" s="27"/>
      <c r="CU157" s="27"/>
      <c r="CV157" s="27"/>
      <c r="CW157" s="27"/>
      <c r="CX157" s="13"/>
      <c r="CY157" s="13"/>
      <c r="CZ157" s="13"/>
      <c r="DA157" s="13"/>
      <c r="DB157" s="13"/>
      <c r="DC157" s="13"/>
      <c r="DD157" s="13"/>
    </row>
    <row r="158" spans="1:108" ht="12.95" customHeight="1">
      <c r="D158" t="s">
        <v>836</v>
      </c>
      <c r="O158" s="1739">
        <v>93301</v>
      </c>
      <c r="P158" s="1739"/>
      <c r="Q158" s="1739"/>
      <c r="R158" s="1739"/>
      <c r="S158" s="8"/>
      <c r="T158" s="8"/>
      <c r="U158" s="8"/>
      <c r="V158" s="8"/>
      <c r="W158" s="8"/>
      <c r="X158" s="8"/>
      <c r="Y158" s="8"/>
      <c r="Z158" s="8"/>
      <c r="AA158" s="8"/>
      <c r="AB158" s="8"/>
      <c r="AC158" s="8"/>
      <c r="AD158" s="8"/>
      <c r="AE158" s="8"/>
      <c r="AF158" s="8"/>
      <c r="BN158" s="133" t="s">
        <v>837</v>
      </c>
      <c r="BS158">
        <v>7</v>
      </c>
      <c r="BT158" t="s">
        <v>838</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839</v>
      </c>
      <c r="O159" s="1729" t="s">
        <v>840</v>
      </c>
      <c r="P159" s="1729"/>
      <c r="Q159" s="1729"/>
      <c r="R159" s="1729"/>
      <c r="S159" s="1729"/>
      <c r="T159" s="1729"/>
      <c r="V159" s="72" t="s">
        <v>841</v>
      </c>
      <c r="W159" s="1740"/>
      <c r="X159" s="1740"/>
      <c r="Y159" s="9"/>
      <c r="Z159" s="9"/>
      <c r="AA159" s="9"/>
      <c r="AB159" s="9"/>
      <c r="AC159" s="9"/>
      <c r="AD159" s="9"/>
      <c r="AE159" s="9"/>
      <c r="AF159" s="9"/>
      <c r="BN159" s="133" t="s">
        <v>842</v>
      </c>
      <c r="BS159">
        <v>7</v>
      </c>
      <c r="BT159" t="s">
        <v>843</v>
      </c>
      <c r="CB159" s="250" t="s">
        <v>844</v>
      </c>
      <c r="CC159" s="251" t="s">
        <v>845</v>
      </c>
      <c r="CD159" s="251" t="s">
        <v>846</v>
      </c>
      <c r="CE159" s="251" t="s">
        <v>847</v>
      </c>
      <c r="CF159" s="251" t="s">
        <v>848</v>
      </c>
      <c r="CG159" s="251" t="s">
        <v>849</v>
      </c>
      <c r="CH159" s="251" t="s">
        <v>850</v>
      </c>
      <c r="CI159" s="3"/>
      <c r="CJ159" s="251" t="s">
        <v>845</v>
      </c>
      <c r="CK159" s="251" t="s">
        <v>846</v>
      </c>
      <c r="CL159" s="251" t="s">
        <v>847</v>
      </c>
      <c r="CM159" s="251" t="s">
        <v>848</v>
      </c>
      <c r="CN159" s="251" t="s">
        <v>849</v>
      </c>
      <c r="CR159" s="13"/>
      <c r="CS159" s="1160" t="s">
        <v>851</v>
      </c>
      <c r="CT159" s="1161" t="s">
        <v>846</v>
      </c>
      <c r="CU159" s="1161" t="s">
        <v>847</v>
      </c>
      <c r="CV159" s="1161" t="s">
        <v>848</v>
      </c>
      <c r="CW159" s="1161" t="s">
        <v>852</v>
      </c>
      <c r="CX159" s="13"/>
      <c r="CY159" s="13"/>
      <c r="CZ159" s="1160" t="s">
        <v>851</v>
      </c>
      <c r="DA159" s="1161" t="s">
        <v>846</v>
      </c>
      <c r="DB159" s="1161" t="s">
        <v>847</v>
      </c>
      <c r="DC159" s="1161" t="s">
        <v>848</v>
      </c>
      <c r="DD159" s="1161" t="s">
        <v>852</v>
      </c>
    </row>
    <row r="160" spans="1:108" ht="12.95" customHeight="1">
      <c r="D160" t="s">
        <v>853</v>
      </c>
      <c r="O160" s="1729"/>
      <c r="P160" s="1729"/>
      <c r="Q160" s="1729"/>
      <c r="R160" s="1729"/>
      <c r="S160" s="1729"/>
      <c r="T160" s="1729"/>
      <c r="U160" s="9"/>
      <c r="V160" s="9"/>
      <c r="W160" s="9"/>
      <c r="X160" s="9"/>
      <c r="Y160" s="9"/>
      <c r="Z160" s="9"/>
      <c r="AA160" s="9"/>
      <c r="AB160" s="9"/>
      <c r="AC160" s="9"/>
      <c r="AD160" s="9"/>
      <c r="AE160" s="9"/>
      <c r="AF160" s="9"/>
      <c r="BN160" s="133" t="s">
        <v>854</v>
      </c>
      <c r="BS160">
        <v>6</v>
      </c>
      <c r="BT160" t="s">
        <v>855</v>
      </c>
      <c r="CB160" s="252" t="s">
        <v>833</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832</v>
      </c>
      <c r="CS160" s="228">
        <v>491221</v>
      </c>
      <c r="CT160" s="228">
        <v>566373</v>
      </c>
      <c r="CU160" s="228">
        <v>683200</v>
      </c>
      <c r="CV160" s="228">
        <v>874496</v>
      </c>
      <c r="CW160" s="228">
        <v>974243</v>
      </c>
      <c r="CX160" s="13"/>
      <c r="CY160" s="133" t="s">
        <v>832</v>
      </c>
      <c r="CZ160" s="228">
        <v>491221</v>
      </c>
      <c r="DA160" s="228">
        <v>566373</v>
      </c>
      <c r="DB160" s="228">
        <v>683200</v>
      </c>
      <c r="DC160" s="228">
        <v>874496</v>
      </c>
      <c r="DD160" s="228">
        <v>974243</v>
      </c>
    </row>
    <row r="161" spans="1:108" ht="12.95" customHeight="1">
      <c r="D161" t="s">
        <v>856</v>
      </c>
      <c r="O161" s="1733" t="s">
        <v>857</v>
      </c>
      <c r="P161" s="1733"/>
      <c r="Q161" s="1733"/>
      <c r="R161" s="1733"/>
      <c r="S161" s="1733"/>
      <c r="T161" s="1733"/>
      <c r="U161" s="1733"/>
      <c r="V161" s="1733"/>
      <c r="W161" s="1733"/>
      <c r="X161" s="1733"/>
      <c r="Y161" s="1733"/>
      <c r="Z161" s="1733"/>
      <c r="AA161" s="1733"/>
      <c r="AB161" s="1733"/>
      <c r="AC161" s="1733"/>
      <c r="AD161" s="1733"/>
      <c r="AE161" s="1733"/>
      <c r="AF161" s="1733"/>
      <c r="AG161" s="1733"/>
      <c r="AH161" s="1733"/>
      <c r="BJ161" t="s">
        <v>700</v>
      </c>
      <c r="BN161" s="133" t="s">
        <v>858</v>
      </c>
      <c r="BS161">
        <v>7</v>
      </c>
      <c r="BT161" t="s">
        <v>859</v>
      </c>
      <c r="CB161" s="253" t="s">
        <v>838</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837</v>
      </c>
      <c r="CS161" s="226">
        <v>402640</v>
      </c>
      <c r="CT161" s="226">
        <v>464240</v>
      </c>
      <c r="CU161" s="226">
        <v>560000</v>
      </c>
      <c r="CV161" s="226">
        <v>716800</v>
      </c>
      <c r="CW161" s="226">
        <v>798560</v>
      </c>
      <c r="CX161" s="13"/>
      <c r="CY161" s="133" t="s">
        <v>837</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860</v>
      </c>
      <c r="BN162" s="133" t="s">
        <v>861</v>
      </c>
      <c r="BS162">
        <v>7</v>
      </c>
      <c r="BT162" t="s">
        <v>862</v>
      </c>
      <c r="CB162" s="253" t="s">
        <v>843</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842</v>
      </c>
      <c r="CS162" s="228">
        <v>402640</v>
      </c>
      <c r="CT162" s="228">
        <v>464240</v>
      </c>
      <c r="CU162" s="228">
        <v>560000</v>
      </c>
      <c r="CV162" s="228">
        <v>716800</v>
      </c>
      <c r="CW162" s="228">
        <v>798560</v>
      </c>
      <c r="CX162" s="13"/>
      <c r="CY162" s="133" t="s">
        <v>842</v>
      </c>
      <c r="CZ162" s="228">
        <v>402640</v>
      </c>
      <c r="DA162" s="228">
        <v>464240</v>
      </c>
      <c r="DB162" s="228">
        <v>560000</v>
      </c>
      <c r="DC162" s="228">
        <v>716800</v>
      </c>
      <c r="DD162" s="228">
        <v>798560</v>
      </c>
    </row>
    <row r="163" spans="1:108" ht="12.95" customHeight="1">
      <c r="C163" s="23" t="s">
        <v>863</v>
      </c>
      <c r="D163" s="3" t="s">
        <v>864</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865</v>
      </c>
      <c r="BS163">
        <v>2</v>
      </c>
      <c r="BT163" t="s">
        <v>866</v>
      </c>
      <c r="CB163" s="253" t="s">
        <v>855</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854</v>
      </c>
      <c r="CS163" s="226">
        <v>369278</v>
      </c>
      <c r="CT163" s="226">
        <v>425774</v>
      </c>
      <c r="CU163" s="226">
        <v>513600</v>
      </c>
      <c r="CV163" s="226">
        <v>657408</v>
      </c>
      <c r="CW163" s="226">
        <v>732394</v>
      </c>
      <c r="CX163" s="13"/>
      <c r="CY163" s="133" t="s">
        <v>854</v>
      </c>
      <c r="CZ163" s="226">
        <v>369278</v>
      </c>
      <c r="DA163" s="226">
        <v>425774</v>
      </c>
      <c r="DB163" s="226">
        <v>513600</v>
      </c>
      <c r="DC163" s="226">
        <v>657408</v>
      </c>
      <c r="DD163" s="226">
        <v>732394</v>
      </c>
    </row>
    <row r="164" spans="1:108" ht="12.95" customHeight="1">
      <c r="C164" s="23"/>
      <c r="D164" s="1748" t="s">
        <v>867</v>
      </c>
      <c r="E164" s="1748"/>
      <c r="F164" s="1748"/>
      <c r="G164" s="1748"/>
      <c r="H164" s="1748"/>
      <c r="I164" s="1748"/>
      <c r="J164" s="1748"/>
      <c r="K164" s="1748"/>
      <c r="L164" s="1748"/>
      <c r="M164" s="1748"/>
      <c r="N164" s="1748"/>
      <c r="O164" s="1748"/>
      <c r="P164" s="1748"/>
      <c r="Q164" s="1748"/>
      <c r="R164" s="1748"/>
      <c r="S164" s="1748"/>
      <c r="T164" s="1748"/>
      <c r="U164" s="1748"/>
      <c r="V164" s="1748"/>
      <c r="W164" s="1748"/>
      <c r="X164" s="1748"/>
      <c r="Y164" s="1748"/>
      <c r="Z164" s="1748"/>
      <c r="AA164" s="1748"/>
      <c r="AB164" s="1748"/>
      <c r="AC164" s="1748"/>
      <c r="AD164" s="1748"/>
      <c r="AE164" s="1748"/>
      <c r="AF164" s="1748"/>
      <c r="AG164" s="1748"/>
      <c r="AH164" s="1748"/>
      <c r="BN164" s="133" t="s">
        <v>868</v>
      </c>
      <c r="BS164">
        <v>7</v>
      </c>
      <c r="BT164" t="s">
        <v>869</v>
      </c>
      <c r="CB164" s="253" t="s">
        <v>859</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858</v>
      </c>
      <c r="CS164" s="228">
        <v>402640</v>
      </c>
      <c r="CT164" s="228">
        <v>464240</v>
      </c>
      <c r="CU164" s="228">
        <v>560000</v>
      </c>
      <c r="CV164" s="228">
        <v>716800</v>
      </c>
      <c r="CW164" s="228">
        <v>798560</v>
      </c>
      <c r="CX164" s="13"/>
      <c r="CY164" s="133" t="s">
        <v>858</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870</v>
      </c>
      <c r="BS165">
        <v>6</v>
      </c>
      <c r="BT165" t="s">
        <v>871</v>
      </c>
      <c r="CB165" s="253" t="s">
        <v>862</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861</v>
      </c>
      <c r="CS165" s="226">
        <v>402640</v>
      </c>
      <c r="CT165" s="226">
        <v>464240</v>
      </c>
      <c r="CU165" s="226">
        <v>560000</v>
      </c>
      <c r="CV165" s="226">
        <v>716800</v>
      </c>
      <c r="CW165" s="226">
        <v>798560</v>
      </c>
      <c r="CX165" s="13"/>
      <c r="CY165" s="133" t="s">
        <v>861</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872</v>
      </c>
      <c r="BS166">
        <v>5</v>
      </c>
      <c r="BT166" t="s">
        <v>873</v>
      </c>
      <c r="CB166" s="253" t="s">
        <v>866</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865</v>
      </c>
      <c r="CS166" s="228">
        <v>491221</v>
      </c>
      <c r="CT166" s="228">
        <v>566373</v>
      </c>
      <c r="CU166" s="228">
        <v>683200</v>
      </c>
      <c r="CV166" s="228">
        <v>874496</v>
      </c>
      <c r="CW166" s="228">
        <v>974243</v>
      </c>
      <c r="CX166" s="13"/>
      <c r="CY166" s="133" t="s">
        <v>865</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874</v>
      </c>
      <c r="BS167">
        <v>7</v>
      </c>
      <c r="BT167" t="s">
        <v>875</v>
      </c>
      <c r="CB167" s="253" t="s">
        <v>869</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868</v>
      </c>
      <c r="CS167" s="226">
        <v>402640</v>
      </c>
      <c r="CT167" s="226">
        <v>464240</v>
      </c>
      <c r="CU167" s="226">
        <v>560000</v>
      </c>
      <c r="CV167" s="226">
        <v>716800</v>
      </c>
      <c r="CW167" s="226">
        <v>798560</v>
      </c>
      <c r="CX167" s="13"/>
      <c r="CY167" s="133" t="s">
        <v>868</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876</v>
      </c>
      <c r="BS168">
        <v>7</v>
      </c>
      <c r="BT168" t="s">
        <v>877</v>
      </c>
      <c r="CB168" s="253" t="s">
        <v>871</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870</v>
      </c>
      <c r="CS168" s="228">
        <v>360075</v>
      </c>
      <c r="CT168" s="228">
        <v>415163</v>
      </c>
      <c r="CU168" s="228">
        <v>500800</v>
      </c>
      <c r="CV168" s="228">
        <v>641024</v>
      </c>
      <c r="CW168" s="228">
        <v>714141</v>
      </c>
      <c r="CX168" s="13"/>
      <c r="CY168" s="133" t="s">
        <v>870</v>
      </c>
      <c r="CZ168" s="228">
        <v>360075</v>
      </c>
      <c r="DA168" s="228">
        <v>415163</v>
      </c>
      <c r="DB168" s="228">
        <v>500800</v>
      </c>
      <c r="DC168" s="228">
        <v>641024</v>
      </c>
      <c r="DD168" s="228">
        <v>714141</v>
      </c>
    </row>
    <row r="169" spans="1:108" ht="12.95" customHeight="1">
      <c r="A169" s="1328" t="s">
        <v>878</v>
      </c>
      <c r="B169" s="1328"/>
      <c r="C169" s="1328"/>
      <c r="D169" s="1328"/>
      <c r="E169" s="1328"/>
      <c r="F169" s="1328"/>
      <c r="G169" s="1328"/>
      <c r="H169" s="1328"/>
      <c r="I169" s="1328"/>
      <c r="J169" s="1328"/>
      <c r="K169" s="1328"/>
      <c r="L169" s="1328"/>
      <c r="M169" s="1328"/>
      <c r="N169" s="1328"/>
      <c r="O169" s="1328"/>
      <c r="P169" s="1328"/>
      <c r="Q169" s="1328"/>
      <c r="R169" s="1328"/>
      <c r="S169" s="1328"/>
      <c r="T169" s="1328"/>
      <c r="U169" s="1328"/>
      <c r="V169" s="1328"/>
      <c r="W169" s="1328"/>
      <c r="X169" s="1328"/>
      <c r="Y169" s="1328"/>
      <c r="Z169" s="1328"/>
      <c r="AA169" s="1328"/>
      <c r="AB169" s="1328"/>
      <c r="AC169" s="1328"/>
      <c r="AD169" s="1328"/>
      <c r="AE169" s="1328"/>
      <c r="AF169" s="1328"/>
      <c r="AG169" s="1328"/>
      <c r="AH169" s="1328"/>
      <c r="AI169" s="1328"/>
      <c r="AJ169" s="1328"/>
      <c r="AK169" s="1328"/>
      <c r="AL169" s="1328"/>
      <c r="AM169" s="1328"/>
      <c r="AN169" s="1328"/>
      <c r="AO169" s="1328"/>
      <c r="AP169" s="1328"/>
      <c r="AQ169" s="1328"/>
      <c r="AR169" s="1328"/>
      <c r="AS169" s="1328"/>
      <c r="AT169" s="1328"/>
      <c r="AU169" s="70"/>
      <c r="AV169" s="70"/>
      <c r="AW169" s="70"/>
      <c r="AX169" s="70"/>
      <c r="AY169" s="70"/>
      <c r="BN169" s="133" t="s">
        <v>879</v>
      </c>
      <c r="BS169">
        <v>5</v>
      </c>
      <c r="BT169" t="s">
        <v>880</v>
      </c>
      <c r="CB169" s="253" t="s">
        <v>873</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872</v>
      </c>
      <c r="CS169" s="226">
        <v>323262</v>
      </c>
      <c r="CT169" s="226">
        <v>372718</v>
      </c>
      <c r="CU169" s="226">
        <v>449600</v>
      </c>
      <c r="CV169" s="226">
        <v>575488</v>
      </c>
      <c r="CW169" s="226">
        <v>641130</v>
      </c>
      <c r="CX169" s="13"/>
      <c r="CY169" s="133" t="s">
        <v>872</v>
      </c>
      <c r="CZ169" s="226">
        <v>323262</v>
      </c>
      <c r="DA169" s="226">
        <v>372718</v>
      </c>
      <c r="DB169" s="226">
        <v>449600</v>
      </c>
      <c r="DC169" s="226">
        <v>575488</v>
      </c>
      <c r="DD169" s="226">
        <v>641130</v>
      </c>
    </row>
    <row r="170" spans="1:108" ht="12.95" customHeight="1">
      <c r="A170" s="1328"/>
      <c r="B170" s="1328"/>
      <c r="C170" s="1328"/>
      <c r="D170" s="1328"/>
      <c r="E170" s="1328"/>
      <c r="F170" s="1328"/>
      <c r="G170" s="1328"/>
      <c r="H170" s="1328"/>
      <c r="I170" s="1328"/>
      <c r="J170" s="1328"/>
      <c r="K170" s="1328"/>
      <c r="L170" s="1328"/>
      <c r="M170" s="1328"/>
      <c r="N170" s="1328"/>
      <c r="O170" s="1328"/>
      <c r="P170" s="1328"/>
      <c r="Q170" s="1328"/>
      <c r="R170" s="1328"/>
      <c r="S170" s="1328"/>
      <c r="T170" s="1328"/>
      <c r="U170" s="1328"/>
      <c r="V170" s="1328"/>
      <c r="W170" s="1328"/>
      <c r="X170" s="1328"/>
      <c r="Y170" s="1328"/>
      <c r="Z170" s="1328"/>
      <c r="AA170" s="1328"/>
      <c r="AB170" s="1328"/>
      <c r="AC170" s="1328"/>
      <c r="AD170" s="1328"/>
      <c r="AE170" s="1328"/>
      <c r="AF170" s="1328"/>
      <c r="AG170" s="1328"/>
      <c r="AH170" s="1328"/>
      <c r="AI170" s="1328"/>
      <c r="AJ170" s="1328"/>
      <c r="AK170" s="1328"/>
      <c r="AL170" s="1328"/>
      <c r="AM170" s="1328"/>
      <c r="AN170" s="1328"/>
      <c r="AO170" s="1328"/>
      <c r="AP170" s="1328"/>
      <c r="AQ170" s="1328"/>
      <c r="AR170" s="1328"/>
      <c r="AS170" s="1328"/>
      <c r="AT170" s="1328"/>
      <c r="AU170" s="70"/>
      <c r="AV170" s="70"/>
      <c r="AW170" s="70"/>
      <c r="AX170" s="70"/>
      <c r="AY170" s="70"/>
      <c r="BN170" s="133" t="s">
        <v>881</v>
      </c>
      <c r="BS170">
        <v>7</v>
      </c>
      <c r="BT170" t="s">
        <v>882</v>
      </c>
      <c r="CB170" s="253" t="s">
        <v>875</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874</v>
      </c>
      <c r="CS170" s="228">
        <v>402640</v>
      </c>
      <c r="CT170" s="228">
        <v>464240</v>
      </c>
      <c r="CU170" s="228">
        <v>560000</v>
      </c>
      <c r="CV170" s="228">
        <v>716800</v>
      </c>
      <c r="CW170" s="228">
        <v>798560</v>
      </c>
      <c r="CX170" s="13"/>
      <c r="CY170" s="133" t="s">
        <v>874</v>
      </c>
      <c r="CZ170" s="228">
        <v>402640</v>
      </c>
      <c r="DA170" s="228">
        <v>464240</v>
      </c>
      <c r="DB170" s="228">
        <v>560000</v>
      </c>
      <c r="DC170" s="228">
        <v>716800</v>
      </c>
      <c r="DD170" s="228">
        <v>798560</v>
      </c>
    </row>
    <row r="171" spans="1:108" ht="12.95" customHeight="1">
      <c r="BN171" s="133" t="s">
        <v>883</v>
      </c>
      <c r="BS171">
        <v>5</v>
      </c>
      <c r="BT171" t="s">
        <v>884</v>
      </c>
      <c r="CB171" s="253" t="s">
        <v>877</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876</v>
      </c>
      <c r="CS171" s="226">
        <v>402640</v>
      </c>
      <c r="CT171" s="226">
        <v>464240</v>
      </c>
      <c r="CU171" s="226">
        <v>560000</v>
      </c>
      <c r="CV171" s="226">
        <v>716800</v>
      </c>
      <c r="CW171" s="226">
        <v>798560</v>
      </c>
      <c r="CX171" s="13"/>
      <c r="CY171" s="133" t="s">
        <v>876</v>
      </c>
      <c r="CZ171" s="226">
        <v>402640</v>
      </c>
      <c r="DA171" s="226">
        <v>464240</v>
      </c>
      <c r="DB171" s="226">
        <v>560000</v>
      </c>
      <c r="DC171" s="226">
        <v>716800</v>
      </c>
      <c r="DD171" s="226">
        <v>798560</v>
      </c>
    </row>
    <row r="172" spans="1:108" ht="12.95" customHeight="1">
      <c r="A172" s="2" t="s">
        <v>885</v>
      </c>
      <c r="C172" s="2" t="s">
        <v>91</v>
      </c>
      <c r="BN172" s="133" t="s">
        <v>886</v>
      </c>
      <c r="BS172">
        <v>5</v>
      </c>
      <c r="BT172" t="s">
        <v>887</v>
      </c>
      <c r="CB172" s="253" t="s">
        <v>880</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879</v>
      </c>
      <c r="CS172" s="228">
        <v>381933</v>
      </c>
      <c r="CT172" s="228">
        <v>440365</v>
      </c>
      <c r="CU172" s="228">
        <v>531200</v>
      </c>
      <c r="CV172" s="228">
        <v>679936</v>
      </c>
      <c r="CW172" s="228">
        <v>757491</v>
      </c>
      <c r="CX172" s="13"/>
      <c r="CY172" s="133" t="s">
        <v>879</v>
      </c>
      <c r="CZ172" s="228">
        <v>381933</v>
      </c>
      <c r="DA172" s="228">
        <v>440365</v>
      </c>
      <c r="DB172" s="228">
        <v>531200</v>
      </c>
      <c r="DC172" s="228">
        <v>679936</v>
      </c>
      <c r="DD172" s="228">
        <v>757491</v>
      </c>
    </row>
    <row r="173" spans="1:108" ht="12.95" customHeight="1">
      <c r="C173" s="20"/>
      <c r="D173" t="s">
        <v>888</v>
      </c>
      <c r="J173" s="1751" t="s">
        <v>889</v>
      </c>
      <c r="K173" s="1751"/>
      <c r="L173" s="1751"/>
      <c r="M173" s="1751"/>
      <c r="N173" s="1751"/>
      <c r="O173" s="1751"/>
      <c r="P173" s="1751"/>
      <c r="Q173" s="1751"/>
      <c r="R173" s="1751"/>
      <c r="S173" s="1751"/>
      <c r="U173" s="21"/>
      <c r="X173" s="21"/>
      <c r="BB173" s="3" t="s">
        <v>348</v>
      </c>
      <c r="BN173" s="133" t="s">
        <v>890</v>
      </c>
      <c r="BS173">
        <v>7</v>
      </c>
      <c r="BT173" t="s">
        <v>891</v>
      </c>
      <c r="CB173" s="253" t="s">
        <v>882</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881</v>
      </c>
      <c r="CS173" s="226">
        <v>402640</v>
      </c>
      <c r="CT173" s="226">
        <v>464240</v>
      </c>
      <c r="CU173" s="226">
        <v>560000</v>
      </c>
      <c r="CV173" s="226">
        <v>716800</v>
      </c>
      <c r="CW173" s="226">
        <v>798560</v>
      </c>
      <c r="CX173" s="13"/>
      <c r="CY173" s="133" t="s">
        <v>881</v>
      </c>
      <c r="CZ173" s="226">
        <v>402640</v>
      </c>
      <c r="DA173" s="226">
        <v>464240</v>
      </c>
      <c r="DB173" s="226">
        <v>560000</v>
      </c>
      <c r="DC173" s="226">
        <v>716800</v>
      </c>
      <c r="DD173" s="226">
        <v>798560</v>
      </c>
    </row>
    <row r="174" spans="1:108" ht="12.95" customHeight="1">
      <c r="C174" s="20"/>
      <c r="D174" s="3" t="s">
        <v>892</v>
      </c>
      <c r="J174" s="1428" t="s">
        <v>893</v>
      </c>
      <c r="K174" s="1428"/>
      <c r="L174" s="1428"/>
      <c r="M174" s="1428"/>
      <c r="N174" s="1428"/>
      <c r="O174" s="1428"/>
      <c r="P174" s="1428"/>
      <c r="Q174" s="1428"/>
      <c r="R174" s="1428"/>
      <c r="S174" s="1428"/>
      <c r="T174" s="1428"/>
      <c r="U174" s="1428"/>
      <c r="V174" s="1428"/>
      <c r="W174" s="1428"/>
      <c r="X174" s="1428"/>
      <c r="Y174" s="1428"/>
      <c r="Z174" s="1428"/>
      <c r="AA174" s="1428"/>
      <c r="AB174" s="1428"/>
      <c r="BB174" t="s">
        <v>894</v>
      </c>
      <c r="BN174" s="133" t="s">
        <v>895</v>
      </c>
      <c r="BS174">
        <v>7</v>
      </c>
      <c r="BT174" t="s">
        <v>896</v>
      </c>
      <c r="CB174" s="253" t="s">
        <v>884</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883</v>
      </c>
      <c r="CS174" s="228">
        <v>323262</v>
      </c>
      <c r="CT174" s="228">
        <v>372718</v>
      </c>
      <c r="CU174" s="228">
        <v>449600</v>
      </c>
      <c r="CV174" s="228">
        <v>575488</v>
      </c>
      <c r="CW174" s="228">
        <v>641130</v>
      </c>
      <c r="CX174" s="13"/>
      <c r="CY174" s="133" t="s">
        <v>883</v>
      </c>
      <c r="CZ174" s="228">
        <v>323262</v>
      </c>
      <c r="DA174" s="228">
        <v>372718</v>
      </c>
      <c r="DB174" s="228">
        <v>449600</v>
      </c>
      <c r="DC174" s="228">
        <v>575488</v>
      </c>
      <c r="DD174" s="228">
        <v>641130</v>
      </c>
    </row>
    <row r="175" spans="1:108" ht="12.95" customHeight="1">
      <c r="C175" s="7"/>
      <c r="D175" s="3" t="s">
        <v>897</v>
      </c>
      <c r="O175" s="23"/>
      <c r="U175" s="1308" t="s">
        <v>700</v>
      </c>
      <c r="V175" s="1308"/>
      <c r="BB175" t="s">
        <v>898</v>
      </c>
      <c r="BN175" s="133" t="s">
        <v>899</v>
      </c>
      <c r="BS175">
        <v>1</v>
      </c>
      <c r="BT175" t="s">
        <v>900</v>
      </c>
      <c r="CB175" s="253" t="s">
        <v>887</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886</v>
      </c>
      <c r="CS175" s="226">
        <v>323262</v>
      </c>
      <c r="CT175" s="226">
        <v>372718</v>
      </c>
      <c r="CU175" s="226">
        <v>449600</v>
      </c>
      <c r="CV175" s="226">
        <v>575488</v>
      </c>
      <c r="CW175" s="226">
        <v>641130</v>
      </c>
      <c r="CX175" s="13"/>
      <c r="CY175" s="133" t="s">
        <v>886</v>
      </c>
      <c r="CZ175" s="226">
        <v>323262</v>
      </c>
      <c r="DA175" s="226">
        <v>372718</v>
      </c>
      <c r="DB175" s="226">
        <v>449600</v>
      </c>
      <c r="DC175" s="226">
        <v>575488</v>
      </c>
      <c r="DD175" s="226">
        <v>641130</v>
      </c>
    </row>
    <row r="176" spans="1:108" ht="12.95" customHeight="1">
      <c r="C176" s="7"/>
      <c r="D176" s="22"/>
      <c r="E176" t="s">
        <v>901</v>
      </c>
      <c r="O176" s="23"/>
      <c r="P176" t="s">
        <v>902</v>
      </c>
      <c r="T176" s="23" t="s">
        <v>903</v>
      </c>
      <c r="U176" s="1416" t="s">
        <v>904</v>
      </c>
      <c r="V176" s="1416"/>
      <c r="W176" s="1" t="s">
        <v>905</v>
      </c>
      <c r="X176" s="1732" t="s">
        <v>904</v>
      </c>
      <c r="Y176" s="1732"/>
      <c r="BB176" t="s">
        <v>906</v>
      </c>
      <c r="BN176" s="133" t="s">
        <v>907</v>
      </c>
      <c r="BS176">
        <v>5</v>
      </c>
      <c r="BT176" t="s">
        <v>908</v>
      </c>
      <c r="CB176" s="253" t="s">
        <v>891</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890</v>
      </c>
      <c r="CS176" s="228">
        <v>402640</v>
      </c>
      <c r="CT176" s="228">
        <v>464240</v>
      </c>
      <c r="CU176" s="228">
        <v>560000</v>
      </c>
      <c r="CV176" s="228">
        <v>716800</v>
      </c>
      <c r="CW176" s="228">
        <v>798560</v>
      </c>
      <c r="CX176" s="13"/>
      <c r="CY176" s="133" t="s">
        <v>890</v>
      </c>
      <c r="CZ176" s="228">
        <v>402640</v>
      </c>
      <c r="DA176" s="228">
        <v>464240</v>
      </c>
      <c r="DB176" s="228">
        <v>560000</v>
      </c>
      <c r="DC176" s="228">
        <v>716800</v>
      </c>
      <c r="DD176" s="228">
        <v>798560</v>
      </c>
    </row>
    <row r="177" spans="1:108" ht="12.95" customHeight="1">
      <c r="C177" s="20"/>
      <c r="D177" t="s">
        <v>909</v>
      </c>
      <c r="R177" s="1308" t="s">
        <v>700</v>
      </c>
      <c r="S177" s="1308"/>
      <c r="BB177" t="s">
        <v>910</v>
      </c>
      <c r="BN177" s="133" t="s">
        <v>911</v>
      </c>
      <c r="BS177">
        <v>2</v>
      </c>
      <c r="BT177" t="s">
        <v>912</v>
      </c>
      <c r="CB177" s="253" t="s">
        <v>896</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895</v>
      </c>
      <c r="CS177" s="226">
        <v>402640</v>
      </c>
      <c r="CT177" s="226">
        <v>464240</v>
      </c>
      <c r="CU177" s="226">
        <v>560000</v>
      </c>
      <c r="CV177" s="226">
        <v>716800</v>
      </c>
      <c r="CW177" s="226">
        <v>798560</v>
      </c>
      <c r="CX177" s="13"/>
      <c r="CY177" s="133" t="s">
        <v>895</v>
      </c>
      <c r="CZ177" s="226">
        <v>402640</v>
      </c>
      <c r="DA177" s="226">
        <v>464240</v>
      </c>
      <c r="DB177" s="226">
        <v>560000</v>
      </c>
      <c r="DC177" s="226">
        <v>716800</v>
      </c>
      <c r="DD177" s="226">
        <v>798560</v>
      </c>
    </row>
    <row r="178" spans="1:108" ht="12.95" customHeight="1">
      <c r="C178" s="20"/>
      <c r="D178" s="3" t="s">
        <v>913</v>
      </c>
      <c r="AA178" t="s">
        <v>902</v>
      </c>
      <c r="AE178" s="23" t="s">
        <v>903</v>
      </c>
      <c r="AF178" s="1731" t="s">
        <v>904</v>
      </c>
      <c r="AG178" s="1731"/>
      <c r="AH178" s="1" t="s">
        <v>905</v>
      </c>
      <c r="AI178" s="1723" t="s">
        <v>904</v>
      </c>
      <c r="AJ178" s="1723"/>
      <c r="AK178" s="1723"/>
      <c r="BB178" t="s">
        <v>914</v>
      </c>
      <c r="BN178" s="133" t="s">
        <v>915</v>
      </c>
      <c r="BS178">
        <v>7</v>
      </c>
      <c r="BT178" t="s">
        <v>916</v>
      </c>
      <c r="CB178" s="253" t="s">
        <v>900</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899</v>
      </c>
      <c r="CS178" s="228">
        <v>437727</v>
      </c>
      <c r="CT178" s="228">
        <v>504695</v>
      </c>
      <c r="CU178" s="228">
        <v>608800</v>
      </c>
      <c r="CV178" s="228">
        <v>779264</v>
      </c>
      <c r="CW178" s="228">
        <v>868149</v>
      </c>
      <c r="CX178" s="13"/>
      <c r="CY178" s="133" t="s">
        <v>899</v>
      </c>
      <c r="CZ178" s="228">
        <v>437727</v>
      </c>
      <c r="DA178" s="228">
        <v>504695</v>
      </c>
      <c r="DB178" s="228">
        <v>608800</v>
      </c>
      <c r="DC178" s="228">
        <v>779264</v>
      </c>
      <c r="DD178" s="228">
        <v>868149</v>
      </c>
    </row>
    <row r="179" spans="1:108" ht="12.95" customHeight="1">
      <c r="C179" s="20"/>
      <c r="BN179" s="133" t="s">
        <v>917</v>
      </c>
      <c r="BS179">
        <v>7</v>
      </c>
      <c r="BT179" t="s">
        <v>918</v>
      </c>
      <c r="CB179" s="253" t="s">
        <v>908</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907</v>
      </c>
      <c r="CS179" s="226">
        <v>323262</v>
      </c>
      <c r="CT179" s="226">
        <v>372718</v>
      </c>
      <c r="CU179" s="226">
        <v>449600</v>
      </c>
      <c r="CV179" s="226">
        <v>575488</v>
      </c>
      <c r="CW179" s="226">
        <v>641130</v>
      </c>
      <c r="CX179" s="13"/>
      <c r="CY179" s="133" t="s">
        <v>907</v>
      </c>
      <c r="CZ179" s="226">
        <v>323262</v>
      </c>
      <c r="DA179" s="226">
        <v>372718</v>
      </c>
      <c r="DB179" s="226">
        <v>449600</v>
      </c>
      <c r="DC179" s="226">
        <v>575488</v>
      </c>
      <c r="DD179" s="226">
        <v>641130</v>
      </c>
    </row>
    <row r="180" spans="1:108" ht="12.95" customHeight="1">
      <c r="C180" s="20"/>
      <c r="D180" s="3" t="s">
        <v>919</v>
      </c>
      <c r="X180" s="1308" t="s">
        <v>700</v>
      </c>
      <c r="Y180" s="1308"/>
      <c r="BN180" s="133" t="s">
        <v>920</v>
      </c>
      <c r="BS180">
        <v>5</v>
      </c>
      <c r="BT180" t="s">
        <v>921</v>
      </c>
      <c r="CB180" s="253" t="s">
        <v>912</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911</v>
      </c>
      <c r="CS180" s="228">
        <v>406666</v>
      </c>
      <c r="CT180" s="228">
        <v>468882</v>
      </c>
      <c r="CU180" s="228">
        <v>565600</v>
      </c>
      <c r="CV180" s="228">
        <v>723968</v>
      </c>
      <c r="CW180" s="228">
        <v>806546</v>
      </c>
      <c r="CX180" s="13"/>
      <c r="CY180" s="133" t="s">
        <v>911</v>
      </c>
      <c r="CZ180" s="228">
        <v>406666</v>
      </c>
      <c r="DA180" s="228">
        <v>468882</v>
      </c>
      <c r="DB180" s="228">
        <v>565600</v>
      </c>
      <c r="DC180" s="228">
        <v>723968</v>
      </c>
      <c r="DD180" s="228">
        <v>806546</v>
      </c>
    </row>
    <row r="181" spans="1:108" ht="12.95" customHeight="1">
      <c r="C181" s="7"/>
      <c r="E181" s="3" t="s">
        <v>922</v>
      </c>
      <c r="BN181" s="133" t="s">
        <v>923</v>
      </c>
      <c r="BS181">
        <v>7</v>
      </c>
      <c r="BT181" t="s">
        <v>924</v>
      </c>
      <c r="CB181" s="253" t="s">
        <v>916</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915</v>
      </c>
      <c r="CS181" s="226">
        <v>402640</v>
      </c>
      <c r="CT181" s="226">
        <v>464240</v>
      </c>
      <c r="CU181" s="226">
        <v>560000</v>
      </c>
      <c r="CV181" s="226">
        <v>716800</v>
      </c>
      <c r="CW181" s="226">
        <v>798560</v>
      </c>
      <c r="CX181" s="13"/>
      <c r="CY181" s="133" t="s">
        <v>915</v>
      </c>
      <c r="CZ181" s="226">
        <v>402640</v>
      </c>
      <c r="DA181" s="226">
        <v>464240</v>
      </c>
      <c r="DB181" s="226">
        <v>560000</v>
      </c>
      <c r="DC181" s="226">
        <v>716800</v>
      </c>
      <c r="DD181" s="226">
        <v>798560</v>
      </c>
    </row>
    <row r="182" spans="1:108" ht="12.95" customHeight="1">
      <c r="C182" s="430"/>
      <c r="BN182" s="133" t="s">
        <v>925</v>
      </c>
      <c r="BS182">
        <v>7</v>
      </c>
      <c r="BT182" t="s">
        <v>926</v>
      </c>
      <c r="CB182" s="253" t="s">
        <v>918</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917</v>
      </c>
      <c r="CS182" s="228">
        <v>402640</v>
      </c>
      <c r="CT182" s="228">
        <v>464240</v>
      </c>
      <c r="CU182" s="228">
        <v>560000</v>
      </c>
      <c r="CV182" s="228">
        <v>716800</v>
      </c>
      <c r="CW182" s="228">
        <v>798560</v>
      </c>
      <c r="CX182" s="13"/>
      <c r="CY182" s="133" t="s">
        <v>917</v>
      </c>
      <c r="CZ182" s="228">
        <v>402640</v>
      </c>
      <c r="DA182" s="228">
        <v>464240</v>
      </c>
      <c r="DB182" s="228">
        <v>560000</v>
      </c>
      <c r="DC182" s="228">
        <v>716800</v>
      </c>
      <c r="DD182" s="228">
        <v>798560</v>
      </c>
    </row>
    <row r="183" spans="1:108" ht="12.95" customHeight="1">
      <c r="A183" s="2" t="s">
        <v>927</v>
      </c>
      <c r="C183" s="2" t="s">
        <v>93</v>
      </c>
      <c r="BN183" s="133" t="s">
        <v>928</v>
      </c>
      <c r="BS183">
        <v>4</v>
      </c>
      <c r="BT183" t="s">
        <v>929</v>
      </c>
      <c r="CB183" s="253" t="s">
        <v>921</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920</v>
      </c>
      <c r="CS183" s="226">
        <v>323262</v>
      </c>
      <c r="CT183" s="226">
        <v>372718</v>
      </c>
      <c r="CU183" s="226">
        <v>449600</v>
      </c>
      <c r="CV183" s="226">
        <v>575488</v>
      </c>
      <c r="CW183" s="226">
        <v>641130</v>
      </c>
      <c r="CX183" s="13"/>
      <c r="CY183" s="133" t="s">
        <v>920</v>
      </c>
      <c r="CZ183" s="226">
        <v>323262</v>
      </c>
      <c r="DA183" s="226">
        <v>372718</v>
      </c>
      <c r="DB183" s="226">
        <v>449600</v>
      </c>
      <c r="DC183" s="226">
        <v>575488</v>
      </c>
      <c r="DD183" s="226">
        <v>641130</v>
      </c>
    </row>
    <row r="184" spans="1:108" ht="12.95" customHeight="1">
      <c r="C184" s="18"/>
      <c r="D184" t="s">
        <v>930</v>
      </c>
      <c r="I184" s="1423" t="str">
        <f>H18</f>
        <v xml:space="preserve">Baker Street Village RAD </v>
      </c>
      <c r="J184" s="1423"/>
      <c r="K184" s="1423"/>
      <c r="L184" s="1423"/>
      <c r="M184" s="1423"/>
      <c r="N184" s="1423"/>
      <c r="O184" s="1423"/>
      <c r="P184" s="1423"/>
      <c r="Q184" s="1423"/>
      <c r="R184" s="1423"/>
      <c r="S184" s="1423"/>
      <c r="T184" s="1423"/>
      <c r="U184" s="1423"/>
      <c r="V184" s="1423"/>
      <c r="W184" s="1423"/>
      <c r="X184" s="1423"/>
      <c r="Y184" s="1423"/>
      <c r="Z184" s="1423"/>
      <c r="AA184" s="1423"/>
      <c r="AB184" s="1423"/>
      <c r="AC184" s="1423"/>
      <c r="AD184" s="1423"/>
      <c r="AE184" s="1423"/>
      <c r="BC184" t="s">
        <v>931</v>
      </c>
      <c r="BN184" s="133" t="s">
        <v>932</v>
      </c>
      <c r="BS184">
        <v>4</v>
      </c>
      <c r="BT184" t="s">
        <v>933</v>
      </c>
      <c r="CB184" s="253" t="s">
        <v>924</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923</v>
      </c>
      <c r="CS184" s="228">
        <v>402640</v>
      </c>
      <c r="CT184" s="228">
        <v>464240</v>
      </c>
      <c r="CU184" s="228">
        <v>560000</v>
      </c>
      <c r="CV184" s="228">
        <v>716800</v>
      </c>
      <c r="CW184" s="228">
        <v>798560</v>
      </c>
      <c r="CX184" s="13"/>
      <c r="CY184" s="133" t="s">
        <v>923</v>
      </c>
      <c r="CZ184" s="228">
        <v>402640</v>
      </c>
      <c r="DA184" s="228">
        <v>464240</v>
      </c>
      <c r="DB184" s="228">
        <v>560000</v>
      </c>
      <c r="DC184" s="228">
        <v>716800</v>
      </c>
      <c r="DD184" s="228">
        <v>798560</v>
      </c>
    </row>
    <row r="185" spans="1:108" ht="12.95" customHeight="1">
      <c r="C185" s="18"/>
      <c r="D185" t="s">
        <v>934</v>
      </c>
      <c r="I185" s="1439" t="s">
        <v>935</v>
      </c>
      <c r="J185" s="1439"/>
      <c r="K185" s="1439"/>
      <c r="L185" s="1439"/>
      <c r="M185" s="1439"/>
      <c r="N185" s="1439"/>
      <c r="O185" s="1439"/>
      <c r="P185" s="1439"/>
      <c r="Q185" s="1439"/>
      <c r="R185" s="1439"/>
      <c r="S185" s="1439"/>
      <c r="T185" s="1439"/>
      <c r="U185" s="1439"/>
      <c r="V185" s="1439"/>
      <c r="W185" s="1439"/>
      <c r="X185" s="1439"/>
      <c r="Y185" s="1439"/>
      <c r="Z185" s="1439"/>
      <c r="AA185" s="1439"/>
      <c r="AB185" s="1439"/>
      <c r="AC185" s="1439"/>
      <c r="AD185" s="1439"/>
      <c r="AE185" s="1439"/>
      <c r="BC185" t="s">
        <v>936</v>
      </c>
      <c r="BN185" s="133" t="s">
        <v>937</v>
      </c>
      <c r="BS185">
        <v>7</v>
      </c>
      <c r="BT185" t="s">
        <v>938</v>
      </c>
      <c r="CB185" s="253" t="s">
        <v>926</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925</v>
      </c>
      <c r="CS185" s="226">
        <v>402640</v>
      </c>
      <c r="CT185" s="226">
        <v>464240</v>
      </c>
      <c r="CU185" s="226">
        <v>560000</v>
      </c>
      <c r="CV185" s="226">
        <v>716800</v>
      </c>
      <c r="CW185" s="226">
        <v>798560</v>
      </c>
      <c r="CX185" s="13"/>
      <c r="CY185" s="133" t="s">
        <v>925</v>
      </c>
      <c r="CZ185" s="226">
        <v>402640</v>
      </c>
      <c r="DA185" s="226">
        <v>464240</v>
      </c>
      <c r="DB185" s="226">
        <v>560000</v>
      </c>
      <c r="DC185" s="226">
        <v>716800</v>
      </c>
      <c r="DD185" s="226">
        <v>798560</v>
      </c>
    </row>
    <row r="186" spans="1:108" ht="12.95" customHeight="1">
      <c r="C186" s="18"/>
      <c r="E186" t="s">
        <v>939</v>
      </c>
      <c r="BN186" s="133" t="s">
        <v>940</v>
      </c>
      <c r="BS186">
        <v>4</v>
      </c>
      <c r="BT186" t="s">
        <v>941</v>
      </c>
      <c r="CB186" s="253" t="s">
        <v>929</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928</v>
      </c>
      <c r="CS186" s="228">
        <v>442904</v>
      </c>
      <c r="CT186" s="228">
        <v>510664</v>
      </c>
      <c r="CU186" s="228">
        <v>616000</v>
      </c>
      <c r="CV186" s="228">
        <v>788480</v>
      </c>
      <c r="CW186" s="228">
        <v>878416</v>
      </c>
      <c r="CX186" s="13"/>
      <c r="CY186" s="133" t="s">
        <v>928</v>
      </c>
      <c r="CZ186" s="228">
        <v>442904</v>
      </c>
      <c r="DA186" s="228">
        <v>510664</v>
      </c>
      <c r="DB186" s="228">
        <v>616000</v>
      </c>
      <c r="DC186" s="228">
        <v>788480</v>
      </c>
      <c r="DD186" s="228">
        <v>878416</v>
      </c>
    </row>
    <row r="187" spans="1:108" ht="12.95" customHeight="1">
      <c r="C187" s="18"/>
      <c r="E187" s="1749"/>
      <c r="F187" s="1749"/>
      <c r="G187" s="1749"/>
      <c r="H187" s="1749"/>
      <c r="I187" s="1749"/>
      <c r="J187" s="1749"/>
      <c r="K187" s="1749"/>
      <c r="L187" s="1749"/>
      <c r="M187" s="1749"/>
      <c r="N187" s="1749"/>
      <c r="O187" s="1749"/>
      <c r="P187" s="1749"/>
      <c r="Q187" s="1749"/>
      <c r="R187" s="1749"/>
      <c r="S187" s="1749"/>
      <c r="T187" s="1749"/>
      <c r="U187" s="1749"/>
      <c r="V187" s="1749"/>
      <c r="W187" s="1749"/>
      <c r="X187" s="1749"/>
      <c r="Y187" s="1749"/>
      <c r="Z187" s="1749"/>
      <c r="AA187" s="1749"/>
      <c r="AB187" s="1749"/>
      <c r="AC187" s="1749"/>
      <c r="AD187" s="1749"/>
      <c r="AE187" s="1749"/>
      <c r="BN187" s="133" t="s">
        <v>942</v>
      </c>
      <c r="BS187">
        <v>6</v>
      </c>
      <c r="BT187" t="s">
        <v>943</v>
      </c>
      <c r="CB187" s="253" t="s">
        <v>933</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932</v>
      </c>
      <c r="CS187" s="226">
        <v>406666</v>
      </c>
      <c r="CT187" s="226">
        <v>468882</v>
      </c>
      <c r="CU187" s="226">
        <v>565600</v>
      </c>
      <c r="CV187" s="226">
        <v>723968</v>
      </c>
      <c r="CW187" s="226">
        <v>806546</v>
      </c>
      <c r="CX187" s="13"/>
      <c r="CY187" s="133" t="s">
        <v>932</v>
      </c>
      <c r="CZ187" s="226">
        <v>406666</v>
      </c>
      <c r="DA187" s="226">
        <v>468882</v>
      </c>
      <c r="DB187" s="226">
        <v>565600</v>
      </c>
      <c r="DC187" s="226">
        <v>723968</v>
      </c>
      <c r="DD187" s="226">
        <v>806546</v>
      </c>
    </row>
    <row r="188" spans="1:108" ht="12.95" customHeight="1">
      <c r="C188" s="18"/>
      <c r="E188" s="1699"/>
      <c r="F188" s="1699"/>
      <c r="G188" s="1699"/>
      <c r="H188" s="1699"/>
      <c r="I188" s="1699"/>
      <c r="J188" s="1699"/>
      <c r="K188" s="1699"/>
      <c r="L188" s="1699"/>
      <c r="M188" s="1699"/>
      <c r="N188" s="1699"/>
      <c r="O188" s="1699"/>
      <c r="P188" s="1699"/>
      <c r="Q188" s="1699"/>
      <c r="R188" s="1699"/>
      <c r="S188" s="1699"/>
      <c r="T188" s="1699"/>
      <c r="U188" s="1699"/>
      <c r="V188" s="1699"/>
      <c r="W188" s="1699"/>
      <c r="X188" s="1699"/>
      <c r="Y188" s="1699"/>
      <c r="Z188" s="1699"/>
      <c r="AA188" s="1699"/>
      <c r="AB188" s="1699"/>
      <c r="AC188" s="1699"/>
      <c r="AD188" s="1699"/>
      <c r="AE188" s="1699"/>
      <c r="BN188" s="133" t="s">
        <v>944</v>
      </c>
      <c r="BS188">
        <v>7</v>
      </c>
      <c r="BT188" t="s">
        <v>945</v>
      </c>
      <c r="CB188" s="253" t="s">
        <v>938</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937</v>
      </c>
      <c r="CS188" s="228">
        <v>402640</v>
      </c>
      <c r="CT188" s="228">
        <v>464240</v>
      </c>
      <c r="CU188" s="228">
        <v>560000</v>
      </c>
      <c r="CV188" s="228">
        <v>716800</v>
      </c>
      <c r="CW188" s="228">
        <v>798560</v>
      </c>
      <c r="CX188" s="13"/>
      <c r="CY188" s="133" t="s">
        <v>937</v>
      </c>
      <c r="CZ188" s="228">
        <v>402640</v>
      </c>
      <c r="DA188" s="228">
        <v>464240</v>
      </c>
      <c r="DB188" s="228">
        <v>560000</v>
      </c>
      <c r="DC188" s="228">
        <v>716800</v>
      </c>
      <c r="DD188" s="228">
        <v>798560</v>
      </c>
    </row>
    <row r="189" spans="1:108" ht="12.95" customHeight="1">
      <c r="C189" s="18"/>
      <c r="D189" t="s">
        <v>946</v>
      </c>
      <c r="I189" s="1460" t="s">
        <v>801</v>
      </c>
      <c r="J189" s="1428"/>
      <c r="K189" s="1428"/>
      <c r="L189" s="1428"/>
      <c r="M189" s="1428"/>
      <c r="N189" s="1428"/>
      <c r="O189" s="1428"/>
      <c r="P189" s="1428"/>
      <c r="Q189" t="s">
        <v>947</v>
      </c>
      <c r="T189" s="1428" t="s">
        <v>884</v>
      </c>
      <c r="U189" s="1428"/>
      <c r="V189" s="1428"/>
      <c r="W189" s="1428"/>
      <c r="X189" s="1428"/>
      <c r="Y189" s="1428"/>
      <c r="Z189" s="1428"/>
      <c r="AA189" s="1428"/>
      <c r="AB189" s="1428"/>
      <c r="AC189" s="1428"/>
      <c r="AD189" s="1428"/>
      <c r="AE189" s="1428"/>
      <c r="BC189" t="s">
        <v>348</v>
      </c>
      <c r="BH189" s="3" t="s">
        <v>826</v>
      </c>
      <c r="BN189" s="133" t="s">
        <v>948</v>
      </c>
      <c r="BS189">
        <v>5</v>
      </c>
      <c r="BT189" t="s">
        <v>949</v>
      </c>
      <c r="CB189" s="253" t="s">
        <v>941</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940</v>
      </c>
      <c r="CS189" s="226">
        <v>402065</v>
      </c>
      <c r="CT189" s="226">
        <v>463577</v>
      </c>
      <c r="CU189" s="226">
        <v>559200</v>
      </c>
      <c r="CV189" s="226">
        <v>715776</v>
      </c>
      <c r="CW189" s="226">
        <v>797419</v>
      </c>
      <c r="CX189" s="13"/>
      <c r="CY189" s="133" t="s">
        <v>940</v>
      </c>
      <c r="CZ189" s="226">
        <v>402065</v>
      </c>
      <c r="DA189" s="226">
        <v>463577</v>
      </c>
      <c r="DB189" s="226">
        <v>559200</v>
      </c>
      <c r="DC189" s="226">
        <v>715776</v>
      </c>
      <c r="DD189" s="226">
        <v>797419</v>
      </c>
    </row>
    <row r="190" spans="1:108" ht="12.95" customHeight="1">
      <c r="C190" s="18"/>
      <c r="D190" t="s">
        <v>950</v>
      </c>
      <c r="I190" s="1439">
        <v>93305</v>
      </c>
      <c r="J190" s="1439"/>
      <c r="K190" s="1439"/>
      <c r="L190" s="1439"/>
      <c r="M190" s="1439"/>
      <c r="N190" s="1439"/>
      <c r="O190" t="s">
        <v>951</v>
      </c>
      <c r="T190" s="1738">
        <v>13.02</v>
      </c>
      <c r="U190" s="1738"/>
      <c r="V190" s="1738"/>
      <c r="W190" s="1738"/>
      <c r="X190" s="1738"/>
      <c r="Y190" s="1738"/>
      <c r="Z190" s="1738"/>
      <c r="AA190" s="1738"/>
      <c r="AB190" s="1738"/>
      <c r="AC190" s="1738"/>
      <c r="AD190" s="1738"/>
      <c r="AE190" s="1738"/>
      <c r="BC190" t="s">
        <v>952</v>
      </c>
      <c r="BH190" t="s">
        <v>952</v>
      </c>
      <c r="BN190" s="133" t="s">
        <v>953</v>
      </c>
      <c r="BS190">
        <v>6</v>
      </c>
      <c r="BT190" t="s">
        <v>954</v>
      </c>
      <c r="CB190" s="253" t="s">
        <v>943</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942</v>
      </c>
      <c r="CS190" s="228">
        <v>360075</v>
      </c>
      <c r="CT190" s="228">
        <v>415163</v>
      </c>
      <c r="CU190" s="228">
        <v>500800</v>
      </c>
      <c r="CV190" s="228">
        <v>641024</v>
      </c>
      <c r="CW190" s="228">
        <v>714141</v>
      </c>
      <c r="CX190" s="13"/>
      <c r="CY190" s="133" t="s">
        <v>942</v>
      </c>
      <c r="CZ190" s="228">
        <v>360075</v>
      </c>
      <c r="DA190" s="228">
        <v>415163</v>
      </c>
      <c r="DB190" s="228">
        <v>500800</v>
      </c>
      <c r="DC190" s="228">
        <v>641024</v>
      </c>
      <c r="DD190" s="228">
        <v>714141</v>
      </c>
    </row>
    <row r="191" spans="1:108" ht="12.95" customHeight="1">
      <c r="C191" s="18"/>
      <c r="D191" t="s">
        <v>955</v>
      </c>
      <c r="N191" s="1749" t="s">
        <v>956</v>
      </c>
      <c r="O191" s="1749"/>
      <c r="P191" s="1749"/>
      <c r="Q191" s="1749"/>
      <c r="R191" s="1749"/>
      <c r="S191" s="1749"/>
      <c r="T191" s="1749"/>
      <c r="U191" s="1749"/>
      <c r="V191" s="1749"/>
      <c r="W191" s="1749"/>
      <c r="X191" s="1749"/>
      <c r="Y191" s="1749"/>
      <c r="Z191" s="1749"/>
      <c r="AA191" s="1749"/>
      <c r="AB191" s="1749"/>
      <c r="AC191" s="1749"/>
      <c r="AD191" s="1749"/>
      <c r="AE191" s="1749"/>
      <c r="BC191" t="s">
        <v>957</v>
      </c>
      <c r="BH191" t="s">
        <v>957</v>
      </c>
      <c r="BN191" s="133" t="s">
        <v>958</v>
      </c>
      <c r="BS191">
        <v>4</v>
      </c>
      <c r="BT191" t="s">
        <v>959</v>
      </c>
      <c r="CB191" s="253" t="s">
        <v>945</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944</v>
      </c>
      <c r="CS191" s="226">
        <v>402640</v>
      </c>
      <c r="CT191" s="226">
        <v>464240</v>
      </c>
      <c r="CU191" s="226">
        <v>560000</v>
      </c>
      <c r="CV191" s="226">
        <v>716800</v>
      </c>
      <c r="CW191" s="226">
        <v>798560</v>
      </c>
      <c r="CX191" s="13"/>
      <c r="CY191" s="133" t="s">
        <v>944</v>
      </c>
      <c r="CZ191" s="226">
        <v>402640</v>
      </c>
      <c r="DA191" s="226">
        <v>464240</v>
      </c>
      <c r="DB191" s="226">
        <v>560000</v>
      </c>
      <c r="DC191" s="226">
        <v>716800</v>
      </c>
      <c r="DD191" s="226">
        <v>798560</v>
      </c>
    </row>
    <row r="192" spans="1:108" ht="12.95" customHeight="1">
      <c r="C192" s="18"/>
      <c r="M192" s="32"/>
      <c r="N192" s="1699"/>
      <c r="O192" s="1699"/>
      <c r="P192" s="1699"/>
      <c r="Q192" s="1699"/>
      <c r="R192" s="1699"/>
      <c r="S192" s="1699"/>
      <c r="T192" s="1699"/>
      <c r="U192" s="1699"/>
      <c r="V192" s="1699"/>
      <c r="W192" s="1699"/>
      <c r="X192" s="1699"/>
      <c r="Y192" s="1699"/>
      <c r="Z192" s="1699"/>
      <c r="AA192" s="1699"/>
      <c r="AB192" s="1699"/>
      <c r="AC192" s="1699"/>
      <c r="AD192" s="1699"/>
      <c r="AE192" s="1699"/>
      <c r="BC192" t="s">
        <v>960</v>
      </c>
      <c r="BH192" s="3" t="s">
        <v>961</v>
      </c>
      <c r="BN192" s="133" t="s">
        <v>962</v>
      </c>
      <c r="BS192">
        <v>5</v>
      </c>
      <c r="BT192" t="s">
        <v>963</v>
      </c>
      <c r="CB192" s="253" t="s">
        <v>949</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948</v>
      </c>
      <c r="CS192" s="228">
        <v>381933</v>
      </c>
      <c r="CT192" s="228">
        <v>440365</v>
      </c>
      <c r="CU192" s="228">
        <v>531200</v>
      </c>
      <c r="CV192" s="228">
        <v>679936</v>
      </c>
      <c r="CW192" s="228">
        <v>757491</v>
      </c>
      <c r="CX192" s="13"/>
      <c r="CY192" s="133" t="s">
        <v>948</v>
      </c>
      <c r="CZ192" s="228">
        <v>381933</v>
      </c>
      <c r="DA192" s="228">
        <v>440365</v>
      </c>
      <c r="DB192" s="228">
        <v>531200</v>
      </c>
      <c r="DC192" s="228">
        <v>679936</v>
      </c>
      <c r="DD192" s="228">
        <v>757491</v>
      </c>
    </row>
    <row r="193" spans="1:108" ht="12.95" customHeight="1">
      <c r="C193" s="18"/>
      <c r="D193" t="s">
        <v>964</v>
      </c>
      <c r="M193" s="32"/>
      <c r="N193" s="786"/>
      <c r="O193" s="786"/>
      <c r="P193" s="786"/>
      <c r="Q193" s="786"/>
      <c r="R193" s="786"/>
      <c r="S193" s="786"/>
      <c r="T193" s="1741" t="s">
        <v>910</v>
      </c>
      <c r="U193" s="1741"/>
      <c r="V193" s="1741"/>
      <c r="W193" s="1741"/>
      <c r="X193" s="1741"/>
      <c r="Y193" s="1741"/>
      <c r="Z193" s="1741"/>
      <c r="AA193" s="1741"/>
      <c r="AB193" s="1741"/>
      <c r="AC193" s="1741"/>
      <c r="AD193" s="1741"/>
      <c r="AE193" s="1741"/>
      <c r="AF193" s="1741"/>
      <c r="AG193" s="1741"/>
      <c r="AH193" s="1741"/>
      <c r="AI193" s="1741"/>
      <c r="BC193" t="s">
        <v>965</v>
      </c>
      <c r="BH193" s="3" t="s">
        <v>966</v>
      </c>
      <c r="BN193" s="133" t="s">
        <v>967</v>
      </c>
      <c r="BS193">
        <v>4</v>
      </c>
      <c r="BT193" t="s">
        <v>968</v>
      </c>
      <c r="CB193" s="253" t="s">
        <v>954</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953</v>
      </c>
      <c r="CS193" s="226">
        <v>360075</v>
      </c>
      <c r="CT193" s="226">
        <v>415163</v>
      </c>
      <c r="CU193" s="226">
        <v>500800</v>
      </c>
      <c r="CV193" s="226">
        <v>641024</v>
      </c>
      <c r="CW193" s="226">
        <v>714141</v>
      </c>
      <c r="CX193" s="13"/>
      <c r="CY193" s="133" t="s">
        <v>953</v>
      </c>
      <c r="CZ193" s="226">
        <v>360075</v>
      </c>
      <c r="DA193" s="226">
        <v>415163</v>
      </c>
      <c r="DB193" s="226">
        <v>500800</v>
      </c>
      <c r="DC193" s="226">
        <v>641024</v>
      </c>
      <c r="DD193" s="226">
        <v>714141</v>
      </c>
    </row>
    <row r="194" spans="1:108" ht="12.95" customHeight="1">
      <c r="C194" s="18"/>
      <c r="D194" s="3" t="s">
        <v>969</v>
      </c>
      <c r="M194" s="32"/>
      <c r="N194" s="786"/>
      <c r="O194" s="786"/>
      <c r="P194" s="786"/>
      <c r="Q194" s="786"/>
      <c r="R194" s="786"/>
      <c r="S194" s="786"/>
      <c r="AH194" s="1308" t="s">
        <v>700</v>
      </c>
      <c r="AI194" s="1308"/>
      <c r="BC194" t="s">
        <v>961</v>
      </c>
      <c r="BN194" s="133" t="s">
        <v>970</v>
      </c>
      <c r="BS194">
        <v>2</v>
      </c>
      <c r="BT194" t="s">
        <v>971</v>
      </c>
      <c r="CB194" s="253" t="s">
        <v>959</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958</v>
      </c>
      <c r="CS194" s="228">
        <v>402640</v>
      </c>
      <c r="CT194" s="228">
        <v>464240</v>
      </c>
      <c r="CU194" s="228">
        <v>560000</v>
      </c>
      <c r="CV194" s="228">
        <v>716800</v>
      </c>
      <c r="CW194" s="228">
        <v>798560</v>
      </c>
      <c r="CX194" s="13"/>
      <c r="CY194" s="133" t="s">
        <v>958</v>
      </c>
      <c r="CZ194" s="228">
        <v>402640</v>
      </c>
      <c r="DA194" s="228">
        <v>464240</v>
      </c>
      <c r="DB194" s="228">
        <v>560000</v>
      </c>
      <c r="DC194" s="228">
        <v>716800</v>
      </c>
      <c r="DD194" s="228">
        <v>798560</v>
      </c>
    </row>
    <row r="195" spans="1:108" ht="12.95" customHeight="1">
      <c r="C195" s="18"/>
      <c r="D195" t="s">
        <v>972</v>
      </c>
      <c r="T195" s="1308" t="s">
        <v>700</v>
      </c>
      <c r="U195" s="1308"/>
      <c r="W195" t="s">
        <v>973</v>
      </c>
      <c r="AH195" s="1308">
        <v>22</v>
      </c>
      <c r="AI195" s="1308"/>
      <c r="BC195" t="s">
        <v>974</v>
      </c>
      <c r="BN195" s="133" t="s">
        <v>975</v>
      </c>
      <c r="BS195">
        <v>6</v>
      </c>
      <c r="BT195" t="s">
        <v>976</v>
      </c>
      <c r="CB195" s="253" t="s">
        <v>963</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962</v>
      </c>
      <c r="CS195" s="226">
        <v>381933</v>
      </c>
      <c r="CT195" s="226">
        <v>440365</v>
      </c>
      <c r="CU195" s="226">
        <v>531200</v>
      </c>
      <c r="CV195" s="226">
        <v>679936</v>
      </c>
      <c r="CW195" s="226">
        <v>757491</v>
      </c>
      <c r="CX195" s="13"/>
      <c r="CY195" s="133" t="s">
        <v>962</v>
      </c>
      <c r="CZ195" s="226">
        <v>381933</v>
      </c>
      <c r="DA195" s="226">
        <v>440365</v>
      </c>
      <c r="DB195" s="226">
        <v>531200</v>
      </c>
      <c r="DC195" s="226">
        <v>679936</v>
      </c>
      <c r="DD195" s="226">
        <v>757491</v>
      </c>
    </row>
    <row r="196" spans="1:108" ht="12.95" customHeight="1">
      <c r="C196" s="18"/>
      <c r="D196" t="s">
        <v>977</v>
      </c>
      <c r="T196" s="1492" t="s">
        <v>860</v>
      </c>
      <c r="U196" s="1492"/>
      <c r="W196" t="s">
        <v>978</v>
      </c>
      <c r="AH196" s="1308">
        <v>35</v>
      </c>
      <c r="AI196" s="1308"/>
      <c r="BN196" s="133" t="s">
        <v>979</v>
      </c>
      <c r="BS196">
        <v>4</v>
      </c>
      <c r="BT196" t="s">
        <v>980</v>
      </c>
      <c r="CB196" s="253" t="s">
        <v>968</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967</v>
      </c>
      <c r="CS196" s="228">
        <v>392286</v>
      </c>
      <c r="CT196" s="228">
        <v>452302</v>
      </c>
      <c r="CU196" s="228">
        <v>545600</v>
      </c>
      <c r="CV196" s="228">
        <v>698368</v>
      </c>
      <c r="CW196" s="228">
        <v>778026</v>
      </c>
      <c r="CX196" s="13"/>
      <c r="CY196" s="133" t="s">
        <v>967</v>
      </c>
      <c r="CZ196" s="228">
        <v>392286</v>
      </c>
      <c r="DA196" s="228">
        <v>452302</v>
      </c>
      <c r="DB196" s="228">
        <v>545600</v>
      </c>
      <c r="DC196" s="228">
        <v>698368</v>
      </c>
      <c r="DD196" s="228">
        <v>778026</v>
      </c>
    </row>
    <row r="197" spans="1:108" ht="12.95" customHeight="1">
      <c r="C197" s="18"/>
      <c r="D197" s="3" t="s">
        <v>981</v>
      </c>
      <c r="T197" s="1492" t="s">
        <v>700</v>
      </c>
      <c r="U197" s="1492"/>
      <c r="W197" t="s">
        <v>982</v>
      </c>
      <c r="AH197" s="1308">
        <v>16</v>
      </c>
      <c r="AI197" s="1308"/>
      <c r="BC197" t="s">
        <v>348</v>
      </c>
      <c r="BN197" s="133" t="s">
        <v>983</v>
      </c>
      <c r="BS197">
        <v>2</v>
      </c>
      <c r="BT197" t="s">
        <v>984</v>
      </c>
      <c r="CB197" s="253" t="s">
        <v>971</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970</v>
      </c>
      <c r="CS197" s="226">
        <v>694266</v>
      </c>
      <c r="CT197" s="226">
        <v>800482</v>
      </c>
      <c r="CU197" s="226">
        <v>965600</v>
      </c>
      <c r="CV197" s="226">
        <v>1235968</v>
      </c>
      <c r="CW197" s="226">
        <v>1376946</v>
      </c>
      <c r="CX197" s="13"/>
      <c r="CY197" s="133" t="s">
        <v>970</v>
      </c>
      <c r="CZ197" s="226">
        <v>694266</v>
      </c>
      <c r="DA197" s="226">
        <v>800482</v>
      </c>
      <c r="DB197" s="226">
        <v>965600</v>
      </c>
      <c r="DC197" s="226">
        <v>1235968</v>
      </c>
      <c r="DD197" s="226">
        <v>1376946</v>
      </c>
    </row>
    <row r="198" spans="1:108" s="13" customFormat="1" ht="12.95" customHeight="1">
      <c r="A198"/>
      <c r="B198"/>
      <c r="C198" s="18"/>
      <c r="D198" s="3" t="s">
        <v>985</v>
      </c>
      <c r="E198"/>
      <c r="F198"/>
      <c r="G198"/>
      <c r="H198"/>
      <c r="I198"/>
      <c r="J198"/>
      <c r="K198"/>
      <c r="L198"/>
      <c r="M198"/>
      <c r="N198"/>
      <c r="O198"/>
      <c r="P198"/>
      <c r="Q198"/>
      <c r="R198"/>
      <c r="S198"/>
      <c r="T198" s="1492">
        <v>0</v>
      </c>
      <c r="U198" s="1492"/>
      <c r="V198"/>
      <c r="X198" s="1458" t="s">
        <v>986</v>
      </c>
      <c r="Y198" s="1458"/>
      <c r="Z198" s="1458"/>
      <c r="AA198" s="1458"/>
      <c r="AB198" s="1458"/>
      <c r="AC198" s="1458"/>
      <c r="AD198" s="1458"/>
      <c r="AE198" s="1458"/>
      <c r="AF198" s="1458"/>
      <c r="AG198" s="1458"/>
      <c r="AH198" s="1458"/>
      <c r="AI198" s="1458"/>
      <c r="AJ198" s="1458"/>
      <c r="AK198" s="1458"/>
      <c r="AL198" s="1458"/>
      <c r="AM198" s="1458"/>
      <c r="AN198" s="1458"/>
      <c r="AO198" s="1458"/>
      <c r="AP198" s="1458"/>
      <c r="AQ198" s="1458"/>
      <c r="AR198" s="1458"/>
      <c r="AS198" s="1458"/>
      <c r="AT198" s="1458"/>
      <c r="AU198"/>
      <c r="AV198"/>
      <c r="AW198"/>
      <c r="AX198"/>
      <c r="AY198"/>
      <c r="AZ198" s="25"/>
      <c r="BA198" s="25"/>
      <c r="BC198" s="13" t="s">
        <v>826</v>
      </c>
      <c r="BD198"/>
      <c r="BN198" s="133" t="s">
        <v>987</v>
      </c>
      <c r="BO198"/>
      <c r="BP198"/>
      <c r="BQ198"/>
      <c r="BR198"/>
      <c r="BS198">
        <v>4</v>
      </c>
      <c r="BT198" t="s">
        <v>988</v>
      </c>
      <c r="BU198"/>
      <c r="BV198" s="26"/>
      <c r="CB198" s="253" t="s">
        <v>976</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975</v>
      </c>
      <c r="CS198" s="228">
        <v>323262</v>
      </c>
      <c r="CT198" s="228">
        <v>372718</v>
      </c>
      <c r="CU198" s="228">
        <v>449600</v>
      </c>
      <c r="CV198" s="228">
        <v>575488</v>
      </c>
      <c r="CW198" s="228">
        <v>641130</v>
      </c>
      <c r="CY198" s="133" t="s">
        <v>975</v>
      </c>
      <c r="CZ198" s="228">
        <v>323262</v>
      </c>
      <c r="DA198" s="228">
        <v>372718</v>
      </c>
      <c r="DB198" s="228">
        <v>449600</v>
      </c>
      <c r="DC198" s="228">
        <v>575488</v>
      </c>
      <c r="DD198" s="228">
        <v>641130</v>
      </c>
    </row>
    <row r="199" spans="1:108" s="13" customFormat="1" ht="12.95" customHeight="1">
      <c r="A199"/>
      <c r="B199"/>
      <c r="C199" s="18"/>
      <c r="D199" s="84" t="s">
        <v>989</v>
      </c>
      <c r="E199"/>
      <c r="F199"/>
      <c r="G199"/>
      <c r="H199"/>
      <c r="I199"/>
      <c r="J199"/>
      <c r="K199"/>
      <c r="L199"/>
      <c r="M199"/>
      <c r="N199"/>
      <c r="O199"/>
      <c r="P199"/>
      <c r="Q199"/>
      <c r="R199"/>
      <c r="S199"/>
      <c r="T199" s="1308" t="s">
        <v>700</v>
      </c>
      <c r="U199" s="1308"/>
      <c r="V199"/>
      <c r="W199"/>
      <c r="X199" s="1458"/>
      <c r="Y199" s="1458"/>
      <c r="Z199" s="1458"/>
      <c r="AA199" s="1458"/>
      <c r="AB199" s="1458"/>
      <c r="AC199" s="1458"/>
      <c r="AD199" s="1458"/>
      <c r="AE199" s="1458"/>
      <c r="AF199" s="1458"/>
      <c r="AG199" s="1458"/>
      <c r="AH199" s="1458"/>
      <c r="AI199" s="1458"/>
      <c r="AJ199" s="1458"/>
      <c r="AK199" s="1458"/>
      <c r="AL199" s="1458"/>
      <c r="AM199" s="1458"/>
      <c r="AN199" s="1458"/>
      <c r="AO199" s="1458"/>
      <c r="AP199" s="1458"/>
      <c r="AQ199" s="1458"/>
      <c r="AR199" s="1458"/>
      <c r="AS199" s="1458"/>
      <c r="AT199" s="1458"/>
      <c r="AU199"/>
      <c r="AV199"/>
      <c r="AW199"/>
      <c r="AX199"/>
      <c r="AY199"/>
      <c r="AZ199" s="25"/>
      <c r="BA199" s="25"/>
      <c r="BC199" t="s">
        <v>813</v>
      </c>
      <c r="BD199"/>
      <c r="BN199" s="133" t="s">
        <v>990</v>
      </c>
      <c r="BO199"/>
      <c r="BP199"/>
      <c r="BQ199"/>
      <c r="BR199"/>
      <c r="BS199">
        <v>2</v>
      </c>
      <c r="BT199" s="27" t="s">
        <v>991</v>
      </c>
      <c r="BU199"/>
      <c r="BV199" s="26"/>
      <c r="CB199" s="253" t="s">
        <v>980</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979</v>
      </c>
      <c r="CS199" s="226">
        <v>442904</v>
      </c>
      <c r="CT199" s="226">
        <v>510664</v>
      </c>
      <c r="CU199" s="226">
        <v>616000</v>
      </c>
      <c r="CV199" s="226">
        <v>788480</v>
      </c>
      <c r="CW199" s="226">
        <v>878416</v>
      </c>
      <c r="CY199" s="133" t="s">
        <v>979</v>
      </c>
      <c r="CZ199" s="226">
        <v>442904</v>
      </c>
      <c r="DA199" s="226">
        <v>510664</v>
      </c>
      <c r="DB199" s="226">
        <v>616000</v>
      </c>
      <c r="DC199" s="226">
        <v>788480</v>
      </c>
      <c r="DD199" s="226">
        <v>878416</v>
      </c>
    </row>
    <row r="200" spans="1:108" s="13" customFormat="1" ht="12.95" customHeight="1">
      <c r="A200"/>
      <c r="B200"/>
      <c r="C200" s="18"/>
      <c r="D200" s="13" t="s">
        <v>992</v>
      </c>
      <c r="T200" s="1308" t="s">
        <v>700</v>
      </c>
      <c r="U200" s="1308"/>
      <c r="V200"/>
      <c r="W200"/>
      <c r="X200"/>
      <c r="Y200"/>
      <c r="AA200"/>
      <c r="AB200" s="1073" t="s">
        <v>993</v>
      </c>
      <c r="AC200"/>
      <c r="AF200"/>
      <c r="AG200"/>
      <c r="AH200" s="1"/>
      <c r="AJ200"/>
      <c r="AK200"/>
      <c r="AL200"/>
      <c r="AM200"/>
      <c r="AN200"/>
      <c r="AO200"/>
      <c r="AP200"/>
      <c r="AQ200"/>
      <c r="AR200"/>
      <c r="AS200"/>
      <c r="AU200"/>
      <c r="AV200"/>
      <c r="AW200"/>
      <c r="AX200"/>
      <c r="AY200"/>
      <c r="AZ200" s="25"/>
      <c r="BA200" s="25"/>
      <c r="BC200" s="3" t="s">
        <v>994</v>
      </c>
      <c r="BD200" s="339"/>
      <c r="BN200" s="133" t="s">
        <v>995</v>
      </c>
      <c r="BO200"/>
      <c r="BP200"/>
      <c r="BQ200"/>
      <c r="BR200"/>
      <c r="BS200">
        <v>2</v>
      </c>
      <c r="BT200" s="27" t="s">
        <v>996</v>
      </c>
      <c r="BU200"/>
      <c r="CB200" s="253" t="s">
        <v>984</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983</v>
      </c>
      <c r="CS200" s="227">
        <v>532060</v>
      </c>
      <c r="CT200" s="227">
        <v>613460</v>
      </c>
      <c r="CU200" s="228">
        <v>740000</v>
      </c>
      <c r="CV200" s="227">
        <v>947200</v>
      </c>
      <c r="CW200" s="227">
        <v>1055240</v>
      </c>
      <c r="CY200" s="133" t="s">
        <v>983</v>
      </c>
      <c r="CZ200" s="227">
        <v>532060</v>
      </c>
      <c r="DA200" s="227">
        <v>613460</v>
      </c>
      <c r="DB200" s="227">
        <v>740000</v>
      </c>
      <c r="DC200" s="227">
        <v>947200</v>
      </c>
      <c r="DD200" s="227">
        <v>1055240</v>
      </c>
    </row>
    <row r="201" spans="1:108" s="13" customFormat="1" ht="12.95" customHeight="1">
      <c r="A201"/>
      <c r="B201"/>
      <c r="C201" s="18"/>
      <c r="E201" s="3" t="s">
        <v>997</v>
      </c>
      <c r="V201"/>
      <c r="X201"/>
      <c r="Y201"/>
      <c r="Z201"/>
      <c r="AB201" s="1073" t="s">
        <v>998</v>
      </c>
      <c r="AC201"/>
      <c r="AH201" s="1"/>
      <c r="AJ201"/>
      <c r="AK201"/>
      <c r="AL201"/>
      <c r="AM201"/>
      <c r="AN201"/>
      <c r="AO201"/>
      <c r="AP201"/>
      <c r="AQ201"/>
      <c r="AR201"/>
      <c r="AS201"/>
      <c r="AU201"/>
      <c r="AV201"/>
      <c r="AW201"/>
      <c r="AX201"/>
      <c r="AY201"/>
      <c r="AZ201" s="25"/>
      <c r="BA201" s="25"/>
      <c r="BC201" s="3" t="s">
        <v>999</v>
      </c>
      <c r="BD201" s="339"/>
      <c r="BN201" s="133" t="s">
        <v>1000</v>
      </c>
      <c r="BO201" s="26"/>
      <c r="BP201" s="27"/>
      <c r="BQ201" s="27"/>
      <c r="BR201" s="27"/>
      <c r="BS201">
        <v>6</v>
      </c>
      <c r="BT201" s="27" t="s">
        <v>1001</v>
      </c>
      <c r="BU201"/>
      <c r="CB201" s="253" t="s">
        <v>988</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987</v>
      </c>
      <c r="CS201" s="226">
        <v>442904</v>
      </c>
      <c r="CT201" s="226">
        <v>510664</v>
      </c>
      <c r="CU201" s="226">
        <v>616000</v>
      </c>
      <c r="CV201" s="226">
        <v>788480</v>
      </c>
      <c r="CW201" s="226">
        <v>878416</v>
      </c>
      <c r="CY201" s="133" t="s">
        <v>987</v>
      </c>
      <c r="CZ201" s="226">
        <v>442904</v>
      </c>
      <c r="DA201" s="226">
        <v>510664</v>
      </c>
      <c r="DB201" s="226">
        <v>616000</v>
      </c>
      <c r="DC201" s="226">
        <v>788480</v>
      </c>
      <c r="DD201" s="226">
        <v>878416</v>
      </c>
    </row>
    <row r="202" spans="1:108" ht="12.95" customHeight="1">
      <c r="C202" s="18"/>
      <c r="AE202" s="7"/>
      <c r="BC202" t="s">
        <v>1002</v>
      </c>
      <c r="BD202" s="339"/>
      <c r="BN202" s="133" t="s">
        <v>1003</v>
      </c>
      <c r="BO202" s="13"/>
      <c r="BP202" s="27"/>
      <c r="BQ202" s="27"/>
      <c r="BR202" s="27"/>
      <c r="BS202">
        <v>7</v>
      </c>
      <c r="BT202" s="27" t="s">
        <v>1004</v>
      </c>
      <c r="CB202" s="253" t="s">
        <v>991</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990</v>
      </c>
      <c r="CS202" s="227">
        <v>532060</v>
      </c>
      <c r="CT202" s="227">
        <v>613460</v>
      </c>
      <c r="CU202" s="227">
        <v>740000</v>
      </c>
      <c r="CV202" s="227">
        <v>947200</v>
      </c>
      <c r="CW202" s="227">
        <v>1055240</v>
      </c>
      <c r="CX202" s="13"/>
      <c r="CY202" s="133" t="s">
        <v>990</v>
      </c>
      <c r="CZ202" s="227">
        <v>532060</v>
      </c>
      <c r="DA202" s="227">
        <v>613460</v>
      </c>
      <c r="DB202" s="227">
        <v>740000</v>
      </c>
      <c r="DC202" s="227">
        <v>947200</v>
      </c>
      <c r="DD202" s="227">
        <v>1055240</v>
      </c>
    </row>
    <row r="203" spans="1:108" ht="12.95" customHeight="1">
      <c r="A203" s="2" t="s">
        <v>1005</v>
      </c>
      <c r="C203" s="2" t="s">
        <v>1006</v>
      </c>
      <c r="BC203" t="s">
        <v>1007</v>
      </c>
      <c r="BN203" s="133" t="s">
        <v>1008</v>
      </c>
      <c r="BO203" s="13"/>
      <c r="BP203" s="27"/>
      <c r="BQ203" s="27"/>
      <c r="BR203" s="27"/>
      <c r="BS203">
        <v>7</v>
      </c>
      <c r="BT203" s="27" t="s">
        <v>1009</v>
      </c>
      <c r="CB203" s="253" t="s">
        <v>996</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995</v>
      </c>
      <c r="CS203" s="226">
        <v>442904</v>
      </c>
      <c r="CT203" s="226">
        <v>510664</v>
      </c>
      <c r="CU203" s="226">
        <v>616000</v>
      </c>
      <c r="CV203" s="226">
        <v>788480</v>
      </c>
      <c r="CW203" s="226">
        <v>878416</v>
      </c>
      <c r="CX203" s="13"/>
      <c r="CY203" s="133" t="s">
        <v>995</v>
      </c>
      <c r="CZ203" s="226">
        <v>442904</v>
      </c>
      <c r="DA203" s="226">
        <v>510664</v>
      </c>
      <c r="DB203" s="226">
        <v>616000</v>
      </c>
      <c r="DC203" s="226">
        <v>788480</v>
      </c>
      <c r="DD203" s="226">
        <v>878416</v>
      </c>
    </row>
    <row r="204" spans="1:108" ht="12.95" customHeight="1">
      <c r="D204" s="1423" t="s">
        <v>1010</v>
      </c>
      <c r="E204" s="1423"/>
      <c r="F204" s="1423"/>
      <c r="G204" s="1423"/>
      <c r="H204" s="1423"/>
      <c r="I204" s="1423"/>
      <c r="J204" s="1423"/>
      <c r="K204" s="1423"/>
      <c r="L204" s="1423"/>
      <c r="M204" s="1423"/>
      <c r="P204" s="1461">
        <f>M26</f>
        <v>761198</v>
      </c>
      <c r="Q204" s="1730"/>
      <c r="R204" s="1730"/>
      <c r="S204" s="1730"/>
      <c r="T204" s="1730"/>
      <c r="U204" s="1730"/>
      <c r="BC204" t="s">
        <v>1011</v>
      </c>
      <c r="BN204" s="133" t="s">
        <v>1012</v>
      </c>
      <c r="BS204">
        <v>6</v>
      </c>
      <c r="BT204" s="27" t="s">
        <v>1013</v>
      </c>
      <c r="BU204" s="13"/>
      <c r="CB204" s="253" t="s">
        <v>1001</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1000</v>
      </c>
      <c r="CS204" s="228">
        <v>369278</v>
      </c>
      <c r="CT204" s="228">
        <v>425774</v>
      </c>
      <c r="CU204" s="228">
        <v>513600</v>
      </c>
      <c r="CV204" s="228">
        <v>657408</v>
      </c>
      <c r="CW204" s="228">
        <v>732394</v>
      </c>
      <c r="CX204" s="13"/>
      <c r="CY204" s="133" t="s">
        <v>1000</v>
      </c>
      <c r="CZ204" s="228">
        <v>369278</v>
      </c>
      <c r="DA204" s="228">
        <v>425774</v>
      </c>
      <c r="DB204" s="228">
        <v>513600</v>
      </c>
      <c r="DC204" s="228">
        <v>657408</v>
      </c>
      <c r="DD204" s="228">
        <v>732394</v>
      </c>
    </row>
    <row r="205" spans="1:108" ht="12.95" customHeight="1">
      <c r="C205" s="18"/>
      <c r="D205" s="1728" t="s">
        <v>1014</v>
      </c>
      <c r="E205" s="1423"/>
      <c r="F205" s="1423"/>
      <c r="G205" s="1423"/>
      <c r="H205" s="1423"/>
      <c r="I205" s="1423"/>
      <c r="J205" s="1423"/>
      <c r="K205" s="1423"/>
      <c r="L205" s="1423"/>
      <c r="M205" s="1423"/>
      <c r="P205" s="1730">
        <f>M27</f>
        <v>0</v>
      </c>
      <c r="Q205" s="1730"/>
      <c r="R205" s="1730"/>
      <c r="S205" s="1730"/>
      <c r="T205" s="1730"/>
      <c r="U205" s="1730"/>
      <c r="V205" s="19"/>
      <c r="W205" s="3" t="s">
        <v>1015</v>
      </c>
      <c r="Z205" s="1753" t="s">
        <v>1016</v>
      </c>
      <c r="AA205" s="1753"/>
      <c r="AB205" s="1753"/>
      <c r="AC205" s="1753"/>
      <c r="AD205" s="1753"/>
      <c r="AE205" s="1753"/>
      <c r="AF205" s="1753"/>
      <c r="AG205" s="1753"/>
      <c r="AH205" s="1753"/>
      <c r="AI205" s="1753"/>
      <c r="AJ205" s="1753"/>
      <c r="AK205" s="1753"/>
      <c r="AL205" s="1753"/>
      <c r="AM205" s="1753"/>
      <c r="AN205" s="1753"/>
      <c r="AP205" s="1307"/>
      <c r="AQ205" s="1307"/>
      <c r="BC205" t="s">
        <v>1017</v>
      </c>
      <c r="BN205" s="133" t="s">
        <v>1018</v>
      </c>
      <c r="BS205">
        <v>4</v>
      </c>
      <c r="BT205" s="27" t="s">
        <v>1019</v>
      </c>
      <c r="BU205" s="13"/>
      <c r="CB205" s="253" t="s">
        <v>1004</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1003</v>
      </c>
      <c r="CS205" s="226">
        <v>402640</v>
      </c>
      <c r="CT205" s="226">
        <v>464240</v>
      </c>
      <c r="CU205" s="226">
        <v>560000</v>
      </c>
      <c r="CV205" s="226">
        <v>716800</v>
      </c>
      <c r="CW205" s="226">
        <v>798560</v>
      </c>
      <c r="CX205" s="13"/>
      <c r="CY205" s="133" t="s">
        <v>1003</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1020</v>
      </c>
      <c r="BN206" s="133" t="s">
        <v>1021</v>
      </c>
      <c r="BS206">
        <v>5</v>
      </c>
      <c r="BT206" s="27" t="s">
        <v>1022</v>
      </c>
      <c r="BU206" s="13"/>
      <c r="CB206" s="253" t="s">
        <v>1009</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1008</v>
      </c>
      <c r="CS206" s="228">
        <v>402640</v>
      </c>
      <c r="CT206" s="228">
        <v>464240</v>
      </c>
      <c r="CU206" s="228">
        <v>560000</v>
      </c>
      <c r="CV206" s="228">
        <v>716800</v>
      </c>
      <c r="CW206" s="228">
        <v>798560</v>
      </c>
      <c r="CX206" s="13"/>
      <c r="CY206" s="133" t="s">
        <v>1008</v>
      </c>
      <c r="CZ206" s="228">
        <v>402640</v>
      </c>
      <c r="DA206" s="228">
        <v>464240</v>
      </c>
      <c r="DB206" s="228">
        <v>560000</v>
      </c>
      <c r="DC206" s="228">
        <v>716800</v>
      </c>
      <c r="DD206" s="228">
        <v>798560</v>
      </c>
    </row>
    <row r="207" spans="1:108" ht="12.95" customHeight="1">
      <c r="A207" s="2" t="s">
        <v>1023</v>
      </c>
      <c r="C207" s="2" t="s">
        <v>1024</v>
      </c>
      <c r="BC207" s="340" t="s">
        <v>1025</v>
      </c>
      <c r="BN207" s="133" t="s">
        <v>1026</v>
      </c>
      <c r="BS207">
        <v>6</v>
      </c>
      <c r="BT207" s="27" t="s">
        <v>1027</v>
      </c>
      <c r="CB207" s="253" t="s">
        <v>1013</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1012</v>
      </c>
      <c r="CS207" s="226">
        <v>406666</v>
      </c>
      <c r="CT207" s="226">
        <v>468882</v>
      </c>
      <c r="CU207" s="226">
        <v>565600</v>
      </c>
      <c r="CV207" s="226">
        <v>723968</v>
      </c>
      <c r="CW207" s="226">
        <v>806546</v>
      </c>
      <c r="CX207" s="13"/>
      <c r="CY207" s="133" t="s">
        <v>1012</v>
      </c>
      <c r="CZ207" s="226">
        <v>406666</v>
      </c>
      <c r="DA207" s="226">
        <v>468882</v>
      </c>
      <c r="DB207" s="226">
        <v>565600</v>
      </c>
      <c r="DC207" s="226">
        <v>723968</v>
      </c>
      <c r="DD207" s="226">
        <v>806546</v>
      </c>
    </row>
    <row r="208" spans="1:108" ht="12.95" customHeight="1">
      <c r="C208" s="18"/>
      <c r="D208" s="1460" t="s">
        <v>1028</v>
      </c>
      <c r="E208" s="1460"/>
      <c r="F208" s="1460"/>
      <c r="G208" s="1460"/>
      <c r="H208" s="1460"/>
      <c r="I208" s="1460"/>
      <c r="J208" s="1460"/>
      <c r="K208" s="1460"/>
      <c r="L208" s="1460"/>
      <c r="M208" s="1460"/>
      <c r="BC208" s="3" t="s">
        <v>1029</v>
      </c>
      <c r="BN208" s="133" t="s">
        <v>1030</v>
      </c>
      <c r="BS208">
        <v>7</v>
      </c>
      <c r="BT208" s="27" t="s">
        <v>1031</v>
      </c>
      <c r="CB208" s="253" t="s">
        <v>1019</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1018</v>
      </c>
      <c r="CS208" s="228">
        <v>406666</v>
      </c>
      <c r="CT208" s="228">
        <v>468882</v>
      </c>
      <c r="CU208" s="228">
        <v>565600</v>
      </c>
      <c r="CV208" s="228">
        <v>723968</v>
      </c>
      <c r="CW208" s="228">
        <v>806546</v>
      </c>
      <c r="CX208" s="13"/>
      <c r="CY208" s="133" t="s">
        <v>1018</v>
      </c>
      <c r="CZ208" s="228">
        <v>406666</v>
      </c>
      <c r="DA208" s="228">
        <v>468882</v>
      </c>
      <c r="DB208" s="228">
        <v>565600</v>
      </c>
      <c r="DC208" s="228">
        <v>723968</v>
      </c>
      <c r="DD208" s="228">
        <v>806546</v>
      </c>
    </row>
    <row r="209" spans="1:108" ht="12.95" customHeight="1">
      <c r="BC209" t="s">
        <v>1032</v>
      </c>
      <c r="BN209" s="133" t="s">
        <v>1033</v>
      </c>
      <c r="BS209">
        <v>7</v>
      </c>
      <c r="BT209" s="27" t="s">
        <v>1034</v>
      </c>
      <c r="CB209" s="253" t="s">
        <v>1022</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1021</v>
      </c>
      <c r="CS209" s="226">
        <v>323262</v>
      </c>
      <c r="CT209" s="226">
        <v>372718</v>
      </c>
      <c r="CU209" s="226">
        <v>449600</v>
      </c>
      <c r="CV209" s="226">
        <v>575488</v>
      </c>
      <c r="CW209" s="226">
        <v>641130</v>
      </c>
      <c r="CX209" s="13"/>
      <c r="CY209" s="133" t="s">
        <v>1021</v>
      </c>
      <c r="CZ209" s="226">
        <v>323262</v>
      </c>
      <c r="DA209" s="226">
        <v>372718</v>
      </c>
      <c r="DB209" s="226">
        <v>449600</v>
      </c>
      <c r="DC209" s="226">
        <v>575488</v>
      </c>
      <c r="DD209" s="226">
        <v>641130</v>
      </c>
    </row>
    <row r="210" spans="1:108" ht="12.95" customHeight="1">
      <c r="A210" s="2" t="s">
        <v>1035</v>
      </c>
      <c r="C210" s="2" t="s">
        <v>1036</v>
      </c>
      <c r="BC210" t="s">
        <v>1037</v>
      </c>
      <c r="BN210" s="133" t="s">
        <v>1038</v>
      </c>
      <c r="BS210">
        <v>5</v>
      </c>
      <c r="BT210" s="27" t="s">
        <v>1039</v>
      </c>
      <c r="CB210" s="253" t="s">
        <v>1027</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1026</v>
      </c>
      <c r="CS210" s="228">
        <v>360075</v>
      </c>
      <c r="CT210" s="228">
        <v>415163</v>
      </c>
      <c r="CU210" s="228">
        <v>500800</v>
      </c>
      <c r="CV210" s="228">
        <v>641024</v>
      </c>
      <c r="CW210" s="228">
        <v>714141</v>
      </c>
      <c r="CX210" s="13"/>
      <c r="CY210" s="133" t="s">
        <v>1026</v>
      </c>
      <c r="CZ210" s="228">
        <v>360075</v>
      </c>
      <c r="DA210" s="228">
        <v>415163</v>
      </c>
      <c r="DB210" s="228">
        <v>500800</v>
      </c>
      <c r="DC210" s="228">
        <v>641024</v>
      </c>
      <c r="DD210" s="228">
        <v>714141</v>
      </c>
    </row>
    <row r="211" spans="1:108" ht="12.95" customHeight="1">
      <c r="C211" s="18"/>
      <c r="D211" s="1460" t="s">
        <v>974</v>
      </c>
      <c r="E211" s="1460"/>
      <c r="F211" s="1460"/>
      <c r="G211" s="1460"/>
      <c r="H211" s="1460"/>
      <c r="I211" s="1460"/>
      <c r="J211" s="1460"/>
      <c r="K211" s="1460"/>
      <c r="L211" s="1460"/>
      <c r="M211" s="1460"/>
      <c r="BN211" s="133" t="s">
        <v>1040</v>
      </c>
      <c r="BS211">
        <v>7</v>
      </c>
      <c r="BT211" s="27" t="s">
        <v>1041</v>
      </c>
      <c r="CB211" s="253" t="s">
        <v>1031</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1030</v>
      </c>
      <c r="CS211" s="226">
        <v>402640</v>
      </c>
      <c r="CT211" s="226">
        <v>464240</v>
      </c>
      <c r="CU211" s="226">
        <v>560000</v>
      </c>
      <c r="CV211" s="226">
        <v>716800</v>
      </c>
      <c r="CW211" s="226">
        <v>798560</v>
      </c>
      <c r="CX211" s="13"/>
      <c r="CY211" s="133" t="s">
        <v>1030</v>
      </c>
      <c r="CZ211" s="226">
        <v>402640</v>
      </c>
      <c r="DA211" s="226">
        <v>464240</v>
      </c>
      <c r="DB211" s="226">
        <v>560000</v>
      </c>
      <c r="DC211" s="226">
        <v>716800</v>
      </c>
      <c r="DD211" s="226">
        <v>798560</v>
      </c>
    </row>
    <row r="212" spans="1:108" ht="12.95" customHeight="1">
      <c r="C212" s="18"/>
      <c r="D212" s="3" t="s">
        <v>1042</v>
      </c>
      <c r="Q212" s="1308"/>
      <c r="R212" s="1308"/>
      <c r="T212" s="1744">
        <f>IFERROR(Q212/AG449,0)</f>
        <v>0</v>
      </c>
      <c r="U212" s="1745"/>
      <c r="BC212" t="s">
        <v>348</v>
      </c>
      <c r="BI212" t="s">
        <v>1016</v>
      </c>
      <c r="BN212" s="133" t="s">
        <v>1043</v>
      </c>
      <c r="BS212">
        <v>4</v>
      </c>
      <c r="BT212" s="27" t="s">
        <v>1044</v>
      </c>
      <c r="CB212" s="253" t="s">
        <v>1034</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1033</v>
      </c>
      <c r="CS212" s="228">
        <v>402640</v>
      </c>
      <c r="CT212" s="228">
        <v>464240</v>
      </c>
      <c r="CU212" s="228">
        <v>560000</v>
      </c>
      <c r="CV212" s="228">
        <v>716800</v>
      </c>
      <c r="CW212" s="228">
        <v>798560</v>
      </c>
      <c r="CX212" s="13"/>
      <c r="CY212" s="133" t="s">
        <v>1033</v>
      </c>
      <c r="CZ212" s="228">
        <v>402640</v>
      </c>
      <c r="DA212" s="228">
        <v>464240</v>
      </c>
      <c r="DB212" s="228">
        <v>560000</v>
      </c>
      <c r="DC212" s="228">
        <v>716800</v>
      </c>
      <c r="DD212" s="228">
        <v>798560</v>
      </c>
    </row>
    <row r="213" spans="1:108" ht="12.95" customHeight="1">
      <c r="D213" s="1028" t="s">
        <v>1045</v>
      </c>
      <c r="BC213" t="s">
        <v>1046</v>
      </c>
      <c r="BI213" s="3" t="s">
        <v>1047</v>
      </c>
      <c r="BN213" s="133" t="s">
        <v>1048</v>
      </c>
      <c r="BS213">
        <v>6</v>
      </c>
      <c r="BT213" s="27" t="s">
        <v>1049</v>
      </c>
      <c r="CB213" s="253" t="s">
        <v>1039</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1038</v>
      </c>
      <c r="CS213" s="226">
        <v>323262</v>
      </c>
      <c r="CT213" s="226">
        <v>372718</v>
      </c>
      <c r="CU213" s="226">
        <v>449600</v>
      </c>
      <c r="CV213" s="226">
        <v>575488</v>
      </c>
      <c r="CW213" s="226">
        <v>641130</v>
      </c>
      <c r="CX213" s="13"/>
      <c r="CY213" s="133" t="s">
        <v>1038</v>
      </c>
      <c r="CZ213" s="226">
        <v>323262</v>
      </c>
      <c r="DA213" s="226">
        <v>372718</v>
      </c>
      <c r="DB213" s="226">
        <v>449600</v>
      </c>
      <c r="DC213" s="226">
        <v>575488</v>
      </c>
      <c r="DD213" s="226">
        <v>641130</v>
      </c>
    </row>
    <row r="214" spans="1:108" ht="12.95" customHeight="1">
      <c r="D214" s="1746" t="s">
        <v>826</v>
      </c>
      <c r="E214" s="1746"/>
      <c r="F214" s="1746"/>
      <c r="G214" s="1746"/>
      <c r="H214" s="1746"/>
      <c r="I214" s="1746"/>
      <c r="J214" s="1746"/>
      <c r="K214" s="1746"/>
      <c r="L214" s="1746"/>
      <c r="M214" s="1746"/>
      <c r="N214" s="1746"/>
      <c r="O214" s="1746"/>
      <c r="P214" s="1746"/>
      <c r="Q214" s="1746"/>
      <c r="R214" s="1746"/>
      <c r="S214" s="1746"/>
      <c r="T214" s="1746"/>
      <c r="U214" s="1746"/>
      <c r="V214" s="1746"/>
      <c r="W214" s="1746"/>
      <c r="X214" s="1746"/>
      <c r="Y214" s="1746"/>
      <c r="Z214" s="1746"/>
      <c r="AU214" s="18"/>
      <c r="AV214" s="18"/>
      <c r="AW214" s="18"/>
      <c r="AX214" s="18"/>
      <c r="AY214" s="18"/>
      <c r="BC214" t="s">
        <v>1050</v>
      </c>
      <c r="BI214" s="3" t="s">
        <v>1051</v>
      </c>
      <c r="BN214" s="133" t="s">
        <v>1052</v>
      </c>
      <c r="BS214">
        <v>6</v>
      </c>
      <c r="BT214" s="27" t="s">
        <v>1053</v>
      </c>
      <c r="CB214" s="253" t="s">
        <v>1041</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1040</v>
      </c>
      <c r="CS214" s="228">
        <v>402640</v>
      </c>
      <c r="CT214" s="228">
        <v>464240</v>
      </c>
      <c r="CU214" s="228">
        <v>560000</v>
      </c>
      <c r="CV214" s="228">
        <v>716800</v>
      </c>
      <c r="CW214" s="228">
        <v>798560</v>
      </c>
      <c r="CX214" s="13"/>
      <c r="CY214" s="133" t="s">
        <v>1040</v>
      </c>
      <c r="CZ214" s="228">
        <v>402640</v>
      </c>
      <c r="DA214" s="228">
        <v>464240</v>
      </c>
      <c r="DB214" s="228">
        <v>560000</v>
      </c>
      <c r="DC214" s="228">
        <v>716800</v>
      </c>
      <c r="DD214" s="228">
        <v>798560</v>
      </c>
    </row>
    <row r="215" spans="1:108" ht="12.95" customHeight="1">
      <c r="D215" s="3" t="s">
        <v>1054</v>
      </c>
      <c r="Z215" s="32"/>
      <c r="AB215" s="1705"/>
      <c r="AC215" s="1705"/>
      <c r="AD215" s="1705"/>
      <c r="AE215" s="1705"/>
      <c r="AF215" s="1705"/>
      <c r="AG215" s="1705"/>
      <c r="AH215" s="1705"/>
      <c r="AI215" s="1705"/>
      <c r="AJ215" s="1705"/>
      <c r="AK215" s="1705"/>
      <c r="AL215" s="1705"/>
      <c r="AM215" s="18"/>
      <c r="AN215" s="18"/>
      <c r="AO215" s="18"/>
      <c r="AP215" s="18"/>
      <c r="AQ215" s="18"/>
      <c r="AR215" s="18"/>
      <c r="AS215" s="18"/>
      <c r="AT215" s="18"/>
      <c r="AU215" s="18"/>
      <c r="AV215" s="18"/>
      <c r="AW215" s="18"/>
      <c r="AX215" s="18"/>
      <c r="AY215" s="18"/>
      <c r="BC215" t="s">
        <v>1055</v>
      </c>
      <c r="BI215" s="3" t="s">
        <v>1056</v>
      </c>
      <c r="CB215" s="253" t="s">
        <v>1044</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1043</v>
      </c>
      <c r="CS215" s="226">
        <v>442904</v>
      </c>
      <c r="CT215" s="226">
        <v>510664</v>
      </c>
      <c r="CU215" s="226">
        <v>616000</v>
      </c>
      <c r="CV215" s="226">
        <v>788480</v>
      </c>
      <c r="CW215" s="226">
        <v>878416</v>
      </c>
      <c r="CX215" s="13"/>
      <c r="CY215" s="133" t="s">
        <v>1043</v>
      </c>
      <c r="CZ215" s="226">
        <v>442904</v>
      </c>
      <c r="DA215" s="226">
        <v>510664</v>
      </c>
      <c r="DB215" s="226">
        <v>616000</v>
      </c>
      <c r="DC215" s="226">
        <v>788480</v>
      </c>
      <c r="DD215" s="226">
        <v>878416</v>
      </c>
    </row>
    <row r="216" spans="1:108" ht="12.95" customHeight="1">
      <c r="D216" s="3" t="s">
        <v>1057</v>
      </c>
      <c r="Z216" s="32"/>
      <c r="AB216" s="1705"/>
      <c r="AC216" s="1705"/>
      <c r="AD216" s="1705"/>
      <c r="AE216" s="1705"/>
      <c r="AF216" s="1705"/>
      <c r="AG216" s="1705"/>
      <c r="AH216" s="1705"/>
      <c r="AI216" s="1705"/>
      <c r="AJ216" s="1705"/>
      <c r="AK216" s="1705"/>
      <c r="AL216" s="1705"/>
      <c r="AM216" s="18"/>
      <c r="AN216" s="18"/>
      <c r="AO216" s="18"/>
      <c r="AP216" s="18"/>
      <c r="AQ216" s="18"/>
      <c r="AR216" s="18"/>
      <c r="AS216" s="18"/>
      <c r="AT216" s="18"/>
      <c r="AU216" s="18"/>
      <c r="AV216" s="18"/>
      <c r="AW216" s="18"/>
      <c r="AX216" s="18"/>
      <c r="AY216" s="18"/>
      <c r="BC216" t="s">
        <v>1058</v>
      </c>
      <c r="BI216" t="s">
        <v>1059</v>
      </c>
      <c r="CB216" s="253" t="s">
        <v>1049</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1048</v>
      </c>
      <c r="CS216" s="228">
        <v>360075</v>
      </c>
      <c r="CT216" s="228">
        <v>415163</v>
      </c>
      <c r="CU216" s="228">
        <v>500800</v>
      </c>
      <c r="CV216" s="228">
        <v>641024</v>
      </c>
      <c r="CW216" s="228">
        <v>714141</v>
      </c>
      <c r="CX216" s="13"/>
      <c r="CY216" s="133" t="s">
        <v>1048</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1060</v>
      </c>
      <c r="BI217" t="s">
        <v>1061</v>
      </c>
      <c r="CB217" s="253" t="s">
        <v>1053</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1052</v>
      </c>
      <c r="CS217" s="226">
        <v>360075</v>
      </c>
      <c r="CT217" s="226">
        <v>415163</v>
      </c>
      <c r="CU217" s="226">
        <v>500800</v>
      </c>
      <c r="CV217" s="226">
        <v>641024</v>
      </c>
      <c r="CW217" s="226">
        <v>714141</v>
      </c>
      <c r="CX217" s="13"/>
      <c r="CY217" s="133" t="s">
        <v>1052</v>
      </c>
      <c r="CZ217" s="226">
        <v>360075</v>
      </c>
      <c r="DA217" s="226">
        <v>415163</v>
      </c>
      <c r="DB217" s="226">
        <v>500800</v>
      </c>
      <c r="DC217" s="226">
        <v>641024</v>
      </c>
      <c r="DD217" s="226">
        <v>714141</v>
      </c>
    </row>
    <row r="218" spans="1:108" ht="12.95" customHeight="1">
      <c r="A218" s="2" t="s">
        <v>1062</v>
      </c>
      <c r="C218" s="2" t="s">
        <v>1063</v>
      </c>
      <c r="D218" s="19"/>
      <c r="AC218" s="2" t="s">
        <v>1064</v>
      </c>
      <c r="BC218" t="s">
        <v>1065</v>
      </c>
    </row>
    <row r="219" spans="1:108" ht="12.95" customHeight="1">
      <c r="A219" s="2"/>
      <c r="C219" s="2"/>
      <c r="D219" s="3" t="s">
        <v>1066</v>
      </c>
      <c r="AZ219" s="3"/>
      <c r="BA219" s="3"/>
      <c r="BC219" t="s">
        <v>1067</v>
      </c>
    </row>
    <row r="220" spans="1:108" ht="12.95" customHeight="1">
      <c r="A220" s="2"/>
      <c r="C220" s="2"/>
      <c r="D220" s="1460" t="s">
        <v>999</v>
      </c>
      <c r="E220" s="1460"/>
      <c r="F220" s="1460"/>
      <c r="G220" s="1460"/>
      <c r="H220" s="1460"/>
      <c r="I220" s="1460"/>
      <c r="J220" s="1460"/>
      <c r="K220" s="1460"/>
      <c r="L220" s="1460"/>
      <c r="M220" s="1460"/>
      <c r="N220" s="1460"/>
      <c r="O220" s="1460"/>
      <c r="P220" s="1460"/>
      <c r="Q220" s="1460"/>
      <c r="R220" s="1460"/>
      <c r="S220" s="1460"/>
      <c r="T220" s="1460"/>
      <c r="U220" s="1460"/>
      <c r="V220" s="1460"/>
      <c r="W220" s="1460"/>
      <c r="X220" s="1460"/>
      <c r="Y220" s="1460"/>
      <c r="Z220" s="1460"/>
      <c r="AC220" s="1710" t="s">
        <v>818</v>
      </c>
      <c r="AD220" s="1710"/>
      <c r="AE220" s="1710"/>
      <c r="AF220" s="1710"/>
      <c r="AG220" s="1710"/>
      <c r="AH220" s="1710"/>
      <c r="AI220" s="1710"/>
      <c r="AJ220" s="1710"/>
      <c r="AK220" s="1710"/>
      <c r="AL220" s="1710"/>
      <c r="AM220" s="1710"/>
      <c r="AN220" s="1710"/>
      <c r="AO220" s="1710"/>
      <c r="AP220" s="1710"/>
      <c r="AQ220" s="1710"/>
      <c r="BA220" s="3"/>
      <c r="BC220" t="s">
        <v>1068</v>
      </c>
    </row>
    <row r="221" spans="1:108" ht="12.95" customHeight="1">
      <c r="A221" s="2"/>
      <c r="B221" s="13"/>
      <c r="C221" s="2"/>
      <c r="BA221" s="3"/>
    </row>
    <row r="222" spans="1:108" ht="12.95" customHeight="1">
      <c r="A222" s="2" t="s">
        <v>1069</v>
      </c>
      <c r="B222" s="13"/>
      <c r="C222" s="2" t="s">
        <v>1070</v>
      </c>
      <c r="BA222" s="3"/>
    </row>
    <row r="223" spans="1:108" ht="12.95" customHeight="1">
      <c r="A223" s="2"/>
      <c r="B223" s="13"/>
      <c r="C223" s="2"/>
      <c r="D223" s="3" t="s">
        <v>1071</v>
      </c>
      <c r="BA223" s="3"/>
    </row>
    <row r="224" spans="1:108" ht="12.95" customHeight="1">
      <c r="A224" s="2"/>
      <c r="B224" s="13"/>
      <c r="C224" s="2"/>
      <c r="E224" s="3" t="s">
        <v>790</v>
      </c>
      <c r="V224" s="1308" t="s">
        <v>700</v>
      </c>
      <c r="W224" s="1308"/>
      <c r="Y224" s="1082"/>
      <c r="BA224" s="3"/>
    </row>
    <row r="225" spans="1:69" ht="12.95" customHeight="1">
      <c r="A225" s="2"/>
      <c r="B225" s="13"/>
      <c r="C225" s="2"/>
      <c r="E225" s="3" t="s">
        <v>791</v>
      </c>
      <c r="V225" s="1308" t="s">
        <v>860</v>
      </c>
      <c r="W225" s="1308"/>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492" t="s">
        <v>700</v>
      </c>
      <c r="W226" s="1492"/>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492" t="s">
        <v>700</v>
      </c>
      <c r="W227" s="1492"/>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492" t="s">
        <v>700</v>
      </c>
      <c r="W228" s="1492"/>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492" t="s">
        <v>700</v>
      </c>
      <c r="W229" s="1492"/>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328" t="s">
        <v>1072</v>
      </c>
      <c r="B231" s="1328"/>
      <c r="C231" s="1328"/>
      <c r="D231" s="1328"/>
      <c r="E231" s="1328"/>
      <c r="F231" s="1328"/>
      <c r="G231" s="1328"/>
      <c r="H231" s="1328"/>
      <c r="I231" s="1328"/>
      <c r="J231" s="1328"/>
      <c r="K231" s="1328"/>
      <c r="L231" s="1328"/>
      <c r="M231" s="1328"/>
      <c r="N231" s="1328"/>
      <c r="O231" s="1328"/>
      <c r="P231" s="1328"/>
      <c r="Q231" s="1328"/>
      <c r="R231" s="1328"/>
      <c r="S231" s="1328"/>
      <c r="T231" s="1328"/>
      <c r="U231" s="1328"/>
      <c r="V231" s="1328"/>
      <c r="W231" s="1328"/>
      <c r="X231" s="1328"/>
      <c r="Y231" s="1328"/>
      <c r="Z231" s="1328"/>
      <c r="AA231" s="1328"/>
      <c r="AB231" s="1328"/>
      <c r="AC231" s="1328"/>
      <c r="AD231" s="1328"/>
      <c r="AE231" s="1328"/>
      <c r="AF231" s="1328"/>
      <c r="AG231" s="1328"/>
      <c r="AH231" s="1328"/>
      <c r="AI231" s="1328"/>
      <c r="AJ231" s="1328"/>
      <c r="AK231" s="1328"/>
      <c r="AL231" s="1328"/>
      <c r="AM231" s="1328"/>
      <c r="AN231" s="1328"/>
      <c r="AO231" s="1328"/>
      <c r="AP231" s="1328"/>
      <c r="AQ231" s="1328"/>
      <c r="AR231" s="1328"/>
      <c r="AS231" s="1328"/>
      <c r="AT231" s="1328"/>
      <c r="AU231" s="70"/>
      <c r="AV231" s="70"/>
      <c r="AW231" s="70"/>
      <c r="AX231" s="70"/>
      <c r="AY231" s="70"/>
      <c r="AZ231" s="3"/>
      <c r="BA231" s="3"/>
      <c r="BP231" s="3"/>
    </row>
    <row r="232" spans="1:69" ht="12.95" customHeight="1">
      <c r="A232" s="1328"/>
      <c r="B232" s="1328"/>
      <c r="C232" s="1328"/>
      <c r="D232" s="1328"/>
      <c r="E232" s="1328"/>
      <c r="F232" s="1328"/>
      <c r="G232" s="1328"/>
      <c r="H232" s="1328"/>
      <c r="I232" s="1328"/>
      <c r="J232" s="1328"/>
      <c r="K232" s="1328"/>
      <c r="L232" s="1328"/>
      <c r="M232" s="1328"/>
      <c r="N232" s="1328"/>
      <c r="O232" s="1328"/>
      <c r="P232" s="1328"/>
      <c r="Q232" s="1328"/>
      <c r="R232" s="1328"/>
      <c r="S232" s="1328"/>
      <c r="T232" s="1328"/>
      <c r="U232" s="1328"/>
      <c r="V232" s="1328"/>
      <c r="W232" s="1328"/>
      <c r="X232" s="1328"/>
      <c r="Y232" s="1328"/>
      <c r="Z232" s="1328"/>
      <c r="AA232" s="1328"/>
      <c r="AB232" s="1328"/>
      <c r="AC232" s="1328"/>
      <c r="AD232" s="1328"/>
      <c r="AE232" s="1328"/>
      <c r="AF232" s="1328"/>
      <c r="AG232" s="1328"/>
      <c r="AH232" s="1328"/>
      <c r="AI232" s="1328"/>
      <c r="AJ232" s="1328"/>
      <c r="AK232" s="1328"/>
      <c r="AL232" s="1328"/>
      <c r="AM232" s="1328"/>
      <c r="AN232" s="1328"/>
      <c r="AO232" s="1328"/>
      <c r="AP232" s="1328"/>
      <c r="AQ232" s="1328"/>
      <c r="AR232" s="1328"/>
      <c r="AS232" s="1328"/>
      <c r="AT232" s="1328"/>
      <c r="BA232" s="3"/>
      <c r="BB232" s="3"/>
      <c r="BQ232" s="3"/>
    </row>
    <row r="233" spans="1:69" ht="12.95" customHeight="1">
      <c r="AZ233" s="3"/>
      <c r="BA233" s="3"/>
      <c r="BB233" s="3"/>
      <c r="BQ233" s="3"/>
    </row>
    <row r="234" spans="1:69" ht="12.95" customHeight="1">
      <c r="A234" s="2" t="s">
        <v>885</v>
      </c>
      <c r="B234" s="2"/>
      <c r="C234" s="2" t="s">
        <v>1073</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1074</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08" t="s">
        <v>826</v>
      </c>
      <c r="AJ235" s="1308"/>
      <c r="AL235" s="3"/>
      <c r="AM235" s="3"/>
      <c r="AN235" s="3"/>
      <c r="AO235" s="3"/>
      <c r="AP235" s="3"/>
      <c r="AQ235" s="3"/>
      <c r="AR235" s="3"/>
      <c r="AS235" s="3"/>
      <c r="AT235" s="3"/>
      <c r="AU235" s="3"/>
      <c r="AV235" s="3"/>
      <c r="AW235" s="3"/>
      <c r="AX235" s="3"/>
      <c r="AY235" s="3"/>
      <c r="AZ235" s="3"/>
      <c r="BB235" s="136" t="s">
        <v>1075</v>
      </c>
      <c r="BG235" s="166">
        <f>IF(AND(AND($M$258="for profit",$M$266="for profit",$M$274="nonprofit")),2,0)</f>
        <v>0</v>
      </c>
    </row>
    <row r="236" spans="1:69" ht="12.95" customHeight="1">
      <c r="B236" s="3"/>
      <c r="D236" s="3" t="s">
        <v>1076</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08" t="s">
        <v>860</v>
      </c>
      <c r="AJ236" s="1308"/>
      <c r="AL236" s="3"/>
      <c r="AM236" s="3"/>
      <c r="AN236" s="3"/>
      <c r="AO236" s="3"/>
      <c r="AP236" s="3"/>
      <c r="AQ236" s="3"/>
      <c r="AR236" s="3"/>
      <c r="AS236" s="3"/>
      <c r="AT236" s="3"/>
      <c r="AU236" s="3"/>
      <c r="AV236" s="3"/>
      <c r="AW236" s="3"/>
      <c r="AX236" s="3"/>
      <c r="AY236" s="3"/>
      <c r="BA236" s="3"/>
      <c r="BB236" s="136" t="s">
        <v>1075</v>
      </c>
      <c r="BG236" s="166">
        <f>IF(AND(AND($M$258="for profit",$M$266="nonprofit",$M$274="for profit")),2,0)</f>
        <v>0</v>
      </c>
    </row>
    <row r="237" spans="1:69" ht="12.95" customHeight="1">
      <c r="B237" s="3"/>
      <c r="D237" s="3" t="s">
        <v>1077</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08" t="s">
        <v>860</v>
      </c>
      <c r="AJ237" s="1308"/>
      <c r="AL237" s="3"/>
      <c r="AM237" s="3"/>
      <c r="AN237" s="3"/>
      <c r="AO237" s="3"/>
      <c r="AP237" s="3"/>
      <c r="AQ237" s="3"/>
      <c r="AR237" s="3"/>
      <c r="AS237" s="3"/>
      <c r="AT237" s="3"/>
      <c r="AU237" s="3"/>
      <c r="AV237" s="3"/>
      <c r="AW237" s="3"/>
      <c r="AX237" s="3"/>
      <c r="AY237" s="3"/>
      <c r="AZ237" s="3"/>
      <c r="BA237" s="3"/>
      <c r="BB237" s="136" t="s">
        <v>1075</v>
      </c>
      <c r="BG237" s="166">
        <f>IF(AND(AND($M$258="nonprofit",$M$266="for profit",$M$274="for profit")),2,0)</f>
        <v>0</v>
      </c>
    </row>
    <row r="238" spans="1:69" ht="12.95" customHeight="1">
      <c r="B238" s="3"/>
      <c r="D238" s="3" t="s">
        <v>1078</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08" t="s">
        <v>826</v>
      </c>
      <c r="AJ238" s="1308"/>
      <c r="AL238" s="3"/>
      <c r="AM238" s="3"/>
      <c r="AN238" s="3"/>
      <c r="AO238" s="3"/>
      <c r="AP238" s="3"/>
      <c r="AQ238" s="3"/>
      <c r="AR238" s="3"/>
      <c r="AS238" s="3"/>
      <c r="AT238" s="3"/>
      <c r="AU238" s="3"/>
      <c r="AV238" s="3"/>
      <c r="AW238" s="3"/>
      <c r="AX238" s="3"/>
      <c r="AY238" s="3"/>
      <c r="BA238" s="3"/>
      <c r="BB238" s="136" t="s">
        <v>1075</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1075</v>
      </c>
      <c r="BG239" s="165">
        <f>IF(AND(AND($M$258="nonprofit",$M$266="for profit",$M$274="(select one)")),2,0)</f>
        <v>0</v>
      </c>
    </row>
    <row r="240" spans="1:69" ht="12.95" customHeight="1">
      <c r="A240" s="2" t="s">
        <v>927</v>
      </c>
      <c r="B240" s="3"/>
      <c r="C240" s="2" t="s">
        <v>1079</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1080</v>
      </c>
      <c r="E241" s="3"/>
      <c r="F241" s="3"/>
      <c r="G241" s="3"/>
      <c r="H241" s="3"/>
      <c r="I241" s="3"/>
      <c r="J241" s="3"/>
      <c r="K241" s="3"/>
      <c r="M241" s="1357" t="str">
        <f>H16</f>
        <v>Housing Authority of the County of Kern</v>
      </c>
      <c r="N241" s="1357"/>
      <c r="O241" s="1357"/>
      <c r="P241" s="1357"/>
      <c r="Q241" s="1357"/>
      <c r="R241" s="1357"/>
      <c r="S241" s="1357"/>
      <c r="T241" s="1357"/>
      <c r="U241" s="1357"/>
      <c r="V241" s="1357"/>
      <c r="W241" s="1357"/>
      <c r="X241" s="1357"/>
      <c r="Y241" s="1357"/>
      <c r="Z241" s="1357"/>
      <c r="AA241" s="1357"/>
      <c r="AB241" s="1357"/>
      <c r="AC241" s="1357"/>
      <c r="AD241" s="1357"/>
      <c r="AE241" s="1357"/>
      <c r="AF241" s="1357"/>
      <c r="AG241" s="1357"/>
      <c r="AH241" s="1357"/>
      <c r="AI241" s="1357"/>
      <c r="AJ241" s="1357"/>
      <c r="AK241" s="1357"/>
      <c r="AZ241" s="3"/>
      <c r="BA241" s="3"/>
      <c r="BB241" s="137" t="s">
        <v>1075</v>
      </c>
      <c r="BG241" s="166">
        <f>IF(AND(AND($M$258="nonprofit",$M$266="nonprofit",$M$274="for profit")),2,0)</f>
        <v>0</v>
      </c>
    </row>
    <row r="242" spans="1:67" ht="12.95" customHeight="1">
      <c r="D242" s="3" t="s">
        <v>1081</v>
      </c>
      <c r="E242" s="3"/>
      <c r="F242" s="3"/>
      <c r="G242" s="3"/>
      <c r="H242" s="3"/>
      <c r="I242" s="3"/>
      <c r="J242" s="3"/>
      <c r="K242" s="3"/>
      <c r="M242" s="1460" t="s">
        <v>1082</v>
      </c>
      <c r="N242" s="1460"/>
      <c r="O242" s="1460"/>
      <c r="P242" s="1460"/>
      <c r="Q242" s="1460"/>
      <c r="R242" s="1460"/>
      <c r="S242" s="1460"/>
      <c r="T242" s="1460"/>
      <c r="U242" s="1460"/>
      <c r="V242" s="1460"/>
      <c r="W242" s="1460"/>
      <c r="X242" s="1460"/>
      <c r="Y242" s="1460"/>
      <c r="Z242" s="1460"/>
      <c r="AA242" s="1460"/>
      <c r="AB242" s="1460"/>
      <c r="AC242" s="1460"/>
      <c r="AD242" s="1460"/>
      <c r="AE242" s="1460"/>
      <c r="BB242" s="137" t="s">
        <v>1075</v>
      </c>
      <c r="BG242" s="166">
        <f>IF(AND(AND($M$258="nonprofit",$M$266="for profit",$M$274="nonprofit")),2,0)</f>
        <v>0</v>
      </c>
    </row>
    <row r="243" spans="1:67" ht="12.95" customHeight="1">
      <c r="D243" s="3" t="s">
        <v>946</v>
      </c>
      <c r="E243" s="3"/>
      <c r="M243" s="1460" t="s">
        <v>801</v>
      </c>
      <c r="N243" s="1460"/>
      <c r="O243" s="1460"/>
      <c r="P243" s="1460"/>
      <c r="Q243" s="1460"/>
      <c r="R243" s="1460"/>
      <c r="S243" s="1460"/>
      <c r="T243" s="1460"/>
      <c r="V243" s="918" t="s">
        <v>1083</v>
      </c>
      <c r="W243" s="1381" t="s">
        <v>1084</v>
      </c>
      <c r="X243" s="1381"/>
      <c r="Y243" s="3" t="s">
        <v>950</v>
      </c>
      <c r="AC243" s="1460">
        <v>93301</v>
      </c>
      <c r="AD243" s="1460"/>
      <c r="AE243" s="1460"/>
      <c r="AU243" s="3"/>
      <c r="AV243" s="3"/>
      <c r="AW243" s="3"/>
      <c r="AX243" s="3"/>
      <c r="AY243" s="3"/>
      <c r="AZ243" s="3"/>
      <c r="BB243" s="137" t="s">
        <v>1075</v>
      </c>
      <c r="BG243" s="165">
        <f>IF(AND(AND($M$258="for profit",$M$266="nonprofit",$M$274="nonprofit")),2,0)</f>
        <v>0</v>
      </c>
    </row>
    <row r="244" spans="1:67" ht="12.95" customHeight="1">
      <c r="D244" s="3" t="s">
        <v>1085</v>
      </c>
      <c r="E244" s="3"/>
      <c r="F244" s="3"/>
      <c r="G244" s="3"/>
      <c r="H244" s="3"/>
      <c r="I244" s="3"/>
      <c r="J244" s="3"/>
      <c r="K244" s="1163"/>
      <c r="M244" s="1460" t="s">
        <v>805</v>
      </c>
      <c r="N244" s="1460"/>
      <c r="O244" s="1460"/>
      <c r="P244" s="1460"/>
      <c r="Q244" s="1460"/>
      <c r="R244" s="1460"/>
      <c r="S244" s="1460"/>
      <c r="T244" s="1460"/>
      <c r="U244" s="1460"/>
      <c r="V244" s="1460"/>
      <c r="W244" s="1460"/>
      <c r="X244" s="1460"/>
      <c r="Y244" s="1460"/>
      <c r="Z244" s="1460"/>
      <c r="AA244" s="1460"/>
      <c r="AB244" s="1460"/>
      <c r="AC244" s="1460"/>
      <c r="AD244" s="1460"/>
      <c r="AE244" s="1460"/>
      <c r="AI244" s="3"/>
      <c r="AJ244" s="3"/>
      <c r="AK244" s="3"/>
      <c r="AL244" s="3"/>
      <c r="AM244" s="3"/>
      <c r="AN244" s="3"/>
      <c r="AO244" s="3"/>
      <c r="AP244" s="3"/>
      <c r="AQ244" s="3"/>
      <c r="AR244" s="3"/>
      <c r="AS244" s="3"/>
      <c r="AT244" s="3"/>
      <c r="BB244" s="137"/>
      <c r="BG244" s="136"/>
    </row>
    <row r="245" spans="1:67" ht="12.95" customHeight="1">
      <c r="D245" s="3" t="s">
        <v>1086</v>
      </c>
      <c r="E245" s="3"/>
      <c r="F245" s="3"/>
      <c r="M245" s="1427" t="s">
        <v>1087</v>
      </c>
      <c r="N245" s="1427"/>
      <c r="O245" s="1427"/>
      <c r="P245" s="1427"/>
      <c r="Q245" s="1427"/>
      <c r="R245" s="1427"/>
      <c r="S245" s="3" t="s">
        <v>1088</v>
      </c>
      <c r="T245" s="3"/>
      <c r="U245" s="1381">
        <v>2005</v>
      </c>
      <c r="V245" s="1381"/>
      <c r="W245" s="1381"/>
      <c r="X245" s="3" t="s">
        <v>1089</v>
      </c>
      <c r="Z245" s="1427" t="s">
        <v>1090</v>
      </c>
      <c r="AA245" s="1427"/>
      <c r="AB245" s="1427"/>
      <c r="AC245" s="1427"/>
      <c r="AD245" s="1427"/>
      <c r="AE245" s="1427"/>
      <c r="AU245" s="3"/>
      <c r="AV245" s="3"/>
      <c r="AW245" s="3"/>
      <c r="AX245" s="3"/>
      <c r="AY245" s="3"/>
      <c r="AZ245" s="3"/>
      <c r="BB245" s="136" t="s">
        <v>1091</v>
      </c>
      <c r="BG245" s="166">
        <f>IF(AND(AND($M$258="nonprofit",$M$266="nonprofit",$M$274="(select one)")),1,0)</f>
        <v>1</v>
      </c>
    </row>
    <row r="246" spans="1:67" ht="12.95" customHeight="1">
      <c r="D246" s="3" t="s">
        <v>1092</v>
      </c>
      <c r="E246" s="3"/>
      <c r="F246" s="3"/>
      <c r="M246" s="1742" t="s">
        <v>1093</v>
      </c>
      <c r="N246" s="1742"/>
      <c r="O246" s="1742"/>
      <c r="P246" s="1742"/>
      <c r="Q246" s="1742"/>
      <c r="R246" s="1742"/>
      <c r="S246" s="1742"/>
      <c r="T246" s="1742"/>
      <c r="U246" s="1742"/>
      <c r="V246" s="1742"/>
      <c r="W246" s="1742"/>
      <c r="X246" s="1742"/>
      <c r="Y246" s="1742"/>
      <c r="Z246" s="1742"/>
      <c r="AA246" s="1742"/>
      <c r="AB246" s="1742"/>
      <c r="AC246" s="1742"/>
      <c r="AD246" s="1742"/>
      <c r="AE246" s="1742"/>
      <c r="AF246" s="3"/>
      <c r="AG246" s="3"/>
      <c r="AH246" s="3"/>
      <c r="AI246" s="3"/>
      <c r="AJ246" s="3"/>
      <c r="AK246" s="3"/>
      <c r="AL246" s="3"/>
      <c r="AM246" s="3"/>
      <c r="AN246" s="3"/>
      <c r="AO246" s="3"/>
      <c r="AP246" s="3"/>
      <c r="AQ246" s="3"/>
      <c r="AR246" s="3"/>
      <c r="AS246" s="3"/>
      <c r="AT246" s="3"/>
      <c r="AU246" s="3"/>
      <c r="AV246" s="3"/>
      <c r="AW246" s="3"/>
      <c r="AX246" s="3"/>
      <c r="AY246" s="3"/>
      <c r="BB246" s="136" t="s">
        <v>1091</v>
      </c>
      <c r="BG246" s="166">
        <f>IF(AND(AND($M$258="nonprofit",$M$266="nonprofit",$M$274="nonprofit")),1,0)</f>
        <v>0</v>
      </c>
    </row>
    <row r="247" spans="1:67" ht="12.95" customHeight="1">
      <c r="A247" s="2" t="s">
        <v>1005</v>
      </c>
      <c r="C247" s="2" t="s">
        <v>1094</v>
      </c>
      <c r="M247" s="1439" t="s">
        <v>1065</v>
      </c>
      <c r="N247" s="1439"/>
      <c r="O247" s="1439"/>
      <c r="P247" s="1439"/>
      <c r="Q247" s="1439"/>
      <c r="R247" s="1439"/>
      <c r="S247" s="1439"/>
      <c r="T247" s="1439"/>
      <c r="U247" s="136" t="s">
        <v>1095</v>
      </c>
      <c r="V247" s="136"/>
      <c r="W247" s="136"/>
      <c r="X247" s="136"/>
      <c r="Y247" s="136"/>
      <c r="Z247" s="136"/>
      <c r="AA247" s="1724"/>
      <c r="AB247" s="1724"/>
      <c r="AC247" s="1724"/>
      <c r="AD247" s="1724"/>
      <c r="AE247" s="1724"/>
      <c r="AF247" s="1724"/>
      <c r="AG247" s="1724"/>
      <c r="AH247" s="1724"/>
      <c r="AI247" s="1724"/>
      <c r="AJ247" s="1724"/>
      <c r="AK247" s="1724"/>
      <c r="AL247" s="3"/>
      <c r="AM247" s="3"/>
      <c r="AN247" s="3"/>
      <c r="AO247" s="3"/>
      <c r="AP247" s="3"/>
      <c r="AQ247" s="3"/>
      <c r="AR247" s="3"/>
      <c r="AS247" s="3"/>
      <c r="AT247" s="3"/>
      <c r="AU247" s="3"/>
      <c r="AV247" s="3"/>
      <c r="AW247" s="3"/>
      <c r="AX247" s="3"/>
      <c r="AY247" s="3"/>
      <c r="BB247" s="136" t="s">
        <v>1091</v>
      </c>
      <c r="BG247" s="166">
        <f>IF(AND(AND($M$258="nonprofit",$M$266="(select one)",$M$274="(select one)")),1,0)</f>
        <v>0</v>
      </c>
    </row>
    <row r="248" spans="1:67" ht="12.95" customHeight="1">
      <c r="D248" t="s">
        <v>1096</v>
      </c>
      <c r="M248" s="1428"/>
      <c r="N248" s="1428"/>
      <c r="O248" s="1428"/>
      <c r="P248" s="1428"/>
      <c r="Q248" s="1428"/>
      <c r="R248" s="1428"/>
      <c r="S248" s="1428"/>
      <c r="T248" s="1428"/>
      <c r="U248" s="1428"/>
      <c r="V248" s="1428"/>
      <c r="W248" s="1428"/>
      <c r="X248" s="1428"/>
      <c r="Y248" s="1428"/>
      <c r="Z248" s="1428"/>
      <c r="AA248" s="1428"/>
      <c r="AB248" s="1428"/>
      <c r="AC248" s="1428"/>
      <c r="AD248" s="1428"/>
      <c r="AE248" s="1428"/>
      <c r="AF248" s="3"/>
      <c r="AG248" s="3"/>
      <c r="AH248" s="3"/>
      <c r="AI248" s="3"/>
      <c r="AJ248" s="3"/>
      <c r="AK248" s="3"/>
      <c r="AL248" s="3"/>
      <c r="AM248" s="3"/>
      <c r="AN248" s="3"/>
      <c r="AO248" s="3"/>
      <c r="AP248" s="3"/>
      <c r="AQ248" s="3"/>
      <c r="AR248" s="3"/>
      <c r="AS248" s="3"/>
      <c r="AT248" s="3"/>
      <c r="BB248" s="136" t="s">
        <v>1097</v>
      </c>
      <c r="BG248" s="166">
        <f>IF(AND(AND($M$258="for profit",$M$266="for profit",$M$274="(select one)")),3,0)</f>
        <v>0</v>
      </c>
    </row>
    <row r="249" spans="1:67" ht="12.95" customHeight="1">
      <c r="D249" s="3"/>
      <c r="BB249" s="136" t="s">
        <v>1097</v>
      </c>
      <c r="BG249" s="166">
        <f>IF(AND(AND($M$258="for profit",$M$266="for profit",$M$274="for profit")),3,0)</f>
        <v>0</v>
      </c>
    </row>
    <row r="250" spans="1:67" ht="12.95" customHeight="1">
      <c r="A250" s="2" t="s">
        <v>1023</v>
      </c>
      <c r="C250" s="2" t="s">
        <v>1098</v>
      </c>
      <c r="D250" s="3"/>
      <c r="L250" s="7"/>
      <c r="M250" s="7"/>
      <c r="N250" s="7"/>
      <c r="AU250" s="3"/>
      <c r="AV250" s="3"/>
      <c r="AW250" s="3"/>
      <c r="AX250" s="3"/>
      <c r="AY250" s="3"/>
      <c r="BB250" s="136" t="s">
        <v>1097</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1099</v>
      </c>
      <c r="D252" s="3" t="s">
        <v>1100</v>
      </c>
      <c r="E252" s="3"/>
      <c r="F252" s="3"/>
      <c r="G252" s="3"/>
      <c r="H252" s="3"/>
      <c r="I252" s="3"/>
      <c r="J252" s="3"/>
      <c r="K252" s="3"/>
      <c r="L252" s="3"/>
      <c r="M252" s="1462" t="s">
        <v>1101</v>
      </c>
      <c r="N252" s="1462"/>
      <c r="O252" s="1462"/>
      <c r="P252" s="1462"/>
      <c r="Q252" s="1462"/>
      <c r="R252" s="1462"/>
      <c r="S252" s="1462"/>
      <c r="T252" s="1462"/>
      <c r="U252" s="1462"/>
      <c r="V252" s="1462"/>
      <c r="W252" s="1462"/>
      <c r="X252" s="1462"/>
      <c r="Y252" s="1462"/>
      <c r="Z252" s="1462"/>
      <c r="AA252" s="1462"/>
      <c r="AB252" s="1462"/>
      <c r="AC252" s="1462"/>
      <c r="AD252" s="1462"/>
      <c r="AE252" s="1462"/>
      <c r="AF252" s="1462" t="s">
        <v>1102</v>
      </c>
      <c r="AG252" s="1462"/>
      <c r="AH252" s="1462"/>
      <c r="AI252" s="1462"/>
      <c r="AJ252" s="1462"/>
      <c r="AK252" s="1462"/>
      <c r="AU252" s="3"/>
      <c r="AV252" s="3"/>
      <c r="AW252" s="3"/>
      <c r="AX252" s="3"/>
      <c r="AY252" s="3"/>
      <c r="BG252">
        <f>SUM(BG235:BG250)</f>
        <v>1</v>
      </c>
    </row>
    <row r="253" spans="1:67" ht="12.95" customHeight="1">
      <c r="A253" s="1163"/>
      <c r="B253" s="3"/>
      <c r="C253" s="3"/>
      <c r="D253" s="3" t="s">
        <v>1081</v>
      </c>
      <c r="E253" s="3"/>
      <c r="F253" s="3"/>
      <c r="G253" s="3"/>
      <c r="H253" s="3"/>
      <c r="I253" s="3"/>
      <c r="J253" s="3"/>
      <c r="K253" s="3"/>
      <c r="L253" s="3"/>
      <c r="M253" s="1460" t="s">
        <v>1103</v>
      </c>
      <c r="N253" s="1460"/>
      <c r="O253" s="1460"/>
      <c r="P253" s="1460"/>
      <c r="Q253" s="1460"/>
      <c r="R253" s="1460"/>
      <c r="S253" s="1460"/>
      <c r="T253" s="1460"/>
      <c r="U253" s="1460"/>
      <c r="V253" s="1460"/>
      <c r="W253" s="1460"/>
      <c r="X253" s="1460"/>
      <c r="Y253" s="1460"/>
      <c r="Z253" s="1460"/>
      <c r="AA253" s="1460"/>
      <c r="AB253" s="1460"/>
      <c r="AC253" s="1460"/>
      <c r="AD253" s="1460"/>
      <c r="AE253" s="1460"/>
      <c r="AF253" s="3" t="s">
        <v>1104</v>
      </c>
      <c r="AL253" s="3"/>
      <c r="AM253" s="3"/>
      <c r="AN253" s="3"/>
      <c r="AO253" s="3"/>
      <c r="AP253" s="3"/>
      <c r="AQ253" s="3"/>
      <c r="AR253" s="3"/>
      <c r="AS253" s="3"/>
      <c r="AT253" s="3"/>
      <c r="BB253" t="s">
        <v>348</v>
      </c>
      <c r="BG253">
        <v>1</v>
      </c>
      <c r="BH253" t="s">
        <v>1105</v>
      </c>
    </row>
    <row r="254" spans="1:67" ht="12.95" customHeight="1">
      <c r="A254" s="1163"/>
      <c r="B254" s="3"/>
      <c r="C254" s="3"/>
      <c r="D254" s="3" t="s">
        <v>946</v>
      </c>
      <c r="E254" s="3"/>
      <c r="M254" s="1460" t="s">
        <v>801</v>
      </c>
      <c r="N254" s="1460"/>
      <c r="O254" s="1460"/>
      <c r="P254" s="1460"/>
      <c r="Q254" s="1460"/>
      <c r="R254" s="1460"/>
      <c r="S254" s="1460"/>
      <c r="T254" s="1460"/>
      <c r="V254" s="918" t="s">
        <v>1083</v>
      </c>
      <c r="W254" s="1381" t="s">
        <v>1084</v>
      </c>
      <c r="X254" s="1381"/>
      <c r="Y254" s="3" t="s">
        <v>950</v>
      </c>
      <c r="AC254" s="1460">
        <v>93301</v>
      </c>
      <c r="AD254" s="1460"/>
      <c r="AE254" s="1460"/>
      <c r="AF254" s="3" t="s">
        <v>1106</v>
      </c>
      <c r="AU254" s="3"/>
      <c r="AV254" s="3"/>
      <c r="AW254" s="3"/>
      <c r="AX254" s="3"/>
      <c r="AY254" s="3"/>
      <c r="BB254" s="3" t="s">
        <v>1107</v>
      </c>
      <c r="BG254">
        <v>2</v>
      </c>
      <c r="BH254" t="s">
        <v>1058</v>
      </c>
      <c r="BO254" s="1164" t="str">
        <f>VLOOKUP(BG252,BG253:BH256,2,FALSE)</f>
        <v>Nonprofit</v>
      </c>
    </row>
    <row r="255" spans="1:67" ht="12.95" customHeight="1">
      <c r="A255" s="1163"/>
      <c r="B255" s="3"/>
      <c r="C255" s="3"/>
      <c r="D255" s="3" t="s">
        <v>1085</v>
      </c>
      <c r="E255" s="3"/>
      <c r="F255" s="3"/>
      <c r="G255" s="3"/>
      <c r="H255" s="3"/>
      <c r="I255" s="3"/>
      <c r="J255" s="3"/>
      <c r="K255" s="3"/>
      <c r="L255" s="1163"/>
      <c r="M255" s="1460" t="s">
        <v>805</v>
      </c>
      <c r="N255" s="1460"/>
      <c r="O255" s="1460"/>
      <c r="P255" s="1460"/>
      <c r="Q255" s="1460"/>
      <c r="R255" s="1460"/>
      <c r="S255" s="1460"/>
      <c r="T255" s="1460"/>
      <c r="U255" s="1460"/>
      <c r="V255" s="1460"/>
      <c r="W255" s="1460"/>
      <c r="X255" s="1460"/>
      <c r="Y255" s="1460"/>
      <c r="Z255" s="1460"/>
      <c r="AA255" s="1460"/>
      <c r="AB255" s="1460"/>
      <c r="AC255" s="1460"/>
      <c r="AD255" s="1460"/>
      <c r="AE255" s="1460"/>
      <c r="AH255" s="1727">
        <v>5.1000000000000004E-3</v>
      </c>
      <c r="AI255" s="1727"/>
      <c r="AJ255" s="1727"/>
      <c r="AK255" s="1727"/>
      <c r="AL255" s="3"/>
      <c r="AM255" s="3"/>
      <c r="AN255" s="3"/>
      <c r="AO255" s="3"/>
      <c r="AP255" s="3"/>
      <c r="AQ255" s="3"/>
      <c r="AR255" s="3"/>
      <c r="AS255" s="3"/>
      <c r="AT255" s="3"/>
      <c r="BB255" s="3" t="s">
        <v>1108</v>
      </c>
      <c r="BG255">
        <v>3</v>
      </c>
      <c r="BH255" t="s">
        <v>1109</v>
      </c>
      <c r="BN255" s="3"/>
    </row>
    <row r="256" spans="1:67" ht="12.95" customHeight="1">
      <c r="A256" s="1163"/>
      <c r="B256" s="3"/>
      <c r="C256" s="3"/>
      <c r="D256" s="3" t="s">
        <v>1086</v>
      </c>
      <c r="E256" s="3"/>
      <c r="F256" s="3"/>
      <c r="M256" s="1427" t="s">
        <v>1087</v>
      </c>
      <c r="N256" s="1427"/>
      <c r="O256" s="1427"/>
      <c r="P256" s="1427"/>
      <c r="Q256" s="1427"/>
      <c r="R256" s="1427"/>
      <c r="S256" s="3" t="s">
        <v>1088</v>
      </c>
      <c r="T256" s="3"/>
      <c r="U256" s="1381">
        <v>2005</v>
      </c>
      <c r="V256" s="1381"/>
      <c r="W256" s="1381"/>
      <c r="X256" s="3" t="s">
        <v>1089</v>
      </c>
      <c r="Z256" s="1427" t="s">
        <v>1090</v>
      </c>
      <c r="AA256" s="1427"/>
      <c r="AB256" s="1427"/>
      <c r="AC256" s="1427"/>
      <c r="AD256" s="1427"/>
      <c r="AE256" s="1427"/>
      <c r="AU256" s="3"/>
      <c r="AV256" s="3"/>
      <c r="AW256" s="3"/>
      <c r="AX256" s="3"/>
      <c r="AY256" s="3"/>
      <c r="BG256">
        <v>0</v>
      </c>
      <c r="BH256" s="3" t="str">
        <f>""</f>
        <v/>
      </c>
      <c r="BN256" s="3"/>
    </row>
    <row r="257" spans="1:66" ht="12.95" customHeight="1">
      <c r="A257" s="1163"/>
      <c r="B257" s="3"/>
      <c r="C257" s="3"/>
      <c r="D257" s="3" t="s">
        <v>1092</v>
      </c>
      <c r="E257" s="3"/>
      <c r="F257" s="3"/>
      <c r="M257" s="1733" t="s">
        <v>1093</v>
      </c>
      <c r="N257" s="1733"/>
      <c r="O257" s="1733"/>
      <c r="P257" s="1733"/>
      <c r="Q257" s="1733"/>
      <c r="R257" s="1733"/>
      <c r="S257" s="1733"/>
      <c r="T257" s="1733"/>
      <c r="U257" s="1733"/>
      <c r="V257" s="1733"/>
      <c r="W257" s="1733"/>
      <c r="X257" s="1733"/>
      <c r="Y257" s="1733"/>
      <c r="Z257" s="1733"/>
      <c r="AA257" s="1733"/>
      <c r="AB257" s="1733"/>
      <c r="AC257" s="1733"/>
      <c r="AD257" s="1733"/>
      <c r="AE257" s="1733"/>
      <c r="AG257" s="3"/>
      <c r="AH257" s="3"/>
      <c r="AI257" s="3"/>
      <c r="AJ257" s="3"/>
      <c r="AK257" s="3"/>
      <c r="AL257" s="3"/>
      <c r="AM257" s="3"/>
      <c r="AN257" s="3"/>
      <c r="AO257" s="3"/>
      <c r="AP257" s="3"/>
      <c r="AQ257" s="3"/>
      <c r="AR257" s="3"/>
      <c r="AS257" s="3"/>
      <c r="AT257" s="3"/>
      <c r="BN257" s="3"/>
    </row>
    <row r="258" spans="1:66" ht="12.95" customHeight="1">
      <c r="A258" s="12"/>
      <c r="B258" s="3"/>
      <c r="C258" s="48"/>
      <c r="D258" s="3" t="s">
        <v>1110</v>
      </c>
      <c r="E258" s="3"/>
      <c r="F258" s="3"/>
      <c r="G258" s="3"/>
      <c r="H258" s="3"/>
      <c r="I258" s="3"/>
      <c r="J258" s="3"/>
      <c r="K258" s="3"/>
      <c r="L258" s="3"/>
      <c r="M258" s="1439" t="s">
        <v>1105</v>
      </c>
      <c r="N258" s="1439"/>
      <c r="O258" s="1439"/>
      <c r="P258" s="1439"/>
      <c r="Q258" s="1439"/>
      <c r="R258" s="1439"/>
      <c r="S258" s="1439"/>
      <c r="T258" s="1439"/>
      <c r="U258" s="136" t="s">
        <v>1095</v>
      </c>
      <c r="V258" s="136"/>
      <c r="W258" s="136"/>
      <c r="X258" s="136"/>
      <c r="Y258" s="136"/>
      <c r="Z258" s="136"/>
      <c r="AA258" s="1724"/>
      <c r="AB258" s="1724"/>
      <c r="AC258" s="1724"/>
      <c r="AD258" s="1724"/>
      <c r="AE258" s="1724"/>
      <c r="AF258" s="1724"/>
      <c r="AG258" s="1724"/>
      <c r="AH258" s="1724"/>
      <c r="AI258" s="1724"/>
      <c r="AJ258" s="1724"/>
      <c r="AK258" s="1724"/>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1111</v>
      </c>
      <c r="D260" s="3" t="s">
        <v>1112</v>
      </c>
      <c r="E260" s="3"/>
      <c r="F260" s="3"/>
      <c r="G260" s="3"/>
      <c r="H260" s="3"/>
      <c r="I260" s="3"/>
      <c r="J260" s="3"/>
      <c r="K260" s="3"/>
      <c r="L260" s="3"/>
      <c r="M260" s="1462" t="s">
        <v>673</v>
      </c>
      <c r="N260" s="1462"/>
      <c r="O260" s="1462"/>
      <c r="P260" s="1462"/>
      <c r="Q260" s="1462"/>
      <c r="R260" s="1462"/>
      <c r="S260" s="1462"/>
      <c r="T260" s="1462"/>
      <c r="U260" s="1462"/>
      <c r="V260" s="1462"/>
      <c r="W260" s="1462"/>
      <c r="X260" s="1462"/>
      <c r="Y260" s="1462"/>
      <c r="Z260" s="1462"/>
      <c r="AA260" s="1462"/>
      <c r="AB260" s="1462"/>
      <c r="AC260" s="1462"/>
      <c r="AD260" s="1462"/>
      <c r="AE260" s="1462"/>
      <c r="AF260" s="1462" t="s">
        <v>1113</v>
      </c>
      <c r="AG260" s="1462"/>
      <c r="AH260" s="1462"/>
      <c r="AI260" s="1462"/>
      <c r="AJ260" s="1462"/>
      <c r="AK260" s="1462"/>
      <c r="AU260" s="3"/>
      <c r="AV260" s="3"/>
      <c r="AW260" s="3"/>
      <c r="AX260" s="3"/>
      <c r="AY260" s="3"/>
      <c r="BN260" s="3"/>
    </row>
    <row r="261" spans="1:66" ht="12.95" customHeight="1">
      <c r="A261" s="1163"/>
      <c r="B261" s="3"/>
      <c r="C261" s="3"/>
      <c r="D261" s="3" t="s">
        <v>1081</v>
      </c>
      <c r="E261" s="3"/>
      <c r="F261" s="3"/>
      <c r="G261" s="3"/>
      <c r="H261" s="3"/>
      <c r="I261" s="3"/>
      <c r="J261" s="3"/>
      <c r="K261" s="3"/>
      <c r="L261" s="3"/>
      <c r="M261" s="1460" t="s">
        <v>1082</v>
      </c>
      <c r="N261" s="1460"/>
      <c r="O261" s="1460"/>
      <c r="P261" s="1460"/>
      <c r="Q261" s="1460"/>
      <c r="R261" s="1460"/>
      <c r="S261" s="1460"/>
      <c r="T261" s="1460"/>
      <c r="U261" s="1460"/>
      <c r="V261" s="1460"/>
      <c r="W261" s="1460"/>
      <c r="X261" s="1460"/>
      <c r="Y261" s="1460"/>
      <c r="Z261" s="1460"/>
      <c r="AA261" s="1460"/>
      <c r="AB261" s="1460"/>
      <c r="AC261" s="1460"/>
      <c r="AD261" s="1460"/>
      <c r="AE261" s="1460"/>
      <c r="AF261" s="3" t="s">
        <v>1104</v>
      </c>
      <c r="AL261" s="3"/>
      <c r="AM261" s="3"/>
      <c r="AN261" s="3"/>
      <c r="AO261" s="3"/>
      <c r="AP261" s="3"/>
      <c r="AQ261" s="3"/>
      <c r="AR261" s="3"/>
      <c r="AS261" s="3"/>
      <c r="AT261" s="3"/>
      <c r="BN261" s="3"/>
    </row>
    <row r="262" spans="1:66" ht="12.95" customHeight="1">
      <c r="A262" s="1163"/>
      <c r="B262" s="3"/>
      <c r="C262" s="3"/>
      <c r="D262" s="3" t="s">
        <v>946</v>
      </c>
      <c r="E262" s="3"/>
      <c r="M262" s="1460" t="s">
        <v>801</v>
      </c>
      <c r="N262" s="1460"/>
      <c r="O262" s="1460"/>
      <c r="P262" s="1460"/>
      <c r="Q262" s="1460"/>
      <c r="R262" s="1460"/>
      <c r="S262" s="1460"/>
      <c r="T262" s="1460"/>
      <c r="V262" s="918" t="s">
        <v>1083</v>
      </c>
      <c r="W262" s="1381" t="s">
        <v>1084</v>
      </c>
      <c r="X262" s="1381"/>
      <c r="Y262" s="3" t="s">
        <v>950</v>
      </c>
      <c r="AC262" s="1460">
        <v>93301</v>
      </c>
      <c r="AD262" s="1460"/>
      <c r="AE262" s="1460"/>
      <c r="AF262" s="3" t="s">
        <v>1106</v>
      </c>
      <c r="AU262" s="3"/>
      <c r="AV262" s="3"/>
      <c r="AW262" s="3"/>
      <c r="AX262" s="3"/>
      <c r="AY262" s="3"/>
      <c r="BN262" s="3"/>
    </row>
    <row r="263" spans="1:66" ht="12.95" customHeight="1">
      <c r="A263" s="1163"/>
      <c r="B263" s="3"/>
      <c r="C263" s="3"/>
      <c r="D263" s="3" t="s">
        <v>1085</v>
      </c>
      <c r="E263" s="3"/>
      <c r="F263" s="3"/>
      <c r="G263" s="3"/>
      <c r="H263" s="3"/>
      <c r="I263" s="3"/>
      <c r="J263" s="3"/>
      <c r="K263" s="3"/>
      <c r="L263" s="1163"/>
      <c r="M263" s="1460" t="s">
        <v>805</v>
      </c>
      <c r="N263" s="1460"/>
      <c r="O263" s="1460"/>
      <c r="P263" s="1460"/>
      <c r="Q263" s="1460"/>
      <c r="R263" s="1460"/>
      <c r="S263" s="1460"/>
      <c r="T263" s="1460"/>
      <c r="U263" s="1460"/>
      <c r="V263" s="1460"/>
      <c r="W263" s="1460"/>
      <c r="X263" s="1460"/>
      <c r="Y263" s="1460"/>
      <c r="Z263" s="1460"/>
      <c r="AA263" s="1460"/>
      <c r="AB263" s="1460"/>
      <c r="AC263" s="1460"/>
      <c r="AD263" s="1460"/>
      <c r="AE263" s="1460"/>
      <c r="AH263" s="1727">
        <v>4.8999999999999998E-3</v>
      </c>
      <c r="AI263" s="1727"/>
      <c r="AJ263" s="1727"/>
      <c r="AK263" s="1727"/>
      <c r="AL263" s="3"/>
      <c r="AM263" s="3"/>
      <c r="AN263" s="3"/>
      <c r="AO263" s="3"/>
      <c r="AP263" s="3"/>
      <c r="AQ263" s="3"/>
      <c r="AR263" s="3"/>
      <c r="AS263" s="3"/>
      <c r="AT263" s="3"/>
    </row>
    <row r="264" spans="1:66" ht="12.95" customHeight="1">
      <c r="A264" s="1163"/>
      <c r="B264" s="3"/>
      <c r="C264" s="3"/>
      <c r="D264" s="3" t="s">
        <v>1086</v>
      </c>
      <c r="E264" s="3"/>
      <c r="F264" s="3"/>
      <c r="M264" s="1427" t="s">
        <v>1087</v>
      </c>
      <c r="N264" s="1427"/>
      <c r="O264" s="1427"/>
      <c r="P264" s="1427"/>
      <c r="Q264" s="1427"/>
      <c r="R264" s="1427"/>
      <c r="S264" s="3" t="s">
        <v>1088</v>
      </c>
      <c r="T264" s="3"/>
      <c r="U264" s="1381">
        <v>2005</v>
      </c>
      <c r="V264" s="1381"/>
      <c r="W264" s="1381"/>
      <c r="X264" s="3" t="s">
        <v>1089</v>
      </c>
      <c r="Z264" s="1427" t="s">
        <v>1090</v>
      </c>
      <c r="AA264" s="1427"/>
      <c r="AB264" s="1427"/>
      <c r="AC264" s="1427"/>
      <c r="AD264" s="1427"/>
      <c r="AE264" s="1427"/>
      <c r="AU264" s="3"/>
      <c r="AV264" s="3"/>
      <c r="AW264" s="3"/>
      <c r="AX264" s="3"/>
      <c r="AY264" s="3"/>
      <c r="BN264" s="3"/>
    </row>
    <row r="265" spans="1:66" ht="12.95" customHeight="1">
      <c r="A265" s="1163"/>
      <c r="B265" s="3"/>
      <c r="C265" s="3"/>
      <c r="D265" s="3" t="s">
        <v>1092</v>
      </c>
      <c r="E265" s="3"/>
      <c r="F265" s="3"/>
      <c r="M265" s="1733" t="s">
        <v>1093</v>
      </c>
      <c r="N265" s="1733"/>
      <c r="O265" s="1733"/>
      <c r="P265" s="1733"/>
      <c r="Q265" s="1733"/>
      <c r="R265" s="1733"/>
      <c r="S265" s="1733"/>
      <c r="T265" s="1733"/>
      <c r="U265" s="1733"/>
      <c r="V265" s="1733"/>
      <c r="W265" s="1733"/>
      <c r="X265" s="1733"/>
      <c r="Y265" s="1733"/>
      <c r="Z265" s="1733"/>
      <c r="AA265" s="1733"/>
      <c r="AB265" s="1733"/>
      <c r="AC265" s="1733"/>
      <c r="AD265" s="1733"/>
      <c r="AE265" s="1733"/>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1110</v>
      </c>
      <c r="E266" s="3"/>
      <c r="F266" s="3"/>
      <c r="G266" s="3"/>
      <c r="H266" s="3"/>
      <c r="I266" s="3"/>
      <c r="J266" s="3"/>
      <c r="K266" s="3"/>
      <c r="L266" s="3"/>
      <c r="M266" s="1439" t="s">
        <v>1105</v>
      </c>
      <c r="N266" s="1439"/>
      <c r="O266" s="1439"/>
      <c r="P266" s="1439"/>
      <c r="Q266" s="1439"/>
      <c r="R266" s="1439"/>
      <c r="S266" s="1439"/>
      <c r="T266" s="1439"/>
      <c r="U266" s="136" t="s">
        <v>1095</v>
      </c>
      <c r="V266" s="136"/>
      <c r="W266" s="136"/>
      <c r="X266" s="136"/>
      <c r="Y266" s="136"/>
      <c r="Z266" s="136"/>
      <c r="AA266" s="1724"/>
      <c r="AB266" s="1724"/>
      <c r="AC266" s="1724"/>
      <c r="AD266" s="1724"/>
      <c r="AE266" s="1724"/>
      <c r="AF266" s="1724"/>
      <c r="AG266" s="1724"/>
      <c r="AH266" s="1724"/>
      <c r="AI266" s="1724"/>
      <c r="AJ266" s="1724"/>
      <c r="AK266" s="1724"/>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1114</v>
      </c>
      <c r="D268" s="3" t="s">
        <v>1100</v>
      </c>
      <c r="E268" s="3"/>
      <c r="F268" s="3"/>
      <c r="G268" s="3"/>
      <c r="H268" s="3"/>
      <c r="I268" s="3"/>
      <c r="J268" s="3"/>
      <c r="K268" s="3"/>
      <c r="L268" s="3"/>
      <c r="M268" s="1462" t="s">
        <v>904</v>
      </c>
      <c r="N268" s="1462"/>
      <c r="O268" s="1462"/>
      <c r="P268" s="1462"/>
      <c r="Q268" s="1462"/>
      <c r="R268" s="1462"/>
      <c r="S268" s="1462"/>
      <c r="T268" s="1462"/>
      <c r="U268" s="1462"/>
      <c r="V268" s="1462"/>
      <c r="W268" s="1462"/>
      <c r="X268" s="1462"/>
      <c r="Y268" s="1462"/>
      <c r="Z268" s="1462"/>
      <c r="AA268" s="1462"/>
      <c r="AB268" s="1462"/>
      <c r="AC268" s="1462"/>
      <c r="AD268" s="1462"/>
      <c r="AE268" s="1462"/>
      <c r="AF268" s="1462" t="s">
        <v>348</v>
      </c>
      <c r="AG268" s="1462"/>
      <c r="AH268" s="1462"/>
      <c r="AI268" s="1462"/>
      <c r="AJ268" s="1462"/>
      <c r="AK268" s="1462"/>
      <c r="AL268" s="3"/>
      <c r="AM268" s="3"/>
      <c r="AN268" s="3"/>
      <c r="AO268" s="3"/>
      <c r="AP268" s="3"/>
      <c r="AQ268" s="3"/>
      <c r="AR268" s="3"/>
      <c r="AS268" s="3"/>
      <c r="AT268" s="3"/>
      <c r="AU268" s="3"/>
      <c r="AV268" s="3"/>
      <c r="AW268" s="3"/>
      <c r="AX268" s="3"/>
      <c r="AY268" s="3"/>
    </row>
    <row r="269" spans="1:66" ht="12.95" customHeight="1">
      <c r="A269" s="12"/>
      <c r="B269" s="3"/>
      <c r="C269" s="3"/>
      <c r="D269" s="3" t="s">
        <v>1081</v>
      </c>
      <c r="E269" s="3"/>
      <c r="F269" s="3"/>
      <c r="G269" s="3"/>
      <c r="H269" s="3"/>
      <c r="I269" s="3"/>
      <c r="J269" s="3"/>
      <c r="K269" s="3"/>
      <c r="L269" s="3"/>
      <c r="M269" s="1460" t="s">
        <v>904</v>
      </c>
      <c r="N269" s="1460"/>
      <c r="O269" s="1460"/>
      <c r="P269" s="1460"/>
      <c r="Q269" s="1460"/>
      <c r="R269" s="1460"/>
      <c r="S269" s="1460"/>
      <c r="T269" s="1460"/>
      <c r="U269" s="1460"/>
      <c r="V269" s="1460"/>
      <c r="W269" s="1460"/>
      <c r="X269" s="1460"/>
      <c r="Y269" s="1460"/>
      <c r="Z269" s="1460"/>
      <c r="AA269" s="1460"/>
      <c r="AB269" s="1460"/>
      <c r="AC269" s="1460"/>
      <c r="AD269" s="1460"/>
      <c r="AE269" s="1460"/>
      <c r="AF269" s="3" t="s">
        <v>1104</v>
      </c>
      <c r="AL269" s="3"/>
      <c r="AM269" s="3"/>
      <c r="AN269" s="3"/>
      <c r="AO269" s="3"/>
      <c r="AP269" s="3"/>
      <c r="AQ269" s="3"/>
      <c r="AR269" s="3"/>
      <c r="AS269" s="3"/>
      <c r="AT269" s="3"/>
      <c r="AU269" s="3"/>
      <c r="AV269" s="3"/>
      <c r="AW269" s="3"/>
      <c r="AX269" s="3"/>
      <c r="AY269" s="3"/>
    </row>
    <row r="270" spans="1:66" ht="12.95" customHeight="1">
      <c r="A270" s="12"/>
      <c r="B270" s="3"/>
      <c r="C270" s="3"/>
      <c r="D270" s="3" t="s">
        <v>946</v>
      </c>
      <c r="E270" s="3"/>
      <c r="M270" s="1460" t="s">
        <v>904</v>
      </c>
      <c r="N270" s="1460"/>
      <c r="O270" s="1460"/>
      <c r="P270" s="1460"/>
      <c r="Q270" s="1460"/>
      <c r="R270" s="1460"/>
      <c r="S270" s="1460"/>
      <c r="T270" s="1460"/>
      <c r="V270" s="918" t="s">
        <v>1083</v>
      </c>
      <c r="W270" s="1381" t="s">
        <v>904</v>
      </c>
      <c r="X270" s="1381"/>
      <c r="Y270" s="3" t="s">
        <v>950</v>
      </c>
      <c r="AC270" s="1460" t="s">
        <v>904</v>
      </c>
      <c r="AD270" s="1460"/>
      <c r="AE270" s="1460"/>
      <c r="AF270" s="3" t="s">
        <v>1106</v>
      </c>
      <c r="AL270" s="3"/>
      <c r="AM270" s="3"/>
      <c r="AN270" s="3"/>
      <c r="AO270" s="3"/>
      <c r="AP270" s="3"/>
      <c r="AQ270" s="3"/>
      <c r="AR270" s="3"/>
      <c r="AS270" s="3"/>
      <c r="AT270" s="3"/>
      <c r="AU270" s="3"/>
      <c r="AV270" s="3"/>
      <c r="AW270" s="3"/>
      <c r="AX270" s="3"/>
      <c r="AY270" s="3"/>
    </row>
    <row r="271" spans="1:66" ht="12.95" customHeight="1">
      <c r="A271" s="12"/>
      <c r="B271" s="3"/>
      <c r="C271" s="3"/>
      <c r="D271" s="3" t="s">
        <v>1085</v>
      </c>
      <c r="E271" s="3"/>
      <c r="F271" s="3"/>
      <c r="G271" s="3"/>
      <c r="H271" s="3"/>
      <c r="I271" s="3"/>
      <c r="J271" s="3"/>
      <c r="K271" s="3"/>
      <c r="L271" s="1163"/>
      <c r="M271" s="1460" t="s">
        <v>904</v>
      </c>
      <c r="N271" s="1460"/>
      <c r="O271" s="1460"/>
      <c r="P271" s="1460"/>
      <c r="Q271" s="1460"/>
      <c r="R271" s="1460"/>
      <c r="S271" s="1460"/>
      <c r="T271" s="1460"/>
      <c r="U271" s="1460"/>
      <c r="V271" s="1460"/>
      <c r="W271" s="1460"/>
      <c r="X271" s="1460"/>
      <c r="Y271" s="1460"/>
      <c r="Z271" s="1460"/>
      <c r="AA271" s="1460"/>
      <c r="AB271" s="1460"/>
      <c r="AC271" s="1460"/>
      <c r="AD271" s="1460"/>
      <c r="AE271" s="1460"/>
      <c r="AH271" s="1727" t="s">
        <v>904</v>
      </c>
      <c r="AI271" s="1727"/>
      <c r="AJ271" s="1727"/>
      <c r="AK271" s="1727"/>
      <c r="AL271" s="3"/>
      <c r="AM271" s="3"/>
      <c r="AN271" s="3"/>
      <c r="AO271" s="3"/>
      <c r="AP271" s="3"/>
      <c r="AQ271" s="3"/>
      <c r="AR271" s="3"/>
      <c r="AS271" s="3"/>
      <c r="AT271" s="3"/>
      <c r="AU271" s="3"/>
      <c r="AV271" s="3"/>
      <c r="AW271" s="3"/>
      <c r="AX271" s="3"/>
      <c r="AY271" s="3"/>
    </row>
    <row r="272" spans="1:66" ht="12.95" customHeight="1">
      <c r="A272" s="12"/>
      <c r="B272" s="3"/>
      <c r="C272" s="3"/>
      <c r="D272" s="3" t="s">
        <v>1086</v>
      </c>
      <c r="E272" s="3"/>
      <c r="F272" s="3"/>
      <c r="M272" s="1427" t="s">
        <v>904</v>
      </c>
      <c r="N272" s="1427"/>
      <c r="O272" s="1427"/>
      <c r="P272" s="1427"/>
      <c r="Q272" s="1427"/>
      <c r="R272" s="1427"/>
      <c r="S272" s="3" t="s">
        <v>1088</v>
      </c>
      <c r="T272" s="3"/>
      <c r="U272" s="1381"/>
      <c r="V272" s="1381"/>
      <c r="W272" s="1381"/>
      <c r="X272" s="3" t="s">
        <v>1089</v>
      </c>
      <c r="Z272" s="1427" t="s">
        <v>904</v>
      </c>
      <c r="AA272" s="1427"/>
      <c r="AB272" s="1427"/>
      <c r="AC272" s="1427"/>
      <c r="AD272" s="1427"/>
      <c r="AE272" s="1427"/>
      <c r="AL272" s="3"/>
      <c r="AM272" s="3"/>
      <c r="AN272" s="3"/>
      <c r="AO272" s="3"/>
      <c r="AP272" s="3"/>
      <c r="AQ272" s="3"/>
      <c r="AR272" s="3"/>
      <c r="AS272" s="3"/>
      <c r="AT272" s="3"/>
      <c r="AU272" s="3"/>
      <c r="AV272" s="3"/>
      <c r="AW272" s="3"/>
      <c r="AX272" s="3"/>
      <c r="AY272" s="3"/>
    </row>
    <row r="273" spans="1:51" ht="12.95" customHeight="1">
      <c r="A273" s="12"/>
      <c r="B273" s="3"/>
      <c r="C273" s="3"/>
      <c r="D273" s="3" t="s">
        <v>1092</v>
      </c>
      <c r="E273" s="3"/>
      <c r="F273" s="3"/>
      <c r="M273" s="1733" t="s">
        <v>904</v>
      </c>
      <c r="N273" s="1733"/>
      <c r="O273" s="1733"/>
      <c r="P273" s="1733"/>
      <c r="Q273" s="1733"/>
      <c r="R273" s="1733"/>
      <c r="S273" s="1733"/>
      <c r="T273" s="1733"/>
      <c r="U273" s="1733"/>
      <c r="V273" s="1733"/>
      <c r="W273" s="1733"/>
      <c r="X273" s="1733"/>
      <c r="Y273" s="1733"/>
      <c r="Z273" s="1733"/>
      <c r="AA273" s="1750"/>
      <c r="AB273" s="1750"/>
      <c r="AC273" s="1750"/>
      <c r="AD273" s="1750"/>
      <c r="AE273" s="1750"/>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1110</v>
      </c>
      <c r="E274" s="3"/>
      <c r="F274" s="3"/>
      <c r="G274" s="3"/>
      <c r="H274" s="3"/>
      <c r="I274" s="3"/>
      <c r="J274" s="3"/>
      <c r="K274" s="3"/>
      <c r="L274" s="3"/>
      <c r="M274" s="1439" t="s">
        <v>348</v>
      </c>
      <c r="N274" s="1439"/>
      <c r="O274" s="1439"/>
      <c r="P274" s="1439"/>
      <c r="Q274" s="1439"/>
      <c r="R274" s="1439"/>
      <c r="S274" s="1439"/>
      <c r="T274" s="1439"/>
      <c r="U274" s="136" t="s">
        <v>1095</v>
      </c>
      <c r="V274" s="136"/>
      <c r="W274" s="136"/>
      <c r="X274" s="136"/>
      <c r="Y274" s="136"/>
      <c r="Z274" s="136"/>
      <c r="AA274" s="1725" t="s">
        <v>904</v>
      </c>
      <c r="AB274" s="1726"/>
      <c r="AC274" s="1726"/>
      <c r="AD274" s="1726"/>
      <c r="AE274" s="1726"/>
      <c r="AF274" s="1726"/>
      <c r="AG274" s="1726"/>
      <c r="AH274" s="1726"/>
      <c r="AI274" s="1726"/>
      <c r="AJ274" s="1726"/>
      <c r="AK274" s="1726"/>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1035</v>
      </c>
      <c r="B276" s="3"/>
      <c r="C276" s="2" t="s">
        <v>1115</v>
      </c>
      <c r="D276" s="3"/>
      <c r="E276" s="3"/>
      <c r="F276" s="3"/>
      <c r="G276" s="3"/>
      <c r="H276" s="3"/>
      <c r="I276" s="3"/>
      <c r="J276" s="3"/>
      <c r="K276" s="3"/>
      <c r="L276" s="3"/>
      <c r="M276" s="84"/>
      <c r="N276" s="84"/>
      <c r="O276" s="84"/>
      <c r="P276" s="84"/>
      <c r="Q276" s="84"/>
      <c r="T276" s="1728" t="str">
        <f>IFERROR(BO254,"")</f>
        <v>Nonprofit</v>
      </c>
      <c r="U276" s="1728"/>
      <c r="V276" s="1728"/>
      <c r="W276" s="1728"/>
      <c r="X276" s="1728"/>
      <c r="Z276" s="214" t="s">
        <v>1116</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1117</v>
      </c>
      <c r="AF277" s="3"/>
      <c r="AG277" s="3"/>
      <c r="AH277" s="3"/>
      <c r="AI277" s="3"/>
      <c r="AJ277" s="3"/>
      <c r="AL277" s="56"/>
    </row>
    <row r="278" spans="1:51" ht="12.95" customHeight="1">
      <c r="A278" s="2" t="s">
        <v>1062</v>
      </c>
      <c r="B278" s="3"/>
      <c r="C278" s="2" t="s">
        <v>124</v>
      </c>
      <c r="D278" s="3"/>
      <c r="E278" s="3"/>
      <c r="F278" s="3"/>
      <c r="G278" s="3"/>
      <c r="H278" s="3"/>
      <c r="I278" s="3"/>
      <c r="J278" s="3"/>
      <c r="K278" s="3"/>
      <c r="L278" s="3"/>
      <c r="M278" s="3"/>
      <c r="N278" s="3"/>
      <c r="O278" s="3"/>
      <c r="P278" s="3"/>
      <c r="Q278" s="3"/>
      <c r="R278" s="3"/>
      <c r="S278" s="3"/>
      <c r="T278" s="3"/>
      <c r="U278" s="3"/>
      <c r="V278" s="3"/>
      <c r="W278" s="3"/>
      <c r="Z278" s="218" t="s">
        <v>1118</v>
      </c>
      <c r="AA278" s="40"/>
      <c r="AB278" s="40"/>
      <c r="AC278" s="40"/>
      <c r="AD278" s="40"/>
      <c r="AE278" s="40"/>
      <c r="AF278" s="788"/>
      <c r="AG278" s="788"/>
      <c r="AH278" s="788"/>
      <c r="AI278" s="788"/>
      <c r="AJ278" s="788"/>
      <c r="AK278" s="40"/>
      <c r="AL278" s="41"/>
    </row>
    <row r="279" spans="1:51" ht="12.95" customHeight="1">
      <c r="A279" s="3"/>
      <c r="B279" s="28">
        <v>0</v>
      </c>
      <c r="D279" s="1460" t="s">
        <v>1108</v>
      </c>
      <c r="E279" s="1460"/>
      <c r="F279" s="1460"/>
      <c r="G279" s="1460"/>
      <c r="H279" s="1460"/>
      <c r="J279" t="s">
        <v>1119</v>
      </c>
      <c r="X279" s="1450">
        <v>46160</v>
      </c>
      <c r="Y279" s="1450"/>
      <c r="Z279" s="1450"/>
      <c r="AA279" s="1450"/>
      <c r="AB279" s="1450"/>
      <c r="AC279" s="1450"/>
      <c r="AU279" s="3"/>
      <c r="AV279" s="3"/>
      <c r="AW279" s="3"/>
      <c r="AX279" s="3"/>
      <c r="AY279" s="3"/>
    </row>
    <row r="280" spans="1:51" ht="12.95" customHeight="1">
      <c r="A280" s="3"/>
      <c r="B280" s="1163"/>
      <c r="D280" s="29" t="s">
        <v>1120</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1121</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1122</v>
      </c>
      <c r="E283" s="3"/>
      <c r="F283" s="3"/>
      <c r="G283" s="3"/>
      <c r="H283" s="3"/>
      <c r="I283" s="3"/>
      <c r="J283" s="3"/>
      <c r="K283" s="3"/>
      <c r="L283" s="1462" t="s">
        <v>673</v>
      </c>
      <c r="M283" s="1462"/>
      <c r="N283" s="1462"/>
      <c r="O283" s="1462"/>
      <c r="P283" s="1462"/>
      <c r="Q283" s="1462"/>
      <c r="R283" s="1462"/>
      <c r="S283" s="1462"/>
      <c r="T283" s="1462"/>
      <c r="U283" s="1462"/>
      <c r="V283" s="1462"/>
      <c r="W283" s="1462"/>
      <c r="X283" s="1462"/>
      <c r="Y283" s="1462"/>
      <c r="Z283" s="1462"/>
      <c r="AA283" s="1462"/>
      <c r="AB283" s="1462"/>
      <c r="AC283" s="1462"/>
      <c r="AD283" s="1462"/>
      <c r="AE283" s="1462"/>
      <c r="AF283" s="1462"/>
      <c r="AG283" s="1462"/>
      <c r="AH283" s="1462"/>
      <c r="AI283" s="1462"/>
      <c r="AJ283" s="1462"/>
      <c r="AK283" s="3"/>
      <c r="AL283" s="3"/>
      <c r="AM283" s="3"/>
      <c r="AN283" s="3"/>
      <c r="AO283" s="3"/>
      <c r="AP283" s="3"/>
      <c r="AQ283" s="3"/>
      <c r="AR283" s="3"/>
      <c r="AS283" s="3"/>
      <c r="AT283" s="3"/>
      <c r="AU283" s="3"/>
      <c r="AV283" s="3"/>
      <c r="AW283" s="3"/>
      <c r="AX283" s="3"/>
      <c r="AY283" s="3"/>
    </row>
    <row r="284" spans="1:51" ht="12.95" customHeight="1">
      <c r="D284" s="3" t="s">
        <v>1081</v>
      </c>
      <c r="E284" s="3"/>
      <c r="F284" s="3"/>
      <c r="G284" s="3"/>
      <c r="H284" s="3"/>
      <c r="I284" s="3"/>
      <c r="J284" s="3"/>
      <c r="K284" s="3"/>
      <c r="L284" s="1460" t="s">
        <v>1082</v>
      </c>
      <c r="M284" s="1460"/>
      <c r="N284" s="1460"/>
      <c r="O284" s="1460"/>
      <c r="P284" s="1460"/>
      <c r="Q284" s="1460"/>
      <c r="R284" s="1460"/>
      <c r="S284" s="1460"/>
      <c r="T284" s="1460"/>
      <c r="U284" s="1460"/>
      <c r="V284" s="1460"/>
      <c r="W284" s="1460"/>
      <c r="X284" s="1460"/>
      <c r="Y284" s="1460"/>
      <c r="Z284" s="1460"/>
      <c r="AA284" s="1460"/>
      <c r="AB284" s="1460"/>
      <c r="AC284" s="1460"/>
      <c r="AD284" s="1460"/>
      <c r="AK284" s="3"/>
      <c r="AL284" s="3"/>
      <c r="AM284" s="3"/>
      <c r="AN284" s="3"/>
      <c r="AO284" s="3"/>
      <c r="AP284" s="3"/>
      <c r="AQ284" s="3"/>
      <c r="AR284" s="3"/>
      <c r="AS284" s="3"/>
      <c r="AT284" s="3"/>
      <c r="AU284" s="3"/>
      <c r="AV284" s="3"/>
      <c r="AW284" s="3"/>
      <c r="AX284" s="3"/>
      <c r="AY284" s="3"/>
    </row>
    <row r="285" spans="1:51" ht="12.95" customHeight="1">
      <c r="D285" s="3" t="s">
        <v>946</v>
      </c>
      <c r="E285" s="3"/>
      <c r="L285" s="1460" t="s">
        <v>801</v>
      </c>
      <c r="M285" s="1460"/>
      <c r="N285" s="1460"/>
      <c r="O285" s="1460"/>
      <c r="P285" s="1460"/>
      <c r="Q285" s="1460"/>
      <c r="R285" s="1460"/>
      <c r="S285" s="1460"/>
      <c r="U285" s="918" t="s">
        <v>1083</v>
      </c>
      <c r="V285" s="1381" t="s">
        <v>1084</v>
      </c>
      <c r="W285" s="1381"/>
      <c r="X285" s="3" t="s">
        <v>950</v>
      </c>
      <c r="AB285" s="1460">
        <v>93301</v>
      </c>
      <c r="AC285" s="1460"/>
      <c r="AD285" s="1460"/>
      <c r="AK285" s="3"/>
      <c r="AL285" s="3"/>
      <c r="AM285" s="3"/>
      <c r="AN285" s="3"/>
      <c r="AO285" s="3"/>
      <c r="AP285" s="3"/>
      <c r="AQ285" s="3"/>
      <c r="AR285" s="3"/>
      <c r="AS285" s="3"/>
      <c r="AT285" s="3"/>
      <c r="AU285" s="3"/>
      <c r="AV285" s="3"/>
      <c r="AW285" s="3"/>
      <c r="AX285" s="3"/>
      <c r="AY285" s="3"/>
    </row>
    <row r="286" spans="1:51" ht="12.95" customHeight="1">
      <c r="D286" s="3" t="s">
        <v>1085</v>
      </c>
      <c r="E286" s="3"/>
      <c r="F286" s="3"/>
      <c r="G286" s="3"/>
      <c r="H286" s="3"/>
      <c r="I286" s="3"/>
      <c r="J286" s="3"/>
      <c r="K286" s="1163"/>
      <c r="L286" s="1460" t="s">
        <v>805</v>
      </c>
      <c r="M286" s="1460"/>
      <c r="N286" s="1460"/>
      <c r="O286" s="1460"/>
      <c r="P286" s="1460"/>
      <c r="Q286" s="1460"/>
      <c r="R286" s="1460"/>
      <c r="S286" s="1460"/>
      <c r="T286" s="1460"/>
      <c r="U286" s="1460"/>
      <c r="V286" s="1460"/>
      <c r="W286" s="1460"/>
      <c r="X286" s="1460"/>
      <c r="Y286" s="1460"/>
      <c r="Z286" s="1460"/>
      <c r="AA286" s="1460"/>
      <c r="AB286" s="1460"/>
      <c r="AC286" s="1460"/>
      <c r="AD286" s="1460"/>
      <c r="AI286" s="3"/>
      <c r="AJ286" s="3"/>
      <c r="AK286" s="3"/>
      <c r="AL286" s="3"/>
      <c r="AM286" s="3"/>
      <c r="AN286" s="3"/>
      <c r="AO286" s="3"/>
      <c r="AP286" s="3"/>
      <c r="AQ286" s="3"/>
      <c r="AR286" s="3"/>
      <c r="AS286" s="3"/>
      <c r="AT286" s="3"/>
    </row>
    <row r="287" spans="1:51" ht="12.95" customHeight="1">
      <c r="D287" s="3" t="s">
        <v>1086</v>
      </c>
      <c r="E287" s="3"/>
      <c r="F287" s="3"/>
      <c r="L287" s="1427" t="s">
        <v>1087</v>
      </c>
      <c r="M287" s="1427"/>
      <c r="N287" s="1427"/>
      <c r="O287" s="1427"/>
      <c r="P287" s="1427"/>
      <c r="Q287" s="1427"/>
      <c r="R287" s="3" t="s">
        <v>1088</v>
      </c>
      <c r="S287" s="3"/>
      <c r="T287" s="1381">
        <v>2005</v>
      </c>
      <c r="U287" s="1381"/>
      <c r="V287" s="1381"/>
      <c r="W287" s="3" t="s">
        <v>1089</v>
      </c>
      <c r="Y287" s="1427" t="s">
        <v>1090</v>
      </c>
      <c r="Z287" s="1427"/>
      <c r="AA287" s="1427"/>
      <c r="AB287" s="1427"/>
      <c r="AC287" s="1427"/>
      <c r="AD287" s="1427"/>
    </row>
    <row r="288" spans="1:51" ht="12.95" customHeight="1">
      <c r="D288" s="3" t="s">
        <v>1092</v>
      </c>
      <c r="E288" s="3"/>
      <c r="F288" s="3"/>
      <c r="L288" s="1733" t="s">
        <v>1093</v>
      </c>
      <c r="M288" s="1733"/>
      <c r="N288" s="1733"/>
      <c r="O288" s="1733"/>
      <c r="P288" s="1733"/>
      <c r="Q288" s="1733"/>
      <c r="R288" s="1733"/>
      <c r="S288" s="1733"/>
      <c r="T288" s="1733"/>
      <c r="U288" s="1733"/>
      <c r="V288" s="1733"/>
      <c r="W288" s="1733"/>
      <c r="X288" s="1733"/>
      <c r="Y288" s="1733"/>
      <c r="Z288" s="1733"/>
      <c r="AA288" s="1733"/>
      <c r="AB288" s="1733"/>
      <c r="AC288" s="1733"/>
      <c r="AD288" s="1733"/>
      <c r="AF288" s="3"/>
      <c r="AG288" s="3"/>
      <c r="AH288" s="3"/>
      <c r="AI288" s="3"/>
      <c r="AJ288" s="3"/>
      <c r="AU288" s="3"/>
      <c r="AV288" s="3"/>
      <c r="AW288" s="3"/>
      <c r="AX288" s="3"/>
      <c r="AY288" s="3"/>
    </row>
    <row r="289" spans="1:51" ht="12.95" customHeight="1">
      <c r="D289" s="3" t="s">
        <v>1123</v>
      </c>
      <c r="E289" s="3"/>
      <c r="F289" s="3"/>
      <c r="G289" s="3"/>
      <c r="H289" s="3"/>
      <c r="I289" s="3"/>
      <c r="L289" s="1381" t="s">
        <v>1124</v>
      </c>
      <c r="M289" s="1381"/>
      <c r="N289" s="1381"/>
      <c r="O289" s="1381"/>
      <c r="P289" s="1381"/>
      <c r="Q289" s="1381"/>
      <c r="R289" s="1381"/>
      <c r="S289" s="1381"/>
      <c r="T289" s="1381"/>
      <c r="U289" s="1381"/>
      <c r="V289" s="1381"/>
      <c r="W289" s="1381"/>
      <c r="X289" s="1381"/>
      <c r="Y289" s="1381"/>
      <c r="Z289" s="1381"/>
      <c r="AA289" s="1381"/>
      <c r="AB289" s="1381"/>
      <c r="AC289" s="1381"/>
      <c r="AD289" s="1381"/>
      <c r="AK289" s="3"/>
      <c r="AL289" s="3"/>
      <c r="AM289" s="3"/>
      <c r="AN289" s="3"/>
      <c r="AO289" s="3"/>
      <c r="AP289" s="3"/>
      <c r="AQ289" s="3"/>
      <c r="AR289" s="3"/>
      <c r="AS289" s="3"/>
      <c r="AT289" s="3"/>
    </row>
    <row r="290" spans="1:51" ht="12.95" customHeight="1">
      <c r="L290" s="19" t="s">
        <v>1125</v>
      </c>
      <c r="AU290" s="70"/>
      <c r="AV290" s="70"/>
      <c r="AW290" s="70"/>
      <c r="AX290" s="70"/>
      <c r="AY290" s="70"/>
    </row>
    <row r="291" spans="1:51" ht="12.95" customHeight="1">
      <c r="A291" s="1328" t="s">
        <v>1126</v>
      </c>
      <c r="B291" s="1328"/>
      <c r="C291" s="1328"/>
      <c r="D291" s="1328"/>
      <c r="E291" s="1328"/>
      <c r="F291" s="1328"/>
      <c r="G291" s="1328"/>
      <c r="H291" s="1328"/>
      <c r="I291" s="1328"/>
      <c r="J291" s="1328"/>
      <c r="K291" s="1328"/>
      <c r="L291" s="1328"/>
      <c r="M291" s="1328"/>
      <c r="N291" s="1328"/>
      <c r="O291" s="1328"/>
      <c r="P291" s="1328"/>
      <c r="Q291" s="1328"/>
      <c r="R291" s="1328"/>
      <c r="S291" s="1328"/>
      <c r="T291" s="1328"/>
      <c r="U291" s="1328"/>
      <c r="V291" s="1328"/>
      <c r="W291" s="1328"/>
      <c r="X291" s="1328"/>
      <c r="Y291" s="1328"/>
      <c r="Z291" s="1328"/>
      <c r="AA291" s="1328"/>
      <c r="AB291" s="1328"/>
      <c r="AC291" s="1328"/>
      <c r="AD291" s="1328"/>
      <c r="AE291" s="1328"/>
      <c r="AF291" s="1328"/>
      <c r="AG291" s="1328"/>
      <c r="AH291" s="1328"/>
      <c r="AI291" s="1328"/>
      <c r="AJ291" s="1328"/>
      <c r="AK291" s="1328"/>
      <c r="AL291" s="1328"/>
      <c r="AM291" s="1328"/>
      <c r="AN291" s="1328"/>
      <c r="AO291" s="1328"/>
      <c r="AP291" s="1328"/>
      <c r="AQ291" s="1328"/>
      <c r="AR291" s="1328"/>
      <c r="AS291" s="1328"/>
      <c r="AT291" s="1328"/>
      <c r="AU291" s="70"/>
      <c r="AV291" s="70"/>
      <c r="AW291" s="70"/>
      <c r="AX291" s="70"/>
      <c r="AY291" s="70"/>
    </row>
    <row r="292" spans="1:51" ht="12.95" customHeight="1">
      <c r="A292" s="1328"/>
      <c r="B292" s="1328"/>
      <c r="C292" s="1328"/>
      <c r="D292" s="1328"/>
      <c r="E292" s="1328"/>
      <c r="F292" s="1328"/>
      <c r="G292" s="1328"/>
      <c r="H292" s="1328"/>
      <c r="I292" s="1328"/>
      <c r="J292" s="1328"/>
      <c r="K292" s="1328"/>
      <c r="L292" s="1328"/>
      <c r="M292" s="1328"/>
      <c r="N292" s="1328"/>
      <c r="O292" s="1328"/>
      <c r="P292" s="1328"/>
      <c r="Q292" s="1328"/>
      <c r="R292" s="1328"/>
      <c r="S292" s="1328"/>
      <c r="T292" s="1328"/>
      <c r="U292" s="1328"/>
      <c r="V292" s="1328"/>
      <c r="W292" s="1328"/>
      <c r="X292" s="1328"/>
      <c r="Y292" s="1328"/>
      <c r="Z292" s="1328"/>
      <c r="AA292" s="1328"/>
      <c r="AB292" s="1328"/>
      <c r="AC292" s="1328"/>
      <c r="AD292" s="1328"/>
      <c r="AE292" s="1328"/>
      <c r="AF292" s="1328"/>
      <c r="AG292" s="1328"/>
      <c r="AH292" s="1328"/>
      <c r="AI292" s="1328"/>
      <c r="AJ292" s="1328"/>
      <c r="AK292" s="1328"/>
      <c r="AL292" s="1328"/>
      <c r="AM292" s="1328"/>
      <c r="AN292" s="1328"/>
      <c r="AO292" s="1328"/>
      <c r="AP292" s="1328"/>
      <c r="AQ292" s="1328"/>
      <c r="AR292" s="1328"/>
      <c r="AS292" s="1328"/>
      <c r="AT292" s="1328"/>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885</v>
      </c>
      <c r="C294" s="2" t="s">
        <v>1127</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1128</v>
      </c>
      <c r="C296" s="3"/>
      <c r="D296" s="3"/>
      <c r="E296" s="3"/>
      <c r="F296" s="3"/>
      <c r="H296" s="1428" t="s">
        <v>673</v>
      </c>
      <c r="I296" s="1428"/>
      <c r="J296" s="1428"/>
      <c r="K296" s="1428"/>
      <c r="L296" s="1428"/>
      <c r="M296" s="1428"/>
      <c r="N296" s="1428"/>
      <c r="O296" s="1428"/>
      <c r="P296" s="1428"/>
      <c r="Q296" s="1428"/>
      <c r="R296" s="1428"/>
      <c r="T296" s="3" t="s">
        <v>1129</v>
      </c>
      <c r="V296" s="3"/>
      <c r="W296" s="3"/>
      <c r="X296" s="3"/>
      <c r="Y296" s="3"/>
      <c r="AA296" s="1428" t="s">
        <v>1130</v>
      </c>
      <c r="AB296" s="1428"/>
      <c r="AC296" s="1428"/>
      <c r="AD296" s="1428"/>
      <c r="AE296" s="1428"/>
      <c r="AF296" s="1428"/>
      <c r="AG296" s="1428"/>
      <c r="AH296" s="1428"/>
      <c r="AI296" s="1428"/>
      <c r="AJ296" s="1428"/>
      <c r="AK296" s="1428"/>
    </row>
    <row r="297" spans="1:51" ht="12.95" customHeight="1">
      <c r="B297" s="3" t="s">
        <v>1131</v>
      </c>
      <c r="C297" s="3"/>
      <c r="D297" s="3"/>
      <c r="E297" s="3"/>
      <c r="F297" s="3"/>
      <c r="H297" s="1439" t="s">
        <v>1082</v>
      </c>
      <c r="I297" s="1439"/>
      <c r="J297" s="1439"/>
      <c r="K297" s="1439"/>
      <c r="L297" s="1439"/>
      <c r="M297" s="1439"/>
      <c r="N297" s="1439"/>
      <c r="O297" s="1439"/>
      <c r="P297" s="1439"/>
      <c r="Q297" s="1439"/>
      <c r="R297" s="1439"/>
      <c r="T297" s="3" t="s">
        <v>1131</v>
      </c>
      <c r="V297" s="3"/>
      <c r="W297" s="3"/>
      <c r="X297" s="3"/>
      <c r="Y297" s="3"/>
      <c r="AA297" s="1439" t="s">
        <v>1132</v>
      </c>
      <c r="AB297" s="1439"/>
      <c r="AC297" s="1439"/>
      <c r="AD297" s="1439"/>
      <c r="AE297" s="1439"/>
      <c r="AF297" s="1439"/>
      <c r="AG297" s="1439"/>
      <c r="AH297" s="1439"/>
      <c r="AI297" s="1439"/>
      <c r="AJ297" s="1439"/>
      <c r="AK297" s="1439"/>
    </row>
    <row r="298" spans="1:51" ht="12.95" customHeight="1">
      <c r="B298" s="3" t="s">
        <v>1133</v>
      </c>
      <c r="C298" s="3"/>
      <c r="D298" s="3"/>
      <c r="E298" s="3"/>
      <c r="F298" s="3"/>
      <c r="H298" s="1439" t="s">
        <v>1134</v>
      </c>
      <c r="I298" s="1439"/>
      <c r="J298" s="1439"/>
      <c r="K298" s="1439"/>
      <c r="L298" s="1439"/>
      <c r="M298" s="1439"/>
      <c r="N298" s="1439"/>
      <c r="O298" s="1439"/>
      <c r="P298" s="1439"/>
      <c r="Q298" s="1439"/>
      <c r="R298" s="1439"/>
      <c r="T298" s="3" t="s">
        <v>1135</v>
      </c>
      <c r="V298" s="3"/>
      <c r="W298" s="3"/>
      <c r="X298" s="3"/>
      <c r="Y298" s="3"/>
      <c r="AA298" s="1439" t="s">
        <v>1136</v>
      </c>
      <c r="AB298" s="1439"/>
      <c r="AC298" s="1439"/>
      <c r="AD298" s="1439"/>
      <c r="AE298" s="1439"/>
      <c r="AF298" s="1439"/>
      <c r="AG298" s="1439"/>
      <c r="AH298" s="1439"/>
      <c r="AI298" s="1439"/>
      <c r="AJ298" s="1439"/>
      <c r="AK298" s="1439"/>
    </row>
    <row r="299" spans="1:51" ht="12.95" customHeight="1">
      <c r="B299" s="3" t="s">
        <v>1085</v>
      </c>
      <c r="C299" s="3"/>
      <c r="D299" s="3"/>
      <c r="E299" s="3"/>
      <c r="F299" s="3"/>
      <c r="H299" s="1439" t="s">
        <v>805</v>
      </c>
      <c r="I299" s="1439"/>
      <c r="J299" s="1439"/>
      <c r="K299" s="1439"/>
      <c r="L299" s="1439"/>
      <c r="M299" s="1439"/>
      <c r="N299" s="1439"/>
      <c r="O299" s="1439"/>
      <c r="P299" s="1439"/>
      <c r="Q299" s="1439"/>
      <c r="R299" s="1439"/>
      <c r="T299" s="3" t="s">
        <v>1085</v>
      </c>
      <c r="V299" s="3"/>
      <c r="W299" s="3"/>
      <c r="X299" s="3"/>
      <c r="Y299" s="3"/>
      <c r="AA299" s="1439" t="s">
        <v>1137</v>
      </c>
      <c r="AB299" s="1439"/>
      <c r="AC299" s="1439"/>
      <c r="AD299" s="1439"/>
      <c r="AE299" s="1439"/>
      <c r="AF299" s="1439"/>
      <c r="AG299" s="1439"/>
      <c r="AH299" s="1439"/>
      <c r="AI299" s="1439"/>
      <c r="AJ299" s="1439"/>
      <c r="AK299" s="1439"/>
    </row>
    <row r="300" spans="1:51" ht="12.95" customHeight="1">
      <c r="B300" s="3" t="s">
        <v>1086</v>
      </c>
      <c r="C300" s="3"/>
      <c r="D300" s="3"/>
      <c r="E300" s="3"/>
      <c r="F300" s="3"/>
      <c r="G300" s="3"/>
      <c r="H300" s="1464" t="s">
        <v>1087</v>
      </c>
      <c r="I300" s="1464"/>
      <c r="J300" s="1464"/>
      <c r="K300" s="1464"/>
      <c r="L300" s="1464"/>
      <c r="M300" s="1464"/>
      <c r="N300" s="3" t="s">
        <v>1088</v>
      </c>
      <c r="O300" s="3"/>
      <c r="P300" s="1460">
        <v>2005</v>
      </c>
      <c r="Q300" s="1460"/>
      <c r="R300" s="1460"/>
      <c r="S300" s="3"/>
      <c r="T300" s="3" t="s">
        <v>1086</v>
      </c>
      <c r="V300" s="3"/>
      <c r="W300" s="3"/>
      <c r="X300" s="3"/>
      <c r="Y300" s="3"/>
      <c r="AA300" s="1464" t="s">
        <v>1138</v>
      </c>
      <c r="AB300" s="1464"/>
      <c r="AC300" s="1464"/>
      <c r="AD300" s="1464"/>
      <c r="AE300" s="1464"/>
      <c r="AF300" s="1464"/>
      <c r="AG300" s="3" t="s">
        <v>1088</v>
      </c>
      <c r="AH300" s="3"/>
      <c r="AI300" s="1460"/>
      <c r="AJ300" s="1460"/>
      <c r="AK300" s="1460"/>
    </row>
    <row r="301" spans="1:51" ht="12.95" customHeight="1">
      <c r="B301" s="3" t="s">
        <v>1089</v>
      </c>
      <c r="C301" s="3"/>
      <c r="D301" s="3"/>
      <c r="E301" s="3"/>
      <c r="F301" s="3"/>
      <c r="G301" s="3"/>
      <c r="H301" s="1427" t="s">
        <v>1090</v>
      </c>
      <c r="I301" s="1427"/>
      <c r="J301" s="1427"/>
      <c r="K301" s="1427"/>
      <c r="L301" s="1427"/>
      <c r="M301" s="1427"/>
      <c r="N301" s="3"/>
      <c r="O301" s="3"/>
      <c r="P301" s="84"/>
      <c r="Q301" s="84"/>
      <c r="R301" s="84"/>
      <c r="S301" s="3"/>
      <c r="T301" s="3" t="s">
        <v>1089</v>
      </c>
      <c r="V301" s="3"/>
      <c r="W301" s="3"/>
      <c r="X301" s="3"/>
      <c r="Y301" s="3"/>
      <c r="AA301" s="1427" t="s">
        <v>1139</v>
      </c>
      <c r="AB301" s="1427"/>
      <c r="AC301" s="1427"/>
      <c r="AD301" s="1427"/>
      <c r="AE301" s="1427"/>
      <c r="AF301" s="1427"/>
      <c r="AG301" s="3"/>
      <c r="AH301" s="3"/>
      <c r="AI301" s="84"/>
      <c r="AJ301" s="84"/>
      <c r="AK301" s="84"/>
    </row>
    <row r="302" spans="1:51" ht="12.95" customHeight="1">
      <c r="B302" s="3" t="s">
        <v>1140</v>
      </c>
      <c r="C302" s="3"/>
      <c r="D302" s="3"/>
      <c r="E302" s="3"/>
      <c r="F302" s="3"/>
      <c r="G302" s="3"/>
      <c r="H302" s="1439" t="s">
        <v>1093</v>
      </c>
      <c r="I302" s="1439"/>
      <c r="J302" s="1439"/>
      <c r="K302" s="1439"/>
      <c r="L302" s="1439"/>
      <c r="M302" s="1439"/>
      <c r="N302" s="1428"/>
      <c r="O302" s="1428"/>
      <c r="P302" s="1428"/>
      <c r="Q302" s="1428"/>
      <c r="R302" s="1428"/>
      <c r="S302" s="3"/>
      <c r="T302" s="3" t="s">
        <v>1140</v>
      </c>
      <c r="V302" s="3"/>
      <c r="W302" s="3"/>
      <c r="X302" s="3"/>
      <c r="Y302" s="3"/>
      <c r="AA302" s="1439" t="s">
        <v>1141</v>
      </c>
      <c r="AB302" s="1439"/>
      <c r="AC302" s="1439"/>
      <c r="AD302" s="1439"/>
      <c r="AE302" s="1439"/>
      <c r="AF302" s="1439"/>
      <c r="AG302" s="1428"/>
      <c r="AH302" s="1428"/>
      <c r="AI302" s="1428"/>
      <c r="AJ302" s="1428"/>
      <c r="AK302" s="1428"/>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1142</v>
      </c>
      <c r="C304" s="3"/>
      <c r="D304" s="3"/>
      <c r="E304" s="3"/>
      <c r="F304" s="3"/>
      <c r="H304" s="1428" t="s">
        <v>1143</v>
      </c>
      <c r="I304" s="1428"/>
      <c r="J304" s="1428"/>
      <c r="K304" s="1428"/>
      <c r="L304" s="1428"/>
      <c r="M304" s="1428"/>
      <c r="N304" s="1428"/>
      <c r="O304" s="1428"/>
      <c r="P304" s="1428"/>
      <c r="Q304" s="1428"/>
      <c r="R304" s="1428"/>
      <c r="T304" s="3" t="s">
        <v>1144</v>
      </c>
      <c r="V304" s="3"/>
      <c r="W304" s="3"/>
      <c r="X304" s="3"/>
      <c r="Y304" s="3"/>
      <c r="AA304" s="1428" t="s">
        <v>1145</v>
      </c>
      <c r="AB304" s="1428"/>
      <c r="AC304" s="1428"/>
      <c r="AD304" s="1428"/>
      <c r="AE304" s="1428"/>
      <c r="AF304" s="1428"/>
      <c r="AG304" s="1428"/>
      <c r="AH304" s="1428"/>
      <c r="AI304" s="1428"/>
      <c r="AJ304" s="1428"/>
      <c r="AK304" s="1428"/>
    </row>
    <row r="305" spans="2:72" ht="12.95" customHeight="1">
      <c r="B305" s="3" t="s">
        <v>1131</v>
      </c>
      <c r="C305" s="3"/>
      <c r="D305" s="3"/>
      <c r="E305" s="3"/>
      <c r="F305" s="3"/>
      <c r="H305" s="1439" t="s">
        <v>1146</v>
      </c>
      <c r="I305" s="1439"/>
      <c r="J305" s="1439"/>
      <c r="K305" s="1439"/>
      <c r="L305" s="1439"/>
      <c r="M305" s="1439"/>
      <c r="N305" s="1439"/>
      <c r="O305" s="1439"/>
      <c r="P305" s="1439"/>
      <c r="Q305" s="1439"/>
      <c r="R305" s="1439"/>
      <c r="T305" s="3" t="s">
        <v>1131</v>
      </c>
      <c r="V305" s="3"/>
      <c r="W305" s="3"/>
      <c r="X305" s="3"/>
      <c r="Y305" s="3"/>
      <c r="AA305" s="1439"/>
      <c r="AB305" s="1439"/>
      <c r="AC305" s="1439"/>
      <c r="AD305" s="1439"/>
      <c r="AE305" s="1439"/>
      <c r="AF305" s="1439"/>
      <c r="AG305" s="1439"/>
      <c r="AH305" s="1439"/>
      <c r="AI305" s="1439"/>
      <c r="AJ305" s="1439"/>
      <c r="AK305" s="1439"/>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1133</v>
      </c>
      <c r="C306" s="3"/>
      <c r="D306" s="3"/>
      <c r="E306" s="3"/>
      <c r="F306" s="3"/>
      <c r="H306" s="1439" t="s">
        <v>1147</v>
      </c>
      <c r="I306" s="1439"/>
      <c r="J306" s="1439"/>
      <c r="K306" s="1439"/>
      <c r="L306" s="1439"/>
      <c r="M306" s="1439"/>
      <c r="N306" s="1439"/>
      <c r="O306" s="1439"/>
      <c r="P306" s="1439"/>
      <c r="Q306" s="1439"/>
      <c r="R306" s="1439"/>
      <c r="T306" s="3" t="s">
        <v>1135</v>
      </c>
      <c r="V306" s="3"/>
      <c r="W306" s="3"/>
      <c r="X306" s="3"/>
      <c r="Y306" s="3"/>
      <c r="AA306" s="1439"/>
      <c r="AB306" s="1439"/>
      <c r="AC306" s="1439"/>
      <c r="AD306" s="1439"/>
      <c r="AE306" s="1439"/>
      <c r="AF306" s="1439"/>
      <c r="AG306" s="1439"/>
      <c r="AH306" s="1439"/>
      <c r="AI306" s="1439"/>
      <c r="AJ306" s="1439"/>
      <c r="AK306" s="1439"/>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1085</v>
      </c>
      <c r="C307" s="3"/>
      <c r="D307" s="3"/>
      <c r="E307" s="3"/>
      <c r="F307" s="3"/>
      <c r="H307" s="1439" t="s">
        <v>1148</v>
      </c>
      <c r="I307" s="1439"/>
      <c r="J307" s="1439"/>
      <c r="K307" s="1439"/>
      <c r="L307" s="1439"/>
      <c r="M307" s="1439"/>
      <c r="N307" s="1439"/>
      <c r="O307" s="1439"/>
      <c r="P307" s="1439"/>
      <c r="Q307" s="1439"/>
      <c r="R307" s="1439"/>
      <c r="T307" s="3" t="s">
        <v>1085</v>
      </c>
      <c r="V307" s="3"/>
      <c r="W307" s="3"/>
      <c r="X307" s="3"/>
      <c r="Y307" s="3"/>
      <c r="AA307" s="1439"/>
      <c r="AB307" s="1439"/>
      <c r="AC307" s="1439"/>
      <c r="AD307" s="1439"/>
      <c r="AE307" s="1439"/>
      <c r="AF307" s="1439"/>
      <c r="AG307" s="1439"/>
      <c r="AH307" s="1439"/>
      <c r="AI307" s="1439"/>
      <c r="AJ307" s="1439"/>
      <c r="AK307" s="1439"/>
    </row>
    <row r="308" spans="2:72" ht="12.95" customHeight="1">
      <c r="B308" s="3" t="s">
        <v>1086</v>
      </c>
      <c r="C308" s="3"/>
      <c r="D308" s="3"/>
      <c r="E308" s="3"/>
      <c r="F308" s="3"/>
      <c r="G308" s="3"/>
      <c r="H308" s="1464" t="s">
        <v>1149</v>
      </c>
      <c r="I308" s="1464"/>
      <c r="J308" s="1464"/>
      <c r="K308" s="1464"/>
      <c r="L308" s="1464"/>
      <c r="M308" s="1464"/>
      <c r="N308" s="3" t="s">
        <v>1088</v>
      </c>
      <c r="O308" s="3"/>
      <c r="P308" s="1460"/>
      <c r="Q308" s="1460"/>
      <c r="R308" s="1460"/>
      <c r="S308" s="3"/>
      <c r="T308" s="3" t="s">
        <v>1086</v>
      </c>
      <c r="V308" s="3"/>
      <c r="W308" s="3"/>
      <c r="X308" s="3"/>
      <c r="Y308" s="3"/>
      <c r="AA308" s="1464"/>
      <c r="AB308" s="1464"/>
      <c r="AC308" s="1464"/>
      <c r="AD308" s="1464"/>
      <c r="AE308" s="1464"/>
      <c r="AF308" s="1464"/>
      <c r="AG308" s="3" t="s">
        <v>1088</v>
      </c>
      <c r="AH308" s="3"/>
      <c r="AI308" s="1460"/>
      <c r="AJ308" s="1460"/>
      <c r="AK308" s="1460"/>
    </row>
    <row r="309" spans="2:72" ht="12.95" customHeight="1">
      <c r="B309" s="3" t="s">
        <v>1089</v>
      </c>
      <c r="C309" s="3"/>
      <c r="D309" s="3"/>
      <c r="E309" s="3"/>
      <c r="F309" s="3"/>
      <c r="G309" s="3"/>
      <c r="H309" s="1427" t="s">
        <v>1150</v>
      </c>
      <c r="I309" s="1427"/>
      <c r="J309" s="1427"/>
      <c r="K309" s="1427"/>
      <c r="L309" s="1427"/>
      <c r="M309" s="1427"/>
      <c r="N309" s="3"/>
      <c r="O309" s="3"/>
      <c r="P309" s="84"/>
      <c r="Q309" s="84"/>
      <c r="R309" s="84"/>
      <c r="S309" s="3"/>
      <c r="T309" s="3" t="s">
        <v>1089</v>
      </c>
      <c r="V309" s="3"/>
      <c r="W309" s="3"/>
      <c r="X309" s="3"/>
      <c r="Y309" s="3"/>
      <c r="AA309" s="1427"/>
      <c r="AB309" s="1427"/>
      <c r="AC309" s="1427"/>
      <c r="AD309" s="1427"/>
      <c r="AE309" s="1427"/>
      <c r="AF309" s="1427"/>
      <c r="AG309" s="3"/>
      <c r="AH309" s="3"/>
      <c r="AI309" s="84"/>
      <c r="AJ309" s="84"/>
      <c r="AK309" s="84"/>
    </row>
    <row r="310" spans="2:72" ht="12.95" customHeight="1">
      <c r="B310" s="3" t="s">
        <v>1140</v>
      </c>
      <c r="C310" s="3"/>
      <c r="D310" s="3"/>
      <c r="E310" s="3"/>
      <c r="F310" s="3"/>
      <c r="G310" s="3"/>
      <c r="H310" s="1439" t="s">
        <v>1151</v>
      </c>
      <c r="I310" s="1439"/>
      <c r="J310" s="1439"/>
      <c r="K310" s="1439"/>
      <c r="L310" s="1439"/>
      <c r="M310" s="1439"/>
      <c r="N310" s="1428"/>
      <c r="O310" s="1428"/>
      <c r="P310" s="1428"/>
      <c r="Q310" s="1428"/>
      <c r="R310" s="1428"/>
      <c r="S310" s="3"/>
      <c r="T310" s="3" t="s">
        <v>1140</v>
      </c>
      <c r="V310" s="3"/>
      <c r="W310" s="3"/>
      <c r="X310" s="3"/>
      <c r="Y310" s="3"/>
      <c r="AA310" s="1439"/>
      <c r="AB310" s="1439"/>
      <c r="AC310" s="1439"/>
      <c r="AD310" s="1439"/>
      <c r="AE310" s="1439"/>
      <c r="AF310" s="1439"/>
      <c r="AG310" s="1428"/>
      <c r="AH310" s="1428"/>
      <c r="AI310" s="1428"/>
      <c r="AJ310" s="1428"/>
      <c r="AK310" s="1428"/>
    </row>
    <row r="311" spans="2:72" ht="12.95" customHeight="1"/>
    <row r="312" spans="2:72" ht="12.95" customHeight="1">
      <c r="B312" s="3" t="s">
        <v>1152</v>
      </c>
      <c r="C312" s="3"/>
      <c r="D312" s="3"/>
      <c r="E312" s="3"/>
      <c r="F312" s="3"/>
      <c r="H312" s="1428" t="s">
        <v>1143</v>
      </c>
      <c r="I312" s="1428"/>
      <c r="J312" s="1428"/>
      <c r="K312" s="1428"/>
      <c r="L312" s="1428"/>
      <c r="M312" s="1428"/>
      <c r="N312" s="1428"/>
      <c r="O312" s="1428"/>
      <c r="P312" s="1428"/>
      <c r="Q312" s="1428"/>
      <c r="R312" s="1428"/>
      <c r="T312" s="3" t="s">
        <v>1153</v>
      </c>
      <c r="V312" s="3"/>
      <c r="W312" s="3"/>
      <c r="X312" s="3"/>
      <c r="Y312" s="3"/>
      <c r="AA312" s="1428" t="s">
        <v>904</v>
      </c>
      <c r="AB312" s="1428"/>
      <c r="AC312" s="1428"/>
      <c r="AD312" s="1428"/>
      <c r="AE312" s="1428"/>
      <c r="AF312" s="1428"/>
      <c r="AG312" s="1428"/>
      <c r="AH312" s="1428"/>
      <c r="AI312" s="1428"/>
      <c r="AJ312" s="1428"/>
      <c r="AK312" s="1428"/>
    </row>
    <row r="313" spans="2:72" ht="12.95" customHeight="1">
      <c r="B313" s="3" t="s">
        <v>1131</v>
      </c>
      <c r="C313" s="3"/>
      <c r="D313" s="3"/>
      <c r="E313" s="3"/>
      <c r="F313" s="3"/>
      <c r="H313" s="1439" t="s">
        <v>1146</v>
      </c>
      <c r="I313" s="1439"/>
      <c r="J313" s="1439"/>
      <c r="K313" s="1439"/>
      <c r="L313" s="1439"/>
      <c r="M313" s="1439"/>
      <c r="N313" s="1439"/>
      <c r="O313" s="1439"/>
      <c r="P313" s="1439"/>
      <c r="Q313" s="1439"/>
      <c r="R313" s="1439"/>
      <c r="T313" s="3" t="s">
        <v>1131</v>
      </c>
      <c r="V313" s="3"/>
      <c r="W313" s="3"/>
      <c r="X313" s="3"/>
      <c r="Y313" s="3"/>
      <c r="AA313" s="1439"/>
      <c r="AB313" s="1439"/>
      <c r="AC313" s="1439"/>
      <c r="AD313" s="1439"/>
      <c r="AE313" s="1439"/>
      <c r="AF313" s="1439"/>
      <c r="AG313" s="1439"/>
      <c r="AH313" s="1439"/>
      <c r="AI313" s="1439"/>
      <c r="AJ313" s="1439"/>
      <c r="AK313" s="1439"/>
    </row>
    <row r="314" spans="2:72" ht="12.95" customHeight="1">
      <c r="B314" s="3" t="s">
        <v>1133</v>
      </c>
      <c r="C314" s="3"/>
      <c r="D314" s="3"/>
      <c r="E314" s="3"/>
      <c r="F314" s="3"/>
      <c r="H314" s="1439" t="s">
        <v>1147</v>
      </c>
      <c r="I314" s="1439"/>
      <c r="J314" s="1439"/>
      <c r="K314" s="1439"/>
      <c r="L314" s="1439"/>
      <c r="M314" s="1439"/>
      <c r="N314" s="1439"/>
      <c r="O314" s="1439"/>
      <c r="P314" s="1439"/>
      <c r="Q314" s="1439"/>
      <c r="R314" s="1439"/>
      <c r="T314" s="3" t="s">
        <v>1135</v>
      </c>
      <c r="V314" s="3"/>
      <c r="W314" s="3"/>
      <c r="X314" s="3"/>
      <c r="Y314" s="3"/>
      <c r="AA314" s="1439"/>
      <c r="AB314" s="1439"/>
      <c r="AC314" s="1439"/>
      <c r="AD314" s="1439"/>
      <c r="AE314" s="1439"/>
      <c r="AF314" s="1439"/>
      <c r="AG314" s="1439"/>
      <c r="AH314" s="1439"/>
      <c r="AI314" s="1439"/>
      <c r="AJ314" s="1439"/>
      <c r="AK314" s="1439"/>
    </row>
    <row r="315" spans="2:72" ht="12.95" customHeight="1">
      <c r="B315" s="3" t="s">
        <v>1085</v>
      </c>
      <c r="C315" s="3"/>
      <c r="D315" s="3"/>
      <c r="E315" s="3"/>
      <c r="F315" s="3"/>
      <c r="H315" s="1439" t="s">
        <v>1154</v>
      </c>
      <c r="I315" s="1439"/>
      <c r="J315" s="1439"/>
      <c r="K315" s="1439"/>
      <c r="L315" s="1439"/>
      <c r="M315" s="1439"/>
      <c r="N315" s="1439"/>
      <c r="O315" s="1439"/>
      <c r="P315" s="1439"/>
      <c r="Q315" s="1439"/>
      <c r="R315" s="1439"/>
      <c r="T315" s="3" t="s">
        <v>1085</v>
      </c>
      <c r="V315" s="3"/>
      <c r="W315" s="3"/>
      <c r="X315" s="3"/>
      <c r="Y315" s="3"/>
      <c r="AA315" s="1439"/>
      <c r="AB315" s="1439"/>
      <c r="AC315" s="1439"/>
      <c r="AD315" s="1439"/>
      <c r="AE315" s="1439"/>
      <c r="AF315" s="1439"/>
      <c r="AG315" s="1439"/>
      <c r="AH315" s="1439"/>
      <c r="AI315" s="1439"/>
      <c r="AJ315" s="1439"/>
      <c r="AK315" s="1439"/>
    </row>
    <row r="316" spans="2:72" ht="12.95" customHeight="1">
      <c r="B316" s="3" t="s">
        <v>1086</v>
      </c>
      <c r="C316" s="3"/>
      <c r="D316" s="3"/>
      <c r="E316" s="3"/>
      <c r="F316" s="3"/>
      <c r="G316" s="3"/>
      <c r="H316" s="1464" t="s">
        <v>1149</v>
      </c>
      <c r="I316" s="1464"/>
      <c r="J316" s="1464"/>
      <c r="K316" s="1464"/>
      <c r="L316" s="1464"/>
      <c r="M316" s="1464"/>
      <c r="N316" s="3" t="s">
        <v>1088</v>
      </c>
      <c r="O316" s="3"/>
      <c r="P316" s="1460"/>
      <c r="Q316" s="1460"/>
      <c r="R316" s="1460"/>
      <c r="S316" s="3"/>
      <c r="T316" s="3" t="s">
        <v>1086</v>
      </c>
      <c r="V316" s="3"/>
      <c r="W316" s="3"/>
      <c r="X316" s="3"/>
      <c r="Y316" s="3"/>
      <c r="AA316" s="1464"/>
      <c r="AB316" s="1464"/>
      <c r="AC316" s="1464"/>
      <c r="AD316" s="1464"/>
      <c r="AE316" s="1464"/>
      <c r="AF316" s="1464"/>
      <c r="AG316" s="3" t="s">
        <v>1088</v>
      </c>
      <c r="AH316" s="3"/>
      <c r="AI316" s="1460"/>
      <c r="AJ316" s="1460"/>
      <c r="AK316" s="1460"/>
    </row>
    <row r="317" spans="2:72" ht="12.95" customHeight="1">
      <c r="B317" s="3" t="s">
        <v>1089</v>
      </c>
      <c r="C317" s="3"/>
      <c r="D317" s="3"/>
      <c r="E317" s="3"/>
      <c r="F317" s="3"/>
      <c r="G317" s="3"/>
      <c r="H317" s="1427" t="s">
        <v>1150</v>
      </c>
      <c r="I317" s="1427"/>
      <c r="J317" s="1427"/>
      <c r="K317" s="1427"/>
      <c r="L317" s="1427"/>
      <c r="M317" s="1427"/>
      <c r="N317" s="3"/>
      <c r="O317" s="3"/>
      <c r="P317" s="84"/>
      <c r="Q317" s="84"/>
      <c r="R317" s="84"/>
      <c r="S317" s="3"/>
      <c r="T317" s="3" t="s">
        <v>1089</v>
      </c>
      <c r="V317" s="3"/>
      <c r="W317" s="3"/>
      <c r="X317" s="3"/>
      <c r="Y317" s="3"/>
      <c r="AA317" s="1427"/>
      <c r="AB317" s="1427"/>
      <c r="AC317" s="1427"/>
      <c r="AD317" s="1427"/>
      <c r="AE317" s="1427"/>
      <c r="AF317" s="1427"/>
      <c r="AG317" s="3"/>
      <c r="AH317" s="3"/>
      <c r="AI317" s="84"/>
      <c r="AJ317" s="84"/>
      <c r="AK317" s="84"/>
    </row>
    <row r="318" spans="2:72" ht="12.95" customHeight="1">
      <c r="B318" s="3" t="s">
        <v>1140</v>
      </c>
      <c r="C318" s="3"/>
      <c r="D318" s="3"/>
      <c r="E318" s="3"/>
      <c r="F318" s="3"/>
      <c r="G318" s="3"/>
      <c r="H318" s="1439" t="s">
        <v>1155</v>
      </c>
      <c r="I318" s="1439"/>
      <c r="J318" s="1439"/>
      <c r="K318" s="1439"/>
      <c r="L318" s="1439"/>
      <c r="M318" s="1439"/>
      <c r="N318" s="1428"/>
      <c r="O318" s="1428"/>
      <c r="P318" s="1428"/>
      <c r="Q318" s="1428"/>
      <c r="R318" s="1428"/>
      <c r="S318" s="3"/>
      <c r="T318" s="3" t="s">
        <v>1140</v>
      </c>
      <c r="V318" s="3"/>
      <c r="W318" s="3"/>
      <c r="X318" s="3"/>
      <c r="Y318" s="3"/>
      <c r="AA318" s="1439"/>
      <c r="AB318" s="1439"/>
      <c r="AC318" s="1439"/>
      <c r="AD318" s="1439"/>
      <c r="AE318" s="1439"/>
      <c r="AF318" s="1439"/>
      <c r="AG318" s="1428"/>
      <c r="AH318" s="1428"/>
      <c r="AI318" s="1428"/>
      <c r="AJ318" s="1428"/>
      <c r="AK318" s="1428"/>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1156</v>
      </c>
      <c r="C320" s="3"/>
      <c r="D320" s="3"/>
      <c r="E320" s="3"/>
      <c r="F320" s="3"/>
      <c r="H320" s="1428" t="s">
        <v>1157</v>
      </c>
      <c r="I320" s="1428"/>
      <c r="J320" s="1428"/>
      <c r="K320" s="1428"/>
      <c r="L320" s="1428"/>
      <c r="M320" s="1428"/>
      <c r="N320" s="1428"/>
      <c r="O320" s="1428"/>
      <c r="P320" s="1428"/>
      <c r="Q320" s="1428"/>
      <c r="R320" s="1428"/>
      <c r="S320" s="3"/>
      <c r="T320" s="3" t="s">
        <v>1158</v>
      </c>
      <c r="V320" s="3"/>
      <c r="W320" s="3"/>
      <c r="X320" s="3"/>
      <c r="Y320" s="3"/>
      <c r="AA320" s="1428" t="s">
        <v>1159</v>
      </c>
      <c r="AB320" s="1428"/>
      <c r="AC320" s="1428"/>
      <c r="AD320" s="1428"/>
      <c r="AE320" s="1428"/>
      <c r="AF320" s="1428"/>
      <c r="AG320" s="1428"/>
      <c r="AH320" s="1428"/>
      <c r="AI320" s="1428"/>
      <c r="AJ320" s="1428"/>
      <c r="AK320" s="1428"/>
    </row>
    <row r="321" spans="2:37" ht="12.95" customHeight="1">
      <c r="B321" s="3" t="s">
        <v>1131</v>
      </c>
      <c r="C321" s="3"/>
      <c r="D321" s="3"/>
      <c r="E321" s="3"/>
      <c r="F321" s="3"/>
      <c r="H321" s="1439" t="s">
        <v>1160</v>
      </c>
      <c r="I321" s="1439"/>
      <c r="J321" s="1439"/>
      <c r="K321" s="1439"/>
      <c r="L321" s="1439"/>
      <c r="M321" s="1439"/>
      <c r="N321" s="1439"/>
      <c r="O321" s="1439"/>
      <c r="P321" s="1439"/>
      <c r="Q321" s="1439"/>
      <c r="R321" s="1439"/>
      <c r="S321" s="3"/>
      <c r="T321" s="3" t="s">
        <v>1131</v>
      </c>
      <c r="V321" s="3"/>
      <c r="W321" s="3"/>
      <c r="X321" s="3"/>
      <c r="Y321" s="3"/>
      <c r="AA321" s="1381" t="s">
        <v>1161</v>
      </c>
      <c r="AB321" s="1439"/>
      <c r="AC321" s="1439"/>
      <c r="AD321" s="1439"/>
      <c r="AE321" s="1439"/>
      <c r="AF321" s="1439"/>
      <c r="AG321" s="1439"/>
      <c r="AH321" s="1439"/>
      <c r="AI321" s="1439"/>
      <c r="AJ321" s="1439"/>
      <c r="AK321" s="1439"/>
    </row>
    <row r="322" spans="2:37" ht="12.95" customHeight="1">
      <c r="B322" s="3" t="s">
        <v>1133</v>
      </c>
      <c r="C322" s="3"/>
      <c r="D322" s="3"/>
      <c r="E322" s="3"/>
      <c r="F322" s="3"/>
      <c r="H322" s="1439" t="s">
        <v>1162</v>
      </c>
      <c r="I322" s="1439"/>
      <c r="J322" s="1439"/>
      <c r="K322" s="1439"/>
      <c r="L322" s="1439"/>
      <c r="M322" s="1439"/>
      <c r="N322" s="1439"/>
      <c r="O322" s="1439"/>
      <c r="P322" s="1439"/>
      <c r="Q322" s="1439"/>
      <c r="R322" s="1439"/>
      <c r="S322" s="3"/>
      <c r="T322" s="3" t="s">
        <v>1135</v>
      </c>
      <c r="V322" s="3"/>
      <c r="W322" s="3"/>
      <c r="X322" s="3"/>
      <c r="Y322" s="3"/>
      <c r="AA322" s="1381" t="s">
        <v>1163</v>
      </c>
      <c r="AB322" s="1439"/>
      <c r="AC322" s="1439"/>
      <c r="AD322" s="1439"/>
      <c r="AE322" s="1439"/>
      <c r="AF322" s="1439"/>
      <c r="AG322" s="1439"/>
      <c r="AH322" s="1439"/>
      <c r="AI322" s="1439"/>
      <c r="AJ322" s="1439"/>
      <c r="AK322" s="1439"/>
    </row>
    <row r="323" spans="2:37" ht="12.95" customHeight="1">
      <c r="B323" s="3" t="s">
        <v>1085</v>
      </c>
      <c r="C323" s="3"/>
      <c r="D323" s="3"/>
      <c r="E323" s="3"/>
      <c r="F323" s="3"/>
      <c r="H323" s="1439" t="s">
        <v>1164</v>
      </c>
      <c r="I323" s="1439"/>
      <c r="J323" s="1439"/>
      <c r="K323" s="1439"/>
      <c r="L323" s="1439"/>
      <c r="M323" s="1439"/>
      <c r="N323" s="1439"/>
      <c r="O323" s="1439"/>
      <c r="P323" s="1439"/>
      <c r="Q323" s="1439"/>
      <c r="R323" s="1439"/>
      <c r="S323" s="3"/>
      <c r="T323" s="3" t="s">
        <v>1085</v>
      </c>
      <c r="V323" s="3"/>
      <c r="W323" s="3"/>
      <c r="X323" s="3"/>
      <c r="Y323" s="3"/>
      <c r="AA323" s="1381" t="s">
        <v>1165</v>
      </c>
      <c r="AB323" s="1439"/>
      <c r="AC323" s="1439"/>
      <c r="AD323" s="1439"/>
      <c r="AE323" s="1439"/>
      <c r="AF323" s="1439"/>
      <c r="AG323" s="1439"/>
      <c r="AH323" s="1439"/>
      <c r="AI323" s="1439"/>
      <c r="AJ323" s="1439"/>
      <c r="AK323" s="1439"/>
    </row>
    <row r="324" spans="2:37" ht="12.95" customHeight="1">
      <c r="B324" s="3" t="s">
        <v>1086</v>
      </c>
      <c r="C324" s="3"/>
      <c r="D324" s="3"/>
      <c r="E324" s="3"/>
      <c r="F324" s="3"/>
      <c r="G324" s="3"/>
      <c r="H324" s="1464" t="s">
        <v>1166</v>
      </c>
      <c r="I324" s="1464"/>
      <c r="J324" s="1464"/>
      <c r="K324" s="1464"/>
      <c r="L324" s="1464"/>
      <c r="M324" s="1464"/>
      <c r="N324" s="3" t="s">
        <v>1088</v>
      </c>
      <c r="O324" s="3"/>
      <c r="P324" s="1460"/>
      <c r="Q324" s="1460"/>
      <c r="R324" s="1460"/>
      <c r="S324" s="3"/>
      <c r="T324" s="3" t="s">
        <v>1086</v>
      </c>
      <c r="V324" s="3"/>
      <c r="W324" s="3"/>
      <c r="X324" s="3"/>
      <c r="Y324" s="3"/>
      <c r="AA324" s="1464">
        <v>5033810233</v>
      </c>
      <c r="AB324" s="1464"/>
      <c r="AC324" s="1464"/>
      <c r="AD324" s="1464"/>
      <c r="AE324" s="1464"/>
      <c r="AF324" s="1464"/>
      <c r="AG324" s="3" t="s">
        <v>1088</v>
      </c>
      <c r="AH324" s="3"/>
      <c r="AI324" s="1460"/>
      <c r="AJ324" s="1460"/>
      <c r="AK324" s="1460"/>
    </row>
    <row r="325" spans="2:37" ht="12.95" customHeight="1">
      <c r="B325" s="3" t="s">
        <v>1089</v>
      </c>
      <c r="C325" s="3"/>
      <c r="D325" s="3"/>
      <c r="E325" s="3"/>
      <c r="F325" s="3"/>
      <c r="G325" s="3"/>
      <c r="H325" s="1427"/>
      <c r="I325" s="1427"/>
      <c r="J325" s="1427"/>
      <c r="K325" s="1427"/>
      <c r="L325" s="1427"/>
      <c r="M325" s="1427"/>
      <c r="N325" s="3"/>
      <c r="O325" s="3"/>
      <c r="P325" s="84"/>
      <c r="Q325" s="84"/>
      <c r="R325" s="84"/>
      <c r="S325" s="3"/>
      <c r="T325" s="3" t="s">
        <v>1089</v>
      </c>
      <c r="V325" s="3"/>
      <c r="W325" s="3"/>
      <c r="X325" s="3"/>
      <c r="Y325" s="3"/>
      <c r="AA325" s="1427"/>
      <c r="AB325" s="1427"/>
      <c r="AC325" s="1427"/>
      <c r="AD325" s="1427"/>
      <c r="AE325" s="1427"/>
      <c r="AF325" s="1427"/>
      <c r="AG325" s="3"/>
      <c r="AH325" s="3"/>
      <c r="AI325" s="84"/>
      <c r="AJ325" s="84"/>
      <c r="AK325" s="84"/>
    </row>
    <row r="326" spans="2:37" ht="12.95" customHeight="1">
      <c r="B326" s="3" t="s">
        <v>1140</v>
      </c>
      <c r="C326" s="3"/>
      <c r="D326" s="3"/>
      <c r="E326" s="3"/>
      <c r="F326" s="3"/>
      <c r="G326" s="3"/>
      <c r="H326" s="1439" t="s">
        <v>1167</v>
      </c>
      <c r="I326" s="1439"/>
      <c r="J326" s="1439"/>
      <c r="K326" s="1439"/>
      <c r="L326" s="1439"/>
      <c r="M326" s="1439"/>
      <c r="N326" s="1428"/>
      <c r="O326" s="1428"/>
      <c r="P326" s="1428"/>
      <c r="Q326" s="1428"/>
      <c r="R326" s="1428"/>
      <c r="S326" s="3"/>
      <c r="T326" s="3" t="s">
        <v>1140</v>
      </c>
      <c r="V326" s="3"/>
      <c r="W326" s="3"/>
      <c r="X326" s="3"/>
      <c r="Y326" s="3"/>
      <c r="AA326" s="1381" t="s">
        <v>1168</v>
      </c>
      <c r="AB326" s="1439"/>
      <c r="AC326" s="1439"/>
      <c r="AD326" s="1439"/>
      <c r="AE326" s="1439"/>
      <c r="AF326" s="1439"/>
      <c r="AG326" s="1428"/>
      <c r="AH326" s="1428"/>
      <c r="AI326" s="1428"/>
      <c r="AJ326" s="1428"/>
      <c r="AK326" s="1428"/>
    </row>
    <row r="327" spans="2:37" ht="12.95" customHeight="1"/>
    <row r="328" spans="2:37" ht="12.95" customHeight="1">
      <c r="B328" s="3" t="s">
        <v>1169</v>
      </c>
      <c r="C328" s="3"/>
      <c r="D328" s="3"/>
      <c r="E328" s="3"/>
      <c r="F328" s="3"/>
      <c r="H328" s="1428" t="s">
        <v>904</v>
      </c>
      <c r="I328" s="1428"/>
      <c r="J328" s="1428"/>
      <c r="K328" s="1428"/>
      <c r="L328" s="1428"/>
      <c r="M328" s="1428"/>
      <c r="N328" s="1428"/>
      <c r="O328" s="1428"/>
      <c r="P328" s="1428"/>
      <c r="Q328" s="1428"/>
      <c r="R328" s="1428"/>
      <c r="T328" s="3" t="s">
        <v>1170</v>
      </c>
      <c r="V328" s="3"/>
      <c r="W328" s="3"/>
      <c r="X328" s="3"/>
      <c r="Y328" s="3"/>
      <c r="AA328" s="1428" t="s">
        <v>1171</v>
      </c>
      <c r="AB328" s="1428"/>
      <c r="AC328" s="1428"/>
      <c r="AD328" s="1428"/>
      <c r="AE328" s="1428"/>
      <c r="AF328" s="1428"/>
      <c r="AG328" s="1428"/>
      <c r="AH328" s="1428"/>
      <c r="AI328" s="1428"/>
      <c r="AJ328" s="1428"/>
      <c r="AK328" s="1428"/>
    </row>
    <row r="329" spans="2:37" ht="12.95" customHeight="1">
      <c r="B329" s="3" t="s">
        <v>1131</v>
      </c>
      <c r="C329" s="3"/>
      <c r="D329" s="3"/>
      <c r="E329" s="3"/>
      <c r="F329" s="3"/>
      <c r="H329" s="1439"/>
      <c r="I329" s="1439"/>
      <c r="J329" s="1439"/>
      <c r="K329" s="1439"/>
      <c r="L329" s="1439"/>
      <c r="M329" s="1439"/>
      <c r="N329" s="1439"/>
      <c r="O329" s="1439"/>
      <c r="P329" s="1439"/>
      <c r="Q329" s="1439"/>
      <c r="R329" s="1439"/>
      <c r="T329" s="3" t="s">
        <v>1131</v>
      </c>
      <c r="V329" s="3"/>
      <c r="W329" s="3"/>
      <c r="X329" s="3"/>
      <c r="Y329" s="3"/>
      <c r="AA329" s="1439" t="s">
        <v>1172</v>
      </c>
      <c r="AB329" s="1439"/>
      <c r="AC329" s="1439"/>
      <c r="AD329" s="1439"/>
      <c r="AE329" s="1439"/>
      <c r="AF329" s="1439"/>
      <c r="AG329" s="1439"/>
      <c r="AH329" s="1439"/>
      <c r="AI329" s="1439"/>
      <c r="AJ329" s="1439"/>
      <c r="AK329" s="1439"/>
    </row>
    <row r="330" spans="2:37" ht="12.95" customHeight="1">
      <c r="B330" s="3" t="s">
        <v>1133</v>
      </c>
      <c r="C330" s="3"/>
      <c r="D330" s="3"/>
      <c r="E330" s="3"/>
      <c r="F330" s="3"/>
      <c r="H330" s="1439"/>
      <c r="I330" s="1439"/>
      <c r="J330" s="1439"/>
      <c r="K330" s="1439"/>
      <c r="L330" s="1439"/>
      <c r="M330" s="1439"/>
      <c r="N330" s="1439"/>
      <c r="O330" s="1439"/>
      <c r="P330" s="1439"/>
      <c r="Q330" s="1439"/>
      <c r="R330" s="1439"/>
      <c r="T330" s="3" t="s">
        <v>1135</v>
      </c>
      <c r="V330" s="3"/>
      <c r="W330" s="3"/>
      <c r="X330" s="3"/>
      <c r="Y330" s="3"/>
      <c r="AA330" s="1439" t="s">
        <v>1173</v>
      </c>
      <c r="AB330" s="1439"/>
      <c r="AC330" s="1439"/>
      <c r="AD330" s="1439"/>
      <c r="AE330" s="1439"/>
      <c r="AF330" s="1439"/>
      <c r="AG330" s="1439"/>
      <c r="AH330" s="1439"/>
      <c r="AI330" s="1439"/>
      <c r="AJ330" s="1439"/>
      <c r="AK330" s="1439"/>
    </row>
    <row r="331" spans="2:37" ht="12.95" customHeight="1">
      <c r="B331" s="3" t="s">
        <v>1085</v>
      </c>
      <c r="C331" s="3"/>
      <c r="D331" s="3"/>
      <c r="E331" s="3"/>
      <c r="F331" s="3"/>
      <c r="H331" s="1439"/>
      <c r="I331" s="1439"/>
      <c r="J331" s="1439"/>
      <c r="K331" s="1439"/>
      <c r="L331" s="1439"/>
      <c r="M331" s="1439"/>
      <c r="N331" s="1439"/>
      <c r="O331" s="1439"/>
      <c r="P331" s="1439"/>
      <c r="Q331" s="1439"/>
      <c r="R331" s="1439"/>
      <c r="T331" s="3" t="s">
        <v>1085</v>
      </c>
      <c r="V331" s="3"/>
      <c r="W331" s="3"/>
      <c r="X331" s="3"/>
      <c r="Y331" s="3"/>
      <c r="AA331" s="1439" t="s">
        <v>1174</v>
      </c>
      <c r="AB331" s="1439"/>
      <c r="AC331" s="1439"/>
      <c r="AD331" s="1439"/>
      <c r="AE331" s="1439"/>
      <c r="AF331" s="1439"/>
      <c r="AG331" s="1439"/>
      <c r="AH331" s="1439"/>
      <c r="AI331" s="1439"/>
      <c r="AJ331" s="1439"/>
      <c r="AK331" s="1439"/>
    </row>
    <row r="332" spans="2:37" ht="12.95" customHeight="1">
      <c r="B332" s="3" t="s">
        <v>1086</v>
      </c>
      <c r="C332" s="3"/>
      <c r="D332" s="3"/>
      <c r="E332" s="3"/>
      <c r="F332" s="3"/>
      <c r="G332" s="3"/>
      <c r="H332" s="1464"/>
      <c r="I332" s="1464"/>
      <c r="J332" s="1464"/>
      <c r="K332" s="1464"/>
      <c r="L332" s="1464"/>
      <c r="M332" s="1464"/>
      <c r="N332" s="3" t="s">
        <v>1088</v>
      </c>
      <c r="O332" s="3"/>
      <c r="P332" s="1460"/>
      <c r="Q332" s="1460"/>
      <c r="R332" s="1460"/>
      <c r="S332" s="3"/>
      <c r="T332" s="3" t="s">
        <v>1086</v>
      </c>
      <c r="V332" s="3"/>
      <c r="W332" s="3"/>
      <c r="X332" s="3"/>
      <c r="Y332" s="3"/>
      <c r="AA332" s="1464" t="s">
        <v>1175</v>
      </c>
      <c r="AB332" s="1464"/>
      <c r="AC332" s="1464"/>
      <c r="AD332" s="1464"/>
      <c r="AE332" s="1464"/>
      <c r="AF332" s="1464"/>
      <c r="AG332" s="3" t="s">
        <v>1088</v>
      </c>
      <c r="AH332" s="3"/>
      <c r="AI332" s="1460"/>
      <c r="AJ332" s="1460"/>
      <c r="AK332" s="1460"/>
    </row>
    <row r="333" spans="2:37" ht="12.95" customHeight="1">
      <c r="B333" s="3" t="s">
        <v>1089</v>
      </c>
      <c r="C333" s="3"/>
      <c r="D333" s="3"/>
      <c r="E333" s="3"/>
      <c r="F333" s="3"/>
      <c r="G333" s="3"/>
      <c r="H333" s="1427"/>
      <c r="I333" s="1427"/>
      <c r="J333" s="1427"/>
      <c r="K333" s="1427"/>
      <c r="L333" s="1427"/>
      <c r="M333" s="1427"/>
      <c r="N333" s="3"/>
      <c r="O333" s="3"/>
      <c r="P333" s="84"/>
      <c r="Q333" s="84"/>
      <c r="R333" s="84"/>
      <c r="S333" s="3"/>
      <c r="T333" s="3" t="s">
        <v>1089</v>
      </c>
      <c r="V333" s="3"/>
      <c r="W333" s="3"/>
      <c r="X333" s="3"/>
      <c r="Y333" s="3"/>
      <c r="AA333" s="1427"/>
      <c r="AB333" s="1427"/>
      <c r="AC333" s="1427"/>
      <c r="AD333" s="1427"/>
      <c r="AE333" s="1427"/>
      <c r="AF333" s="1427"/>
      <c r="AG333" s="3"/>
      <c r="AH333" s="3"/>
      <c r="AI333" s="84"/>
      <c r="AJ333" s="84"/>
      <c r="AK333" s="84"/>
    </row>
    <row r="334" spans="2:37" ht="12.95" customHeight="1">
      <c r="B334" s="3" t="s">
        <v>1140</v>
      </c>
      <c r="C334" s="3"/>
      <c r="D334" s="3"/>
      <c r="E334" s="3"/>
      <c r="F334" s="3"/>
      <c r="G334" s="3"/>
      <c r="H334" s="1439"/>
      <c r="I334" s="1439"/>
      <c r="J334" s="1439"/>
      <c r="K334" s="1439"/>
      <c r="L334" s="1439"/>
      <c r="M334" s="1439"/>
      <c r="N334" s="1428"/>
      <c r="O334" s="1428"/>
      <c r="P334" s="1428"/>
      <c r="Q334" s="1428"/>
      <c r="R334" s="1428"/>
      <c r="S334" s="3"/>
      <c r="T334" s="3" t="s">
        <v>1140</v>
      </c>
      <c r="V334" s="3"/>
      <c r="W334" s="3"/>
      <c r="X334" s="3"/>
      <c r="Y334" s="3"/>
      <c r="AA334" s="1439" t="s">
        <v>1176</v>
      </c>
      <c r="AB334" s="1439"/>
      <c r="AC334" s="1439"/>
      <c r="AD334" s="1439"/>
      <c r="AE334" s="1439"/>
      <c r="AF334" s="1439"/>
      <c r="AG334" s="1428"/>
      <c r="AH334" s="1428"/>
      <c r="AI334" s="1428"/>
      <c r="AJ334" s="1428"/>
      <c r="AK334" s="1428"/>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1177</v>
      </c>
      <c r="C336" s="3"/>
      <c r="D336" s="3"/>
      <c r="E336" s="3"/>
      <c r="F336" s="3"/>
      <c r="H336" s="1428" t="s">
        <v>1171</v>
      </c>
      <c r="I336" s="1428"/>
      <c r="J336" s="1428"/>
      <c r="K336" s="1428"/>
      <c r="L336" s="1428"/>
      <c r="M336" s="1428"/>
      <c r="N336" s="1428"/>
      <c r="O336" s="1428"/>
      <c r="P336" s="1428"/>
      <c r="Q336" s="1428"/>
      <c r="R336" s="1428"/>
      <c r="T336" s="3" t="s">
        <v>1178</v>
      </c>
      <c r="V336" s="3"/>
      <c r="W336" s="3"/>
      <c r="X336" s="3"/>
      <c r="Y336" s="3"/>
      <c r="AA336" s="1428" t="s">
        <v>1179</v>
      </c>
      <c r="AB336" s="1428"/>
      <c r="AC336" s="1428"/>
      <c r="AD336" s="1428"/>
      <c r="AE336" s="1428"/>
      <c r="AF336" s="1428"/>
      <c r="AG336" s="1428"/>
      <c r="AH336" s="1428"/>
      <c r="AI336" s="1428"/>
      <c r="AJ336" s="1428"/>
      <c r="AK336" s="1428"/>
    </row>
    <row r="337" spans="2:66" ht="12.95" customHeight="1">
      <c r="B337" s="3" t="s">
        <v>1131</v>
      </c>
      <c r="C337" s="3"/>
      <c r="D337" s="3"/>
      <c r="E337" s="3"/>
      <c r="F337" s="3"/>
      <c r="H337" s="1439" t="s">
        <v>1172</v>
      </c>
      <c r="I337" s="1439"/>
      <c r="J337" s="1439"/>
      <c r="K337" s="1439"/>
      <c r="L337" s="1439"/>
      <c r="M337" s="1439"/>
      <c r="N337" s="1439"/>
      <c r="O337" s="1439"/>
      <c r="P337" s="1439"/>
      <c r="Q337" s="1439"/>
      <c r="R337" s="1439"/>
      <c r="T337" s="3" t="s">
        <v>1131</v>
      </c>
      <c r="V337" s="3"/>
      <c r="W337" s="3"/>
      <c r="X337" s="3"/>
      <c r="Y337" s="3"/>
      <c r="AA337" s="1439" t="s">
        <v>1180</v>
      </c>
      <c r="AB337" s="1439"/>
      <c r="AC337" s="1439"/>
      <c r="AD337" s="1439"/>
      <c r="AE337" s="1439"/>
      <c r="AF337" s="1439"/>
      <c r="AG337" s="1439"/>
      <c r="AH337" s="1439"/>
      <c r="AI337" s="1439"/>
      <c r="AJ337" s="1439"/>
      <c r="AK337" s="1439"/>
    </row>
    <row r="338" spans="2:66" ht="12.95" customHeight="1">
      <c r="B338" s="3" t="s">
        <v>1133</v>
      </c>
      <c r="C338" s="3"/>
      <c r="D338" s="3"/>
      <c r="E338" s="3"/>
      <c r="F338" s="3"/>
      <c r="H338" s="1439" t="s">
        <v>1173</v>
      </c>
      <c r="I338" s="1439"/>
      <c r="J338" s="1439"/>
      <c r="K338" s="1439"/>
      <c r="L338" s="1439"/>
      <c r="M338" s="1439"/>
      <c r="N338" s="1439"/>
      <c r="O338" s="1439"/>
      <c r="P338" s="1439"/>
      <c r="Q338" s="1439"/>
      <c r="R338" s="1439"/>
      <c r="T338" s="3" t="s">
        <v>1135</v>
      </c>
      <c r="V338" s="3"/>
      <c r="W338" s="3"/>
      <c r="X338" s="3"/>
      <c r="Y338" s="3"/>
      <c r="AA338" s="1439" t="s">
        <v>1181</v>
      </c>
      <c r="AB338" s="1439"/>
      <c r="AC338" s="1439"/>
      <c r="AD338" s="1439"/>
      <c r="AE338" s="1439"/>
      <c r="AF338" s="1439"/>
      <c r="AG338" s="1439"/>
      <c r="AH338" s="1439"/>
      <c r="AI338" s="1439"/>
      <c r="AJ338" s="1439"/>
      <c r="AK338" s="1439"/>
    </row>
    <row r="339" spans="2:66" ht="12.95" customHeight="1">
      <c r="B339" s="3" t="s">
        <v>1085</v>
      </c>
      <c r="C339" s="3"/>
      <c r="D339" s="3"/>
      <c r="E339" s="3"/>
      <c r="F339" s="3"/>
      <c r="H339" s="1439" t="s">
        <v>1174</v>
      </c>
      <c r="I339" s="1439"/>
      <c r="J339" s="1439"/>
      <c r="K339" s="1439"/>
      <c r="L339" s="1439"/>
      <c r="M339" s="1439"/>
      <c r="N339" s="1439"/>
      <c r="O339" s="1439"/>
      <c r="P339" s="1439"/>
      <c r="Q339" s="1439"/>
      <c r="R339" s="1439"/>
      <c r="T339" s="3" t="s">
        <v>1085</v>
      </c>
      <c r="V339" s="3"/>
      <c r="W339" s="3"/>
      <c r="X339" s="3"/>
      <c r="Y339" s="3"/>
      <c r="AA339" s="1439" t="s">
        <v>1182</v>
      </c>
      <c r="AB339" s="1439"/>
      <c r="AC339" s="1439"/>
      <c r="AD339" s="1439"/>
      <c r="AE339" s="1439"/>
      <c r="AF339" s="1439"/>
      <c r="AG339" s="1439"/>
      <c r="AH339" s="1439"/>
      <c r="AI339" s="1439"/>
      <c r="AJ339" s="1439"/>
      <c r="AK339" s="1439"/>
    </row>
    <row r="340" spans="2:66" ht="12.95" customHeight="1">
      <c r="B340" s="3" t="s">
        <v>1086</v>
      </c>
      <c r="C340" s="3"/>
      <c r="D340" s="3"/>
      <c r="E340" s="3"/>
      <c r="F340" s="3"/>
      <c r="G340" s="3"/>
      <c r="H340" s="1464" t="s">
        <v>1175</v>
      </c>
      <c r="I340" s="1464"/>
      <c r="J340" s="1464"/>
      <c r="K340" s="1464"/>
      <c r="L340" s="1464"/>
      <c r="M340" s="1464"/>
      <c r="N340" s="3" t="s">
        <v>1088</v>
      </c>
      <c r="O340" s="3"/>
      <c r="P340" s="1460"/>
      <c r="Q340" s="1460"/>
      <c r="R340" s="1460"/>
      <c r="S340" s="3"/>
      <c r="T340" s="3" t="s">
        <v>1086</v>
      </c>
      <c r="V340" s="3"/>
      <c r="W340" s="3"/>
      <c r="X340" s="3"/>
      <c r="Y340" s="3"/>
      <c r="AA340" s="1464" t="s">
        <v>1183</v>
      </c>
      <c r="AB340" s="1464"/>
      <c r="AC340" s="1464"/>
      <c r="AD340" s="1464"/>
      <c r="AE340" s="1464"/>
      <c r="AF340" s="1464"/>
      <c r="AG340" s="3" t="s">
        <v>1088</v>
      </c>
      <c r="AH340" s="3"/>
      <c r="AI340" s="1460"/>
      <c r="AJ340" s="1460"/>
      <c r="AK340" s="1460"/>
    </row>
    <row r="341" spans="2:66" ht="12.95" customHeight="1">
      <c r="B341" s="3" t="s">
        <v>1089</v>
      </c>
      <c r="C341" s="3"/>
      <c r="D341" s="3"/>
      <c r="E341" s="3"/>
      <c r="F341" s="3"/>
      <c r="G341" s="3"/>
      <c r="H341" s="1427"/>
      <c r="I341" s="1427"/>
      <c r="J341" s="1427"/>
      <c r="K341" s="1427"/>
      <c r="L341" s="1427"/>
      <c r="M341" s="1427"/>
      <c r="N341" s="3"/>
      <c r="O341" s="3"/>
      <c r="P341" s="84"/>
      <c r="Q341" s="84"/>
      <c r="R341" s="84"/>
      <c r="S341" s="3"/>
      <c r="T341" s="3" t="s">
        <v>1089</v>
      </c>
      <c r="V341" s="3"/>
      <c r="W341" s="3"/>
      <c r="X341" s="3"/>
      <c r="Y341" s="3"/>
      <c r="AA341" s="1427"/>
      <c r="AB341" s="1427"/>
      <c r="AC341" s="1427"/>
      <c r="AD341" s="1427"/>
      <c r="AE341" s="1427"/>
      <c r="AF341" s="1427"/>
      <c r="AG341" s="3"/>
      <c r="AH341" s="3"/>
      <c r="AI341" s="84"/>
      <c r="AJ341" s="84"/>
      <c r="AK341" s="84"/>
    </row>
    <row r="342" spans="2:66" ht="12.95" customHeight="1">
      <c r="B342" s="3" t="s">
        <v>1140</v>
      </c>
      <c r="C342" s="3"/>
      <c r="D342" s="3"/>
      <c r="E342" s="3"/>
      <c r="F342" s="3"/>
      <c r="G342" s="3"/>
      <c r="H342" s="1439" t="s">
        <v>1176</v>
      </c>
      <c r="I342" s="1439"/>
      <c r="J342" s="1439"/>
      <c r="K342" s="1439"/>
      <c r="L342" s="1439"/>
      <c r="M342" s="1439"/>
      <c r="N342" s="1428"/>
      <c r="O342" s="1428"/>
      <c r="P342" s="1428"/>
      <c r="Q342" s="1428"/>
      <c r="R342" s="1428"/>
      <c r="S342" s="3"/>
      <c r="T342" s="3" t="s">
        <v>1140</v>
      </c>
      <c r="V342" s="3"/>
      <c r="W342" s="3"/>
      <c r="X342" s="3"/>
      <c r="Y342" s="3"/>
      <c r="AA342" s="1439" t="s">
        <v>1184</v>
      </c>
      <c r="AB342" s="1439"/>
      <c r="AC342" s="1439"/>
      <c r="AD342" s="1439"/>
      <c r="AE342" s="1439"/>
      <c r="AF342" s="1439"/>
      <c r="AG342" s="1428"/>
      <c r="AH342" s="1428"/>
      <c r="AI342" s="1428"/>
      <c r="AJ342" s="1428"/>
      <c r="AK342" s="1428"/>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1185</v>
      </c>
      <c r="C344" s="3"/>
      <c r="D344" s="3"/>
      <c r="E344" s="3"/>
      <c r="F344" s="3"/>
      <c r="H344" s="1428" t="s">
        <v>673</v>
      </c>
      <c r="I344" s="1428"/>
      <c r="J344" s="1428"/>
      <c r="K344" s="1428"/>
      <c r="L344" s="1428"/>
      <c r="M344" s="1428"/>
      <c r="N344" s="1428"/>
      <c r="O344" s="1428"/>
      <c r="P344" s="1428"/>
      <c r="Q344" s="1428"/>
      <c r="R344" s="1428"/>
      <c r="T344" s="136" t="s">
        <v>1186</v>
      </c>
      <c r="V344" s="3"/>
      <c r="W344" s="3"/>
      <c r="X344" s="3"/>
      <c r="Y344" s="3"/>
      <c r="AA344" s="1428" t="s">
        <v>673</v>
      </c>
      <c r="AB344" s="1428"/>
      <c r="AC344" s="1428"/>
      <c r="AD344" s="1428"/>
      <c r="AE344" s="1428"/>
      <c r="AF344" s="1428"/>
      <c r="AG344" s="1428"/>
      <c r="AH344" s="1428"/>
      <c r="AI344" s="1428"/>
      <c r="AJ344" s="1428"/>
      <c r="AK344" s="1428"/>
    </row>
    <row r="345" spans="2:66" ht="12.95" customHeight="1">
      <c r="B345" s="3" t="s">
        <v>1131</v>
      </c>
      <c r="C345" s="3"/>
      <c r="D345" s="3"/>
      <c r="E345" s="3"/>
      <c r="F345" s="3"/>
      <c r="H345" s="1439" t="s">
        <v>1082</v>
      </c>
      <c r="I345" s="1439"/>
      <c r="J345" s="1439"/>
      <c r="K345" s="1439"/>
      <c r="L345" s="1439"/>
      <c r="M345" s="1439"/>
      <c r="N345" s="1439"/>
      <c r="O345" s="1439"/>
      <c r="P345" s="1439"/>
      <c r="Q345" s="1439"/>
      <c r="R345" s="1439"/>
      <c r="T345" s="3" t="s">
        <v>1131</v>
      </c>
      <c r="V345" s="3"/>
      <c r="W345" s="3"/>
      <c r="X345" s="3"/>
      <c r="Y345" s="3"/>
      <c r="AA345" s="1439" t="s">
        <v>1082</v>
      </c>
      <c r="AB345" s="1439"/>
      <c r="AC345" s="1439"/>
      <c r="AD345" s="1439"/>
      <c r="AE345" s="1439"/>
      <c r="AF345" s="1439"/>
      <c r="AG345" s="1439"/>
      <c r="AH345" s="1439"/>
      <c r="AI345" s="1439"/>
      <c r="AJ345" s="1439"/>
      <c r="AK345" s="1439"/>
    </row>
    <row r="346" spans="2:66" ht="12.95" customHeight="1">
      <c r="B346" s="3" t="s">
        <v>1135</v>
      </c>
      <c r="C346" s="3"/>
      <c r="D346" s="3"/>
      <c r="E346" s="3"/>
      <c r="F346" s="3"/>
      <c r="H346" s="1439" t="s">
        <v>1134</v>
      </c>
      <c r="I346" s="1439"/>
      <c r="J346" s="1439"/>
      <c r="K346" s="1439"/>
      <c r="L346" s="1439"/>
      <c r="M346" s="1439"/>
      <c r="N346" s="1439"/>
      <c r="O346" s="1439"/>
      <c r="P346" s="1439"/>
      <c r="Q346" s="1439"/>
      <c r="R346" s="1439"/>
      <c r="T346" s="3" t="s">
        <v>1135</v>
      </c>
      <c r="V346" s="3"/>
      <c r="W346" s="3"/>
      <c r="X346" s="3"/>
      <c r="Y346" s="3"/>
      <c r="AA346" s="1439" t="s">
        <v>1134</v>
      </c>
      <c r="AB346" s="1439"/>
      <c r="AC346" s="1439"/>
      <c r="AD346" s="1439"/>
      <c r="AE346" s="1439"/>
      <c r="AF346" s="1439"/>
      <c r="AG346" s="1439"/>
      <c r="AH346" s="1439"/>
      <c r="AI346" s="1439"/>
      <c r="AJ346" s="1439"/>
      <c r="AK346" s="1439"/>
    </row>
    <row r="347" spans="2:66" ht="12.95" customHeight="1">
      <c r="B347" s="3" t="s">
        <v>1085</v>
      </c>
      <c r="C347" s="3"/>
      <c r="D347" s="3"/>
      <c r="E347" s="3"/>
      <c r="F347" s="3"/>
      <c r="G347" s="3"/>
      <c r="H347" s="1439" t="s">
        <v>805</v>
      </c>
      <c r="I347" s="1439"/>
      <c r="J347" s="1439"/>
      <c r="K347" s="1439"/>
      <c r="L347" s="1439"/>
      <c r="M347" s="1439"/>
      <c r="N347" s="1439"/>
      <c r="O347" s="1439"/>
      <c r="P347" s="1439"/>
      <c r="Q347" s="1439"/>
      <c r="R347" s="1439"/>
      <c r="T347" s="3" t="s">
        <v>1085</v>
      </c>
      <c r="V347" s="3"/>
      <c r="W347" s="3"/>
      <c r="X347" s="3"/>
      <c r="Y347" s="3"/>
      <c r="AA347" s="1439" t="s">
        <v>805</v>
      </c>
      <c r="AB347" s="1439"/>
      <c r="AC347" s="1439"/>
      <c r="AD347" s="1439"/>
      <c r="AE347" s="1439"/>
      <c r="AF347" s="1439"/>
      <c r="AG347" s="1439"/>
      <c r="AH347" s="1439"/>
      <c r="AI347" s="1439"/>
      <c r="AJ347" s="1439"/>
      <c r="AK347" s="1439"/>
    </row>
    <row r="348" spans="2:66" ht="12.95" customHeight="1">
      <c r="B348" s="3" t="s">
        <v>1086</v>
      </c>
      <c r="C348" s="3"/>
      <c r="D348" s="3"/>
      <c r="E348" s="3"/>
      <c r="F348" s="3"/>
      <c r="G348" s="3"/>
      <c r="H348" s="1464" t="s">
        <v>1087</v>
      </c>
      <c r="I348" s="1464"/>
      <c r="J348" s="1464"/>
      <c r="K348" s="1464"/>
      <c r="L348" s="1464"/>
      <c r="M348" s="1464"/>
      <c r="N348" s="3" t="s">
        <v>1088</v>
      </c>
      <c r="O348" s="3"/>
      <c r="P348" s="1460"/>
      <c r="Q348" s="1460"/>
      <c r="R348" s="1460"/>
      <c r="S348" s="3"/>
      <c r="T348" s="3" t="s">
        <v>1086</v>
      </c>
      <c r="V348" s="3"/>
      <c r="W348" s="3"/>
      <c r="X348" s="3"/>
      <c r="Y348" s="3"/>
      <c r="AA348" s="1464" t="s">
        <v>1087</v>
      </c>
      <c r="AB348" s="1464"/>
      <c r="AC348" s="1464"/>
      <c r="AD348" s="1464"/>
      <c r="AE348" s="1464"/>
      <c r="AF348" s="1464"/>
      <c r="AG348" s="3" t="s">
        <v>1088</v>
      </c>
      <c r="AH348" s="3"/>
      <c r="AI348" s="1460"/>
      <c r="AJ348" s="1460"/>
      <c r="AK348" s="1460"/>
    </row>
    <row r="349" spans="2:66" ht="12.95" customHeight="1">
      <c r="B349" s="3" t="s">
        <v>1089</v>
      </c>
      <c r="C349" s="3"/>
      <c r="D349" s="3"/>
      <c r="E349" s="3"/>
      <c r="F349" s="3"/>
      <c r="G349" s="3"/>
      <c r="H349" s="1427" t="s">
        <v>1090</v>
      </c>
      <c r="I349" s="1427"/>
      <c r="J349" s="1427"/>
      <c r="K349" s="1427"/>
      <c r="L349" s="1427"/>
      <c r="M349" s="1427"/>
      <c r="N349" s="3"/>
      <c r="O349" s="3"/>
      <c r="P349" s="84"/>
      <c r="Q349" s="84"/>
      <c r="R349" s="84"/>
      <c r="S349" s="3"/>
      <c r="T349" s="3" t="s">
        <v>1089</v>
      </c>
      <c r="V349" s="3"/>
      <c r="W349" s="3"/>
      <c r="X349" s="3"/>
      <c r="Y349" s="3"/>
      <c r="AA349" s="1427" t="s">
        <v>1090</v>
      </c>
      <c r="AB349" s="1427"/>
      <c r="AC349" s="1427"/>
      <c r="AD349" s="1427"/>
      <c r="AE349" s="1427"/>
      <c r="AF349" s="1427"/>
      <c r="AG349" s="3"/>
      <c r="AH349" s="3"/>
      <c r="AI349" s="84"/>
      <c r="AJ349" s="84"/>
      <c r="AK349" s="84"/>
    </row>
    <row r="350" spans="2:66" ht="12.95" customHeight="1">
      <c r="B350" s="3" t="s">
        <v>1140</v>
      </c>
      <c r="C350" s="3"/>
      <c r="D350" s="3"/>
      <c r="E350" s="3"/>
      <c r="F350" s="3"/>
      <c r="G350" s="3"/>
      <c r="H350" s="1439" t="s">
        <v>1093</v>
      </c>
      <c r="I350" s="1439"/>
      <c r="J350" s="1439"/>
      <c r="K350" s="1439"/>
      <c r="L350" s="1439"/>
      <c r="M350" s="1439"/>
      <c r="N350" s="1428"/>
      <c r="O350" s="1428"/>
      <c r="P350" s="1428"/>
      <c r="Q350" s="1428"/>
      <c r="R350" s="1428"/>
      <c r="S350" s="3"/>
      <c r="T350" s="3" t="s">
        <v>1140</v>
      </c>
      <c r="V350" s="3"/>
      <c r="W350" s="3"/>
      <c r="X350" s="3"/>
      <c r="Y350" s="3"/>
      <c r="AA350" s="1439" t="s">
        <v>1093</v>
      </c>
      <c r="AB350" s="1439"/>
      <c r="AC350" s="1439"/>
      <c r="AD350" s="1439"/>
      <c r="AE350" s="1439"/>
      <c r="AF350" s="1439"/>
      <c r="AG350" s="1428"/>
      <c r="AH350" s="1428"/>
      <c r="AI350" s="1428"/>
      <c r="AJ350" s="1428"/>
      <c r="AK350" s="1428"/>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826</v>
      </c>
    </row>
    <row r="352" spans="2:66" ht="12.95" customHeight="1">
      <c r="B352" s="3"/>
      <c r="C352" s="3"/>
      <c r="D352" s="3"/>
      <c r="E352" s="3"/>
      <c r="F352" s="3"/>
      <c r="I352" s="136" t="s">
        <v>1187</v>
      </c>
      <c r="P352" s="1428"/>
      <c r="Q352" s="1428"/>
      <c r="R352" s="1428"/>
      <c r="S352" s="1428"/>
      <c r="T352" s="1428"/>
      <c r="U352" s="1428"/>
      <c r="V352" s="1428"/>
      <c r="W352" s="1428"/>
      <c r="X352" s="1428"/>
      <c r="Y352" s="1428"/>
      <c r="Z352" s="1428"/>
      <c r="AA352" s="1428"/>
      <c r="AB352" s="1428"/>
      <c r="AC352" s="1428"/>
      <c r="AD352" s="1428"/>
      <c r="AE352" s="1428"/>
      <c r="BN352" t="s">
        <v>700</v>
      </c>
    </row>
    <row r="353" spans="1:66" ht="12.95" customHeight="1">
      <c r="B353" s="3"/>
      <c r="C353" s="3"/>
      <c r="D353" s="3"/>
      <c r="E353" s="3"/>
      <c r="F353" s="3"/>
      <c r="I353" s="3" t="s">
        <v>1131</v>
      </c>
      <c r="P353" s="1439"/>
      <c r="Q353" s="1439"/>
      <c r="R353" s="1439"/>
      <c r="S353" s="1439"/>
      <c r="T353" s="1439"/>
      <c r="U353" s="1439"/>
      <c r="V353" s="1439"/>
      <c r="W353" s="1439"/>
      <c r="X353" s="1439"/>
      <c r="Y353" s="1439"/>
      <c r="Z353" s="1439"/>
      <c r="AA353" s="1439"/>
      <c r="AB353" s="1439"/>
      <c r="AC353" s="1439"/>
      <c r="AD353" s="1439"/>
      <c r="AE353" s="1439"/>
      <c r="BN353" t="s">
        <v>860</v>
      </c>
    </row>
    <row r="354" spans="1:66" ht="12.95" customHeight="1">
      <c r="B354" s="3"/>
      <c r="C354" s="3"/>
      <c r="D354" s="3"/>
      <c r="E354" s="3"/>
      <c r="F354" s="3"/>
      <c r="I354" s="3" t="s">
        <v>1135</v>
      </c>
      <c r="P354" s="1439"/>
      <c r="Q354" s="1439"/>
      <c r="R354" s="1439"/>
      <c r="S354" s="1439"/>
      <c r="T354" s="1439"/>
      <c r="U354" s="1439"/>
      <c r="V354" s="1439"/>
      <c r="W354" s="1439"/>
      <c r="X354" s="1439"/>
      <c r="Y354" s="1439"/>
      <c r="Z354" s="1439"/>
      <c r="AA354" s="1439"/>
      <c r="AB354" s="1439"/>
      <c r="AC354" s="1439"/>
      <c r="AD354" s="1439"/>
      <c r="AE354" s="1439"/>
    </row>
    <row r="355" spans="1:66" ht="12.95" customHeight="1">
      <c r="B355" s="3"/>
      <c r="C355" s="3"/>
      <c r="D355" s="3"/>
      <c r="E355" s="3"/>
      <c r="F355" s="3"/>
      <c r="G355" s="3"/>
      <c r="I355" s="3" t="s">
        <v>1085</v>
      </c>
      <c r="P355" s="1439"/>
      <c r="Q355" s="1439"/>
      <c r="R355" s="1439"/>
      <c r="S355" s="1439"/>
      <c r="T355" s="1439"/>
      <c r="U355" s="1439"/>
      <c r="V355" s="1439"/>
      <c r="W355" s="1439"/>
      <c r="X355" s="1439"/>
      <c r="Y355" s="1439"/>
      <c r="Z355" s="1439"/>
      <c r="AA355" s="1439"/>
      <c r="AB355" s="1439"/>
      <c r="AC355" s="1439"/>
      <c r="AD355" s="1439"/>
      <c r="AE355" s="1439"/>
    </row>
    <row r="356" spans="1:66" ht="12.95" customHeight="1">
      <c r="B356" s="3"/>
      <c r="C356" s="3"/>
      <c r="D356" s="3"/>
      <c r="E356" s="3"/>
      <c r="F356" s="3"/>
      <c r="G356" s="3"/>
      <c r="H356" s="1166"/>
      <c r="I356" s="3" t="s">
        <v>1086</v>
      </c>
      <c r="P356" s="1427"/>
      <c r="Q356" s="1427"/>
      <c r="R356" s="1427"/>
      <c r="S356" s="1427"/>
      <c r="T356" s="1427"/>
      <c r="U356" s="1427"/>
      <c r="V356" s="1427"/>
      <c r="W356" s="1427"/>
      <c r="X356" s="1427"/>
      <c r="Y356" s="1427"/>
      <c r="Z356" s="1427"/>
      <c r="AA356" s="3" t="s">
        <v>1088</v>
      </c>
      <c r="AB356" s="3"/>
      <c r="AC356" s="1381"/>
      <c r="AD356" s="1381"/>
      <c r="AE356" s="1381"/>
      <c r="AF356" s="1166"/>
      <c r="AG356" s="3"/>
      <c r="AH356" s="3"/>
      <c r="AI356" s="3"/>
      <c r="AJ356" s="3"/>
      <c r="AK356" s="3"/>
    </row>
    <row r="357" spans="1:66" ht="12.95" customHeight="1">
      <c r="B357" s="3"/>
      <c r="C357" s="3"/>
      <c r="D357" s="3"/>
      <c r="E357" s="3"/>
      <c r="F357" s="3"/>
      <c r="G357" s="3"/>
      <c r="H357" s="1166"/>
      <c r="I357" s="3" t="s">
        <v>1089</v>
      </c>
      <c r="P357" s="1427"/>
      <c r="Q357" s="1427"/>
      <c r="R357" s="1427"/>
      <c r="S357" s="1427"/>
      <c r="T357" s="1427"/>
      <c r="U357" s="1427"/>
      <c r="V357" s="1427"/>
      <c r="W357" s="1427"/>
      <c r="X357" s="1427"/>
      <c r="Y357" s="1427"/>
      <c r="Z357" s="1427"/>
      <c r="AF357" s="1166"/>
      <c r="AG357" s="3"/>
      <c r="AH357" s="3"/>
      <c r="AI357" s="84"/>
      <c r="AJ357" s="84"/>
      <c r="AK357" s="84"/>
    </row>
    <row r="358" spans="1:66" ht="12.95" customHeight="1">
      <c r="B358" s="3"/>
      <c r="C358" s="3"/>
      <c r="D358" s="3"/>
      <c r="E358" s="3"/>
      <c r="F358" s="3"/>
      <c r="G358" s="3"/>
      <c r="I358" s="3" t="s">
        <v>1140</v>
      </c>
      <c r="P358" s="1428"/>
      <c r="Q358" s="1428"/>
      <c r="R358" s="1428"/>
      <c r="S358" s="1428"/>
      <c r="T358" s="1428"/>
      <c r="U358" s="1428"/>
      <c r="V358" s="1428"/>
      <c r="W358" s="1428"/>
      <c r="X358" s="1428"/>
      <c r="Y358" s="1428"/>
      <c r="Z358" s="1428"/>
      <c r="AA358" s="1428"/>
      <c r="AB358" s="1428"/>
      <c r="AC358" s="1428"/>
      <c r="AD358" s="1428"/>
      <c r="AE358" s="1428"/>
    </row>
    <row r="359" spans="1:66" ht="12.95" customHeight="1">
      <c r="T359" s="7"/>
      <c r="U359" s="7"/>
      <c r="V359" s="7"/>
      <c r="W359" s="7"/>
      <c r="X359" s="7"/>
      <c r="Y359" s="7"/>
      <c r="Z359" s="7"/>
      <c r="AU359" s="70"/>
      <c r="AV359" s="70"/>
      <c r="AW359" s="70"/>
      <c r="AX359" s="70"/>
      <c r="AY359" s="70"/>
    </row>
    <row r="360" spans="1:66" ht="12.95" customHeight="1">
      <c r="A360" s="1328" t="s">
        <v>1188</v>
      </c>
      <c r="B360" s="1328"/>
      <c r="C360" s="1328"/>
      <c r="D360" s="1328"/>
      <c r="E360" s="1328"/>
      <c r="F360" s="1328"/>
      <c r="G360" s="1328"/>
      <c r="H360" s="1328"/>
      <c r="I360" s="1328"/>
      <c r="J360" s="1328"/>
      <c r="K360" s="1328"/>
      <c r="L360" s="1328"/>
      <c r="M360" s="1328"/>
      <c r="N360" s="1328"/>
      <c r="O360" s="1328"/>
      <c r="P360" s="1328"/>
      <c r="Q360" s="1328"/>
      <c r="R360" s="1328"/>
      <c r="S360" s="1328"/>
      <c r="T360" s="1328"/>
      <c r="U360" s="1328"/>
      <c r="V360" s="1328"/>
      <c r="W360" s="1328"/>
      <c r="X360" s="1328"/>
      <c r="Y360" s="1328"/>
      <c r="Z360" s="1328"/>
      <c r="AA360" s="1328"/>
      <c r="AB360" s="1328"/>
      <c r="AC360" s="1328"/>
      <c r="AD360" s="1328"/>
      <c r="AE360" s="1328"/>
      <c r="AF360" s="1328"/>
      <c r="AG360" s="1328"/>
      <c r="AH360" s="1328"/>
      <c r="AI360" s="1328"/>
      <c r="AJ360" s="1328"/>
      <c r="AK360" s="1328"/>
      <c r="AL360" s="1328"/>
      <c r="AM360" s="1328"/>
      <c r="AN360" s="1328"/>
      <c r="AO360" s="1328"/>
      <c r="AP360" s="1328"/>
      <c r="AQ360" s="1328"/>
      <c r="AR360" s="1328"/>
      <c r="AS360" s="1328"/>
      <c r="AT360" s="1328"/>
      <c r="AU360" s="70"/>
      <c r="AV360" s="70"/>
      <c r="AW360" s="70"/>
      <c r="AX360" s="70"/>
      <c r="AY360" s="70"/>
    </row>
    <row r="361" spans="1:66" ht="12.95" customHeight="1">
      <c r="A361" s="1328"/>
      <c r="B361" s="1328"/>
      <c r="C361" s="1328"/>
      <c r="D361" s="1328"/>
      <c r="E361" s="1328"/>
      <c r="F361" s="1328"/>
      <c r="G361" s="1328"/>
      <c r="H361" s="1328"/>
      <c r="I361" s="1328"/>
      <c r="J361" s="1328"/>
      <c r="K361" s="1328"/>
      <c r="L361" s="1328"/>
      <c r="M361" s="1328"/>
      <c r="N361" s="1328"/>
      <c r="O361" s="1328"/>
      <c r="P361" s="1328"/>
      <c r="Q361" s="1328"/>
      <c r="R361" s="1328"/>
      <c r="S361" s="1328"/>
      <c r="T361" s="1328"/>
      <c r="U361" s="1328"/>
      <c r="V361" s="1328"/>
      <c r="W361" s="1328"/>
      <c r="X361" s="1328"/>
      <c r="Y361" s="1328"/>
      <c r="Z361" s="1328"/>
      <c r="AA361" s="1328"/>
      <c r="AB361" s="1328"/>
      <c r="AC361" s="1328"/>
      <c r="AD361" s="1328"/>
      <c r="AE361" s="1328"/>
      <c r="AF361" s="1328"/>
      <c r="AG361" s="1328"/>
      <c r="AH361" s="1328"/>
      <c r="AI361" s="1328"/>
      <c r="AJ361" s="1328"/>
      <c r="AK361" s="1328"/>
      <c r="AL361" s="1328"/>
      <c r="AM361" s="1328"/>
      <c r="AN361" s="1328"/>
      <c r="AO361" s="1328"/>
      <c r="AP361" s="1328"/>
      <c r="AQ361" s="1328"/>
      <c r="AR361" s="1328"/>
      <c r="AS361" s="1328"/>
      <c r="AT361" s="1328"/>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885</v>
      </c>
      <c r="B363" s="2"/>
      <c r="C363" s="2" t="s">
        <v>1189</v>
      </c>
    </row>
    <row r="364" spans="1:66" ht="12.95" customHeight="1">
      <c r="D364" s="3" t="s">
        <v>692</v>
      </c>
      <c r="M364" s="1308" t="s">
        <v>826</v>
      </c>
      <c r="N364" s="1308"/>
      <c r="P364" t="s">
        <v>1190</v>
      </c>
      <c r="AJ364" s="1308" t="s">
        <v>700</v>
      </c>
      <c r="AK364" s="1308"/>
    </row>
    <row r="365" spans="1:66" ht="12.95" customHeight="1">
      <c r="D365" s="3" t="s">
        <v>690</v>
      </c>
      <c r="M365" s="1308" t="s">
        <v>826</v>
      </c>
      <c r="N365" s="1308"/>
      <c r="P365" s="3" t="s">
        <v>1191</v>
      </c>
      <c r="AJ365" s="1484"/>
      <c r="AK365" s="1484"/>
    </row>
    <row r="366" spans="1:66" ht="12.95" customHeight="1">
      <c r="D366" s="3" t="s">
        <v>1192</v>
      </c>
      <c r="M366" s="1308" t="s">
        <v>826</v>
      </c>
      <c r="N366" s="1308"/>
      <c r="P366" t="s">
        <v>1193</v>
      </c>
      <c r="AJ366" s="1308" t="s">
        <v>860</v>
      </c>
      <c r="AK366" s="1308"/>
    </row>
    <row r="367" spans="1:66" ht="12.95" customHeight="1">
      <c r="D367" s="3" t="s">
        <v>1194</v>
      </c>
      <c r="M367" s="1308" t="s">
        <v>860</v>
      </c>
      <c r="N367" s="1308"/>
      <c r="Q367" s="3"/>
    </row>
    <row r="368" spans="1:66" ht="12.95" customHeight="1">
      <c r="Q368" s="3"/>
    </row>
    <row r="369" spans="1:34" ht="12.95" customHeight="1">
      <c r="Q369" s="3"/>
    </row>
    <row r="370" spans="1:34" ht="12.95" customHeight="1">
      <c r="A370" s="2" t="s">
        <v>927</v>
      </c>
      <c r="B370" s="2"/>
      <c r="C370" s="2" t="s">
        <v>1195</v>
      </c>
      <c r="D370" s="2"/>
    </row>
    <row r="371" spans="1:34" ht="12.95" customHeight="1">
      <c r="D371" s="31" t="s">
        <v>1196</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1197</v>
      </c>
      <c r="E372" s="32"/>
      <c r="F372" s="32"/>
      <c r="G372" s="32"/>
      <c r="H372" s="32"/>
      <c r="I372" s="32"/>
      <c r="J372" s="32"/>
      <c r="K372" s="32"/>
      <c r="L372" s="32"/>
      <c r="M372" s="32"/>
      <c r="N372" s="1308" t="s">
        <v>860</v>
      </c>
      <c r="O372" s="1308"/>
      <c r="P372" s="32"/>
      <c r="Q372" s="32"/>
      <c r="R372" s="32"/>
      <c r="S372" s="32"/>
      <c r="T372" s="32"/>
      <c r="U372" s="32"/>
      <c r="V372" s="32"/>
      <c r="W372" s="32"/>
      <c r="X372" s="32"/>
      <c r="Y372" s="32"/>
      <c r="Z372" s="32"/>
      <c r="AC372" s="32"/>
      <c r="AD372" s="32"/>
      <c r="AE372" s="32"/>
    </row>
    <row r="373" spans="1:34" ht="12.95" customHeight="1">
      <c r="E373" t="s">
        <v>1198</v>
      </c>
      <c r="Y373" s="1308" t="s">
        <v>826</v>
      </c>
      <c r="Z373" s="1308"/>
    </row>
    <row r="374" spans="1:34" ht="12.95" customHeight="1">
      <c r="D374" s="3" t="s">
        <v>1199</v>
      </c>
      <c r="Q374" s="1428" t="s">
        <v>1200</v>
      </c>
      <c r="R374" s="1428"/>
      <c r="S374" s="1428"/>
      <c r="T374" s="1428"/>
      <c r="U374" s="1428"/>
      <c r="V374" s="1428"/>
      <c r="W374" s="1428"/>
      <c r="X374" s="1428"/>
      <c r="Y374" s="1428"/>
      <c r="Z374" s="1428"/>
      <c r="AA374" s="1428"/>
      <c r="AB374" s="1428"/>
      <c r="AC374" s="1428"/>
      <c r="AD374" s="1428"/>
      <c r="AE374" s="1428"/>
      <c r="AF374" s="1428"/>
      <c r="AG374" s="1428"/>
    </row>
    <row r="375" spans="1:34" ht="12.95" customHeight="1">
      <c r="D375" t="s">
        <v>1201</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1202</v>
      </c>
      <c r="E376" s="32"/>
      <c r="F376" s="32"/>
      <c r="G376" s="32"/>
      <c r="H376" s="32"/>
      <c r="I376" s="32"/>
      <c r="J376" s="1308" t="s">
        <v>860</v>
      </c>
      <c r="K376" s="1308"/>
      <c r="L376" s="32"/>
      <c r="M376" s="32"/>
      <c r="N376" s="32"/>
      <c r="O376" s="32"/>
      <c r="P376" s="32"/>
      <c r="Q376" s="32"/>
      <c r="R376" s="32"/>
      <c r="S376" s="32"/>
      <c r="T376" s="32"/>
      <c r="U376" s="32"/>
      <c r="V376" s="32"/>
      <c r="W376" s="32"/>
      <c r="X376" s="32"/>
      <c r="Y376" s="32"/>
      <c r="Z376" s="32"/>
      <c r="AC376" s="32"/>
      <c r="AD376" s="32"/>
      <c r="AE376" s="32"/>
    </row>
    <row r="377" spans="1:34" ht="12.95" customHeight="1">
      <c r="E377" s="1230" t="s">
        <v>1203</v>
      </c>
      <c r="F377" s="1230"/>
      <c r="G377" s="1230"/>
      <c r="H377" s="1230"/>
      <c r="I377" s="1230"/>
      <c r="J377" s="1230"/>
      <c r="K377" s="1230"/>
      <c r="L377" s="1230"/>
      <c r="M377" s="1230"/>
      <c r="N377" s="1230"/>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row>
    <row r="378" spans="1:34" ht="12.95" customHeight="1">
      <c r="E378" s="1230"/>
      <c r="F378" s="1230"/>
      <c r="G378" s="1230"/>
      <c r="H378" s="1230"/>
      <c r="I378" s="1230"/>
      <c r="J378" s="1230"/>
      <c r="K378" s="1230"/>
      <c r="L378" s="1230"/>
      <c r="M378" s="1230"/>
      <c r="N378" s="1230"/>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row>
    <row r="379" spans="1:34" ht="12.95" customHeight="1">
      <c r="E379" s="3" t="s">
        <v>1204</v>
      </c>
      <c r="F379" s="3"/>
      <c r="G379" s="3"/>
      <c r="H379" s="3"/>
      <c r="I379" s="3"/>
      <c r="J379" s="3"/>
      <c r="K379" s="3"/>
      <c r="L379" s="3"/>
      <c r="N379" s="1444">
        <v>16</v>
      </c>
      <c r="O379" s="1444"/>
      <c r="P379" s="1444"/>
      <c r="Q379" s="1444"/>
      <c r="R379" s="3"/>
      <c r="U379" s="3" t="s">
        <v>1205</v>
      </c>
      <c r="V379" s="3"/>
      <c r="W379" s="3"/>
      <c r="X379" s="3"/>
      <c r="Y379" s="3"/>
      <c r="Z379" s="3"/>
      <c r="AA379" s="3"/>
      <c r="AB379" s="3"/>
      <c r="AC379" s="1444">
        <v>5</v>
      </c>
      <c r="AD379" s="1444"/>
      <c r="AE379" s="1444"/>
      <c r="AF379" s="1444"/>
    </row>
    <row r="380" spans="1:34" ht="12.95" customHeight="1">
      <c r="E380" s="3" t="s">
        <v>1206</v>
      </c>
      <c r="F380" s="3"/>
      <c r="G380" s="3"/>
      <c r="H380" s="3"/>
      <c r="I380" s="3"/>
      <c r="J380" s="3"/>
      <c r="K380" s="3"/>
      <c r="L380" s="3"/>
      <c r="N380" s="1444">
        <v>5</v>
      </c>
      <c r="O380" s="1444"/>
      <c r="P380" s="1444"/>
      <c r="Q380" s="1444"/>
      <c r="R380" s="3"/>
      <c r="U380" s="3" t="s">
        <v>1207</v>
      </c>
      <c r="V380" s="3"/>
      <c r="W380" s="3"/>
      <c r="X380" s="3"/>
      <c r="Y380" s="3"/>
      <c r="Z380" s="3"/>
      <c r="AA380" s="3"/>
      <c r="AB380" s="3"/>
      <c r="AC380" s="1444">
        <v>37</v>
      </c>
      <c r="AD380" s="1444"/>
      <c r="AE380" s="1444"/>
      <c r="AF380" s="1444"/>
    </row>
    <row r="381" spans="1:34" ht="12.95" customHeight="1">
      <c r="E381" s="3" t="s">
        <v>1208</v>
      </c>
      <c r="F381" s="3"/>
      <c r="G381" s="3"/>
      <c r="H381" s="3"/>
      <c r="I381" s="3"/>
      <c r="J381" s="3"/>
      <c r="K381" s="3"/>
      <c r="L381" s="3"/>
      <c r="N381" s="1444">
        <v>3</v>
      </c>
      <c r="O381" s="1444"/>
      <c r="P381" s="1444"/>
      <c r="Q381" s="1444"/>
      <c r="R381" s="3"/>
      <c r="V381" s="3"/>
      <c r="W381" s="3"/>
      <c r="X381" s="3"/>
      <c r="Y381" s="3"/>
      <c r="Z381" s="3"/>
      <c r="AA381" s="3"/>
      <c r="AB381" s="3"/>
    </row>
    <row r="382" spans="1:34" ht="12.95" customHeight="1">
      <c r="E382" s="3" t="s">
        <v>1209</v>
      </c>
      <c r="F382" s="3"/>
      <c r="G382" s="3"/>
      <c r="H382" s="3"/>
      <c r="I382" s="3"/>
      <c r="J382" s="3"/>
      <c r="K382" s="3"/>
      <c r="L382" s="3"/>
      <c r="N382" s="1760" t="s">
        <v>1210</v>
      </c>
      <c r="O382" s="1760"/>
      <c r="P382" s="1760"/>
      <c r="Q382" s="1760"/>
      <c r="R382" s="1760"/>
      <c r="S382" s="1760"/>
      <c r="T382" s="1760"/>
      <c r="U382" s="1760"/>
      <c r="V382" s="1760"/>
      <c r="W382" s="1760"/>
      <c r="X382" s="1760"/>
      <c r="Y382" s="1760"/>
      <c r="Z382" s="1760"/>
      <c r="AA382" s="1760"/>
      <c r="AB382" s="1760"/>
      <c r="AC382" s="1760"/>
      <c r="AD382" s="1760"/>
      <c r="AE382" s="1760"/>
      <c r="AF382" s="1760"/>
    </row>
    <row r="383" spans="1:34" ht="12.95" customHeight="1">
      <c r="E383" s="3"/>
      <c r="F383" s="3"/>
      <c r="G383" s="3"/>
      <c r="H383" s="3"/>
      <c r="I383" s="3"/>
      <c r="J383" s="3"/>
      <c r="K383" s="3"/>
      <c r="L383" s="3"/>
      <c r="N383" s="1761"/>
      <c r="O383" s="1761"/>
      <c r="P383" s="1761"/>
      <c r="Q383" s="1761"/>
      <c r="R383" s="1761"/>
      <c r="S383" s="1761"/>
      <c r="T383" s="1761"/>
      <c r="U383" s="1761"/>
      <c r="V383" s="1761"/>
      <c r="W383" s="1761"/>
      <c r="X383" s="1761"/>
      <c r="Y383" s="1761"/>
      <c r="Z383" s="1761"/>
      <c r="AA383" s="1761"/>
      <c r="AB383" s="1761"/>
      <c r="AC383" s="1761"/>
      <c r="AD383" s="1761"/>
      <c r="AE383" s="1761"/>
      <c r="AF383" s="1761"/>
    </row>
    <row r="384" spans="1:34" ht="12.95" customHeight="1">
      <c r="C384" s="412"/>
      <c r="E384" s="3"/>
      <c r="F384" s="3"/>
      <c r="G384" s="3"/>
      <c r="H384" s="3"/>
      <c r="I384" s="3"/>
      <c r="J384" s="3"/>
      <c r="K384" s="3"/>
      <c r="L384" s="3"/>
    </row>
    <row r="385" spans="1:36" ht="12.95" customHeight="1">
      <c r="D385" s="2" t="s">
        <v>1211</v>
      </c>
      <c r="E385" s="2"/>
      <c r="F385" s="3"/>
      <c r="G385" s="3"/>
      <c r="H385" s="3"/>
      <c r="I385" s="3"/>
      <c r="J385" s="3"/>
      <c r="K385" s="3"/>
      <c r="L385" s="3"/>
    </row>
    <row r="386" spans="1:36" ht="12.95" customHeight="1">
      <c r="E386" s="3" t="s">
        <v>1212</v>
      </c>
      <c r="F386" s="3"/>
      <c r="G386" s="3"/>
      <c r="H386" s="3"/>
      <c r="I386" s="3"/>
      <c r="J386" s="3"/>
      <c r="K386" s="3"/>
      <c r="L386" s="3"/>
      <c r="N386" t="s">
        <v>902</v>
      </c>
      <c r="R386" s="23" t="s">
        <v>903</v>
      </c>
      <c r="S386" s="1702" t="s">
        <v>904</v>
      </c>
      <c r="T386" s="1702"/>
      <c r="U386" s="1" t="s">
        <v>905</v>
      </c>
      <c r="V386" s="1702" t="s">
        <v>904</v>
      </c>
      <c r="W386" s="1702"/>
      <c r="Y386" t="s">
        <v>902</v>
      </c>
      <c r="AC386" s="23" t="s">
        <v>903</v>
      </c>
      <c r="AD386" s="1702" t="s">
        <v>904</v>
      </c>
      <c r="AE386" s="1702"/>
      <c r="AF386" s="1" t="s">
        <v>905</v>
      </c>
      <c r="AG386" s="1702" t="s">
        <v>904</v>
      </c>
      <c r="AH386" s="1702"/>
    </row>
    <row r="387" spans="1:36" ht="12.95" customHeight="1">
      <c r="E387" s="3" t="s">
        <v>1213</v>
      </c>
      <c r="F387" s="3"/>
      <c r="G387" s="3"/>
      <c r="H387" s="3"/>
      <c r="I387" s="3"/>
      <c r="J387" s="3"/>
      <c r="K387" s="3"/>
      <c r="L387" s="3"/>
      <c r="N387" s="1702" t="s">
        <v>904</v>
      </c>
      <c r="O387" s="1702"/>
      <c r="P387" s="1702"/>
    </row>
    <row r="388" spans="1:36" ht="12.95" customHeight="1">
      <c r="E388" s="136" t="s">
        <v>1214</v>
      </c>
      <c r="F388" s="3"/>
      <c r="G388" s="3"/>
      <c r="H388" s="3"/>
      <c r="I388" s="3"/>
      <c r="J388" s="3"/>
      <c r="K388" s="3"/>
      <c r="L388" s="3"/>
      <c r="AG388" s="1723" t="s">
        <v>826</v>
      </c>
      <c r="AH388" s="1723"/>
    </row>
    <row r="389" spans="1:36" ht="12.95" customHeight="1">
      <c r="E389" s="3"/>
      <c r="F389" s="3"/>
      <c r="G389" s="3" t="s">
        <v>1215</v>
      </c>
      <c r="H389" s="3"/>
      <c r="I389" s="3"/>
      <c r="J389" s="3"/>
      <c r="K389" s="3"/>
      <c r="L389" s="3"/>
      <c r="AG389" s="1723" t="s">
        <v>826</v>
      </c>
      <c r="AH389" s="1723"/>
    </row>
    <row r="390" spans="1:36" ht="12.95" customHeight="1">
      <c r="E390" s="3"/>
      <c r="F390" s="3"/>
      <c r="G390" s="225" t="s">
        <v>1216</v>
      </c>
      <c r="H390" s="3"/>
      <c r="I390" s="3"/>
      <c r="J390" s="3"/>
      <c r="K390" s="3"/>
      <c r="L390" s="3"/>
      <c r="V390" s="1308" t="s">
        <v>826</v>
      </c>
      <c r="W390" s="1308"/>
      <c r="Y390" s="19" t="s">
        <v>1217</v>
      </c>
    </row>
    <row r="391" spans="1:36" ht="12.95" customHeight="1">
      <c r="E391" s="3" t="s">
        <v>1218</v>
      </c>
      <c r="F391" s="3"/>
      <c r="G391" s="3"/>
      <c r="H391" s="3"/>
      <c r="I391" s="3"/>
      <c r="J391" s="3"/>
      <c r="K391" s="3"/>
      <c r="L391" s="3"/>
      <c r="V391" s="1308" t="s">
        <v>826</v>
      </c>
      <c r="W391" s="1308"/>
      <c r="Y391" s="3" t="s">
        <v>1219</v>
      </c>
    </row>
    <row r="392" spans="1:36" ht="12.95" customHeight="1"/>
    <row r="393" spans="1:36" ht="12.95" customHeight="1">
      <c r="A393" s="2" t="s">
        <v>1220</v>
      </c>
      <c r="B393" s="2"/>
    </row>
    <row r="394" spans="1:36" ht="12.95" customHeight="1">
      <c r="D394" t="s">
        <v>1221</v>
      </c>
      <c r="J394" s="1428" t="s">
        <v>673</v>
      </c>
      <c r="K394" s="1428"/>
      <c r="L394" s="1428"/>
      <c r="M394" s="1428"/>
      <c r="N394" s="1428"/>
      <c r="O394" s="1428"/>
      <c r="P394" s="1428"/>
      <c r="Q394" s="1428"/>
      <c r="R394" s="1428"/>
      <c r="S394" s="1428"/>
      <c r="T394" s="1428"/>
      <c r="U394" s="1428"/>
      <c r="V394" s="7" t="s">
        <v>1222</v>
      </c>
      <c r="W394" s="7"/>
      <c r="X394" s="7"/>
      <c r="Y394" s="7"/>
      <c r="Z394" s="7"/>
      <c r="AA394" s="7"/>
      <c r="AB394" s="7"/>
      <c r="AC394" s="1428" t="s">
        <v>805</v>
      </c>
      <c r="AD394" s="1428"/>
      <c r="AE394" s="1428"/>
      <c r="AF394" s="1428"/>
      <c r="AG394" s="1428"/>
      <c r="AH394" s="1428"/>
      <c r="AI394" s="1428"/>
      <c r="AJ394" s="1428"/>
    </row>
    <row r="395" spans="1:36" ht="12.95" customHeight="1">
      <c r="D395" s="3" t="s">
        <v>1223</v>
      </c>
      <c r="J395" s="1439" t="s">
        <v>805</v>
      </c>
      <c r="K395" s="1439"/>
      <c r="L395" s="1439"/>
      <c r="M395" s="1439"/>
      <c r="N395" s="1439"/>
      <c r="O395" s="1439"/>
      <c r="P395" s="1439"/>
      <c r="Q395" s="1439"/>
      <c r="R395" s="1439"/>
      <c r="S395" s="1439"/>
      <c r="T395" s="1439"/>
      <c r="U395" s="1439"/>
      <c r="V395" s="3" t="s">
        <v>1223</v>
      </c>
      <c r="W395" s="7"/>
      <c r="X395" s="7"/>
      <c r="Y395" s="7"/>
      <c r="Z395" s="7"/>
      <c r="AA395" s="7"/>
      <c r="AB395" s="7"/>
      <c r="AC395" s="1428"/>
      <c r="AD395" s="1428"/>
      <c r="AE395" s="1428"/>
      <c r="AF395" s="1428"/>
      <c r="AG395" s="1428"/>
      <c r="AH395" s="1428"/>
      <c r="AI395" s="1428"/>
      <c r="AJ395" s="1428"/>
    </row>
    <row r="396" spans="1:36" ht="12.95" customHeight="1">
      <c r="D396" s="3" t="s">
        <v>824</v>
      </c>
      <c r="J396" s="1439" t="s">
        <v>810</v>
      </c>
      <c r="K396" s="1439"/>
      <c r="L396" s="1439"/>
      <c r="M396" s="1439"/>
      <c r="N396" s="1439"/>
      <c r="O396" s="1439"/>
      <c r="P396" s="1439"/>
      <c r="Q396" s="1439"/>
      <c r="R396" s="1439"/>
      <c r="S396" s="1439"/>
      <c r="T396" s="1439"/>
      <c r="U396" s="1439"/>
      <c r="V396" s="3" t="s">
        <v>824</v>
      </c>
      <c r="W396" s="7"/>
      <c r="X396" s="7"/>
      <c r="Y396" s="7"/>
      <c r="Z396" s="7"/>
      <c r="AA396" s="7"/>
      <c r="AB396" s="7"/>
      <c r="AC396" s="1428"/>
      <c r="AD396" s="1428"/>
      <c r="AE396" s="1428"/>
      <c r="AF396" s="1428"/>
      <c r="AG396" s="1428"/>
      <c r="AH396" s="1428"/>
      <c r="AI396" s="1428"/>
      <c r="AJ396" s="1428"/>
    </row>
    <row r="397" spans="1:36" ht="12.95" customHeight="1">
      <c r="D397" t="s">
        <v>1224</v>
      </c>
      <c r="J397" s="1492" t="s">
        <v>1225</v>
      </c>
      <c r="K397" s="1492"/>
      <c r="L397" s="1492"/>
      <c r="M397" s="1492"/>
      <c r="N397" s="1492"/>
      <c r="O397" s="1492"/>
      <c r="P397" s="1492"/>
      <c r="Q397" s="1492"/>
      <c r="R397" s="1492"/>
      <c r="S397" s="1492"/>
      <c r="T397" s="1492"/>
      <c r="U397" s="1492"/>
      <c r="V397" s="1428"/>
      <c r="W397" s="1428"/>
      <c r="X397" s="1428"/>
      <c r="Y397" s="1428"/>
      <c r="Z397" s="1428"/>
      <c r="AA397" s="1428"/>
      <c r="AB397" s="1428"/>
      <c r="AC397" s="1428"/>
      <c r="AD397" s="1428"/>
      <c r="AE397" s="1428"/>
      <c r="AF397" s="1428"/>
      <c r="AG397" s="1428"/>
      <c r="AH397" s="1428"/>
      <c r="AI397" s="1428"/>
      <c r="AJ397" s="1428"/>
    </row>
    <row r="398" spans="1:36" ht="12.95" customHeight="1">
      <c r="D398" t="s">
        <v>1226</v>
      </c>
      <c r="Q398" s="1708">
        <v>46013</v>
      </c>
      <c r="R398" s="1708"/>
      <c r="S398" s="1708"/>
      <c r="T398" s="1708"/>
      <c r="U398" s="1708"/>
      <c r="V398" t="s">
        <v>1227</v>
      </c>
      <c r="AI398" s="1308" t="s">
        <v>700</v>
      </c>
      <c r="AJ398" s="1308"/>
    </row>
    <row r="399" spans="1:36" ht="12.95" customHeight="1">
      <c r="D399" t="s">
        <v>1228</v>
      </c>
      <c r="Q399" s="1532">
        <v>46387</v>
      </c>
      <c r="R399" s="1765"/>
      <c r="S399" s="1765"/>
      <c r="T399" s="1765"/>
      <c r="U399" s="1765"/>
      <c r="W399" s="18" t="s">
        <v>1229</v>
      </c>
      <c r="AG399" s="1703" t="s">
        <v>904</v>
      </c>
      <c r="AH399" s="1703"/>
      <c r="AI399" s="1703"/>
      <c r="AJ399" s="1703"/>
    </row>
    <row r="400" spans="1:36" ht="12.95" customHeight="1">
      <c r="D400" t="s">
        <v>1230</v>
      </c>
      <c r="Q400" s="1305">
        <v>8410000</v>
      </c>
      <c r="R400" s="1305"/>
      <c r="S400" s="1305"/>
      <c r="T400" s="1305"/>
      <c r="U400" s="1305"/>
      <c r="V400" s="3" t="s">
        <v>1231</v>
      </c>
      <c r="AG400" s="1704">
        <v>46341</v>
      </c>
      <c r="AH400" s="1704"/>
      <c r="AI400" s="1704"/>
      <c r="AJ400" s="1704"/>
    </row>
    <row r="401" spans="4:36" ht="12.95" customHeight="1">
      <c r="D401" t="s">
        <v>1086</v>
      </c>
      <c r="I401" s="1464" t="s">
        <v>1087</v>
      </c>
      <c r="J401" s="1464"/>
      <c r="K401" s="1464"/>
      <c r="L401" s="1464"/>
      <c r="M401" s="1464"/>
      <c r="N401" s="1464"/>
      <c r="Q401" s="3" t="s">
        <v>1088</v>
      </c>
      <c r="S401" s="1756">
        <v>2005</v>
      </c>
      <c r="T401" s="1756"/>
      <c r="U401" s="1756"/>
      <c r="V401" t="s">
        <v>1232</v>
      </c>
      <c r="AI401" s="1308" t="s">
        <v>700</v>
      </c>
      <c r="AJ401" s="1308"/>
    </row>
    <row r="402" spans="4:36" ht="12.95" customHeight="1">
      <c r="D402" t="s">
        <v>1233</v>
      </c>
      <c r="Q402" s="1394" t="s">
        <v>904</v>
      </c>
      <c r="R402" s="1394"/>
      <c r="S402" s="1394"/>
      <c r="T402" s="1394"/>
      <c r="U402" s="1394"/>
      <c r="V402" t="s">
        <v>1234</v>
      </c>
      <c r="AG402" s="1703" t="s">
        <v>904</v>
      </c>
      <c r="AH402" s="1703"/>
      <c r="AI402" s="1703"/>
      <c r="AJ402" s="1703"/>
    </row>
    <row r="403" spans="4:36" ht="12.95" customHeight="1">
      <c r="D403" t="s">
        <v>1235</v>
      </c>
      <c r="Q403" s="1720" t="s">
        <v>904</v>
      </c>
      <c r="R403" s="1720"/>
      <c r="S403" s="1720"/>
      <c r="T403" s="1720"/>
      <c r="U403" s="1720"/>
      <c r="V403" t="s">
        <v>1236</v>
      </c>
      <c r="AG403" s="1703" t="s">
        <v>904</v>
      </c>
      <c r="AH403" s="1703"/>
      <c r="AI403" s="1703"/>
      <c r="AJ403" s="1703"/>
    </row>
    <row r="404" spans="4:36" ht="12.95" customHeight="1">
      <c r="D404" t="s">
        <v>1237</v>
      </c>
      <c r="AG404" s="1703" t="s">
        <v>904</v>
      </c>
      <c r="AH404" s="1703"/>
      <c r="AI404" s="1703"/>
      <c r="AJ404" s="1703"/>
    </row>
    <row r="405" spans="4:36" ht="12.95" customHeight="1">
      <c r="AG405" s="1167"/>
      <c r="AH405" s="1167"/>
      <c r="AI405" s="1167"/>
      <c r="AJ405" s="1167"/>
    </row>
    <row r="406" spans="4:36" ht="12.95" customHeight="1">
      <c r="D406" s="3" t="s">
        <v>1238</v>
      </c>
      <c r="AG406" s="1167"/>
      <c r="AH406" s="1167"/>
      <c r="AI406" s="1308" t="s">
        <v>700</v>
      </c>
      <c r="AJ406" s="1308"/>
    </row>
    <row r="407" spans="4:36" ht="12.95" customHeight="1">
      <c r="D407" s="3" t="s">
        <v>1239</v>
      </c>
      <c r="T407" s="1709" t="s">
        <v>904</v>
      </c>
      <c r="U407" s="1709"/>
      <c r="V407" s="1709"/>
      <c r="W407" s="1709"/>
      <c r="X407" s="1709"/>
      <c r="Y407" s="1709"/>
      <c r="Z407" s="1709"/>
      <c r="AA407" s="1709"/>
      <c r="AB407" s="1709"/>
      <c r="AC407" s="1709"/>
      <c r="AD407" s="1709"/>
      <c r="AE407" s="1709"/>
      <c r="AF407" s="1709"/>
      <c r="AG407" s="1709"/>
      <c r="AH407" s="1709"/>
      <c r="AI407" s="1709"/>
      <c r="AJ407" s="1709"/>
    </row>
    <row r="408" spans="4:36" ht="12.95" customHeight="1">
      <c r="D408" s="3" t="s">
        <v>1240</v>
      </c>
      <c r="T408" s="1709" t="s">
        <v>904</v>
      </c>
      <c r="U408" s="1709"/>
      <c r="V408" s="1709"/>
      <c r="W408" s="1709"/>
      <c r="X408" s="1709"/>
      <c r="Y408" s="1709"/>
      <c r="Z408" s="1709"/>
      <c r="AA408" s="1709"/>
      <c r="AB408" s="1709"/>
      <c r="AC408" s="1709"/>
      <c r="AD408" s="1709"/>
      <c r="AE408" s="1709"/>
      <c r="AF408" s="1709"/>
      <c r="AG408" s="1709"/>
      <c r="AH408" s="1709"/>
      <c r="AI408" s="1709"/>
      <c r="AJ408" s="1709"/>
    </row>
    <row r="409" spans="4:36" ht="12.95" customHeight="1">
      <c r="AG409" s="1167"/>
      <c r="AH409" s="1167"/>
      <c r="AI409" s="1167"/>
      <c r="AJ409" s="1167"/>
    </row>
    <row r="410" spans="4:36" ht="12.95" customHeight="1">
      <c r="D410" s="3" t="s">
        <v>1241</v>
      </c>
      <c r="S410" s="1709" t="s">
        <v>700</v>
      </c>
      <c r="T410" s="1709"/>
      <c r="U410" s="1709"/>
      <c r="V410" t="s">
        <v>1242</v>
      </c>
      <c r="AG410" s="1758" t="s">
        <v>904</v>
      </c>
      <c r="AH410" s="1758"/>
      <c r="AI410" s="1758"/>
      <c r="AJ410" s="1758"/>
    </row>
    <row r="411" spans="4:36" ht="12.95" customHeight="1">
      <c r="D411" s="3" t="s">
        <v>1243</v>
      </c>
      <c r="S411" s="1709" t="s">
        <v>826</v>
      </c>
      <c r="T411" s="1709"/>
      <c r="U411" s="1709"/>
      <c r="V411" t="s">
        <v>1244</v>
      </c>
      <c r="AE411" s="1755" t="s">
        <v>904</v>
      </c>
      <c r="AF411" s="1755"/>
      <c r="AG411" s="1755"/>
      <c r="AH411" s="1755"/>
      <c r="AI411" s="1755"/>
      <c r="AJ411" s="1755"/>
    </row>
    <row r="412" spans="4:36" ht="12.95" customHeight="1">
      <c r="D412" s="3" t="s">
        <v>1245</v>
      </c>
      <c r="K412" s="1705" t="s">
        <v>904</v>
      </c>
      <c r="L412" s="1705"/>
      <c r="M412" s="1705"/>
      <c r="N412" s="1705"/>
      <c r="O412" s="1705"/>
      <c r="P412" s="1705"/>
      <c r="Q412" s="1705"/>
      <c r="R412" s="1705"/>
      <c r="S412" s="1705"/>
      <c r="T412" s="1705"/>
      <c r="U412" s="1705"/>
      <c r="V412" s="1705"/>
      <c r="W412" s="1705"/>
      <c r="X412" s="1705"/>
      <c r="Y412" s="1705"/>
      <c r="Z412" s="1705"/>
      <c r="AA412" s="1705"/>
      <c r="AB412" s="1705"/>
      <c r="AC412" s="1705"/>
      <c r="AD412" s="1705"/>
      <c r="AE412" s="1705"/>
      <c r="AF412" s="1705"/>
      <c r="AG412" s="1705"/>
      <c r="AH412" s="1705"/>
      <c r="AI412" s="1705"/>
      <c r="AJ412" s="1705"/>
    </row>
    <row r="413" spans="4:36" ht="12.95" customHeight="1">
      <c r="D413" s="3" t="s">
        <v>1246</v>
      </c>
      <c r="K413" s="1705" t="s">
        <v>904</v>
      </c>
      <c r="L413" s="1705"/>
      <c r="M413" s="1705"/>
      <c r="N413" s="1705"/>
      <c r="O413" s="1705"/>
      <c r="P413" s="1705"/>
      <c r="Q413" s="1705"/>
      <c r="R413" s="1705"/>
      <c r="S413" s="1705"/>
      <c r="T413" s="1705"/>
      <c r="U413" s="1705"/>
      <c r="V413" s="1705"/>
      <c r="W413" s="1705"/>
      <c r="X413" s="1705"/>
      <c r="Y413" s="1705"/>
      <c r="Z413" s="1705"/>
      <c r="AA413" s="1705"/>
      <c r="AB413" s="1705"/>
      <c r="AC413" s="1705"/>
      <c r="AD413" s="1705"/>
      <c r="AE413" s="1705"/>
      <c r="AF413" s="1705"/>
      <c r="AG413" s="1705"/>
      <c r="AH413" s="1705"/>
      <c r="AI413" s="1705"/>
      <c r="AJ413" s="1705"/>
    </row>
    <row r="414" spans="4:36" ht="12.95" customHeight="1">
      <c r="D414" s="3" t="s">
        <v>1247</v>
      </c>
      <c r="E414" s="378"/>
      <c r="F414" s="378"/>
      <c r="G414" s="378"/>
      <c r="H414" s="378"/>
      <c r="I414" s="378"/>
      <c r="J414" s="378"/>
      <c r="K414" s="378"/>
      <c r="L414" s="378"/>
      <c r="M414" s="378"/>
      <c r="N414" s="378"/>
      <c r="O414" s="378"/>
      <c r="P414" s="378"/>
      <c r="Q414" s="378"/>
      <c r="R414" s="378"/>
      <c r="S414" s="1754" t="s">
        <v>1016</v>
      </c>
      <c r="T414" s="1754"/>
      <c r="U414" s="1754"/>
      <c r="V414" s="1754"/>
      <c r="W414" s="1754"/>
      <c r="X414" s="1754"/>
      <c r="Y414" s="1754"/>
      <c r="Z414" s="1754"/>
      <c r="AA414" s="1754"/>
      <c r="AB414" s="1754"/>
      <c r="AC414" s="1754"/>
      <c r="AD414" s="1754"/>
      <c r="AE414" s="1754"/>
      <c r="AF414" s="1754"/>
      <c r="AG414" s="1754"/>
      <c r="AH414" s="1754"/>
      <c r="AI414" s="1754"/>
      <c r="AJ414" s="1754"/>
    </row>
    <row r="415" spans="4:36" ht="12.95" customHeight="1">
      <c r="D415" s="1235" t="s">
        <v>1248</v>
      </c>
      <c r="E415" s="1235"/>
      <c r="F415" s="1235"/>
      <c r="G415" s="1235"/>
      <c r="H415" s="1235"/>
      <c r="I415" s="1235"/>
      <c r="J415" s="1235"/>
      <c r="K415" s="1235"/>
      <c r="L415" s="1235"/>
      <c r="M415" s="1235"/>
      <c r="N415" s="1235"/>
      <c r="O415" s="1235"/>
      <c r="P415" s="1235"/>
      <c r="Q415" s="1235"/>
      <c r="R415" s="1235"/>
      <c r="S415" s="1235"/>
      <c r="T415" s="1235"/>
      <c r="U415" s="1235"/>
      <c r="V415" s="1235"/>
      <c r="W415" s="1235"/>
      <c r="X415" s="1235"/>
      <c r="Y415" s="1235"/>
      <c r="Z415" s="1235"/>
      <c r="AA415" s="1235"/>
      <c r="AB415" s="1235"/>
      <c r="AC415" s="1235"/>
      <c r="AD415" s="1235"/>
      <c r="AE415" s="1235"/>
      <c r="AF415" s="1235"/>
      <c r="AG415" s="1235"/>
      <c r="AH415" s="1235"/>
      <c r="AI415" s="1235"/>
      <c r="AJ415" s="1235"/>
    </row>
    <row r="416" spans="4:36" ht="12.95" customHeight="1">
      <c r="D416" s="1235"/>
      <c r="E416" s="1235"/>
      <c r="F416" s="1235"/>
      <c r="G416" s="1235"/>
      <c r="H416" s="1235"/>
      <c r="I416" s="1235"/>
      <c r="J416" s="1235"/>
      <c r="K416" s="1235"/>
      <c r="L416" s="1235"/>
      <c r="M416" s="1235"/>
      <c r="N416" s="1235"/>
      <c r="O416" s="1235"/>
      <c r="P416" s="1235"/>
      <c r="Q416" s="1235"/>
      <c r="R416" s="1235"/>
      <c r="S416" s="1235"/>
      <c r="T416" s="1235"/>
      <c r="U416" s="1235"/>
      <c r="V416" s="1235"/>
      <c r="W416" s="1235"/>
      <c r="X416" s="1235"/>
      <c r="Y416" s="1235"/>
      <c r="Z416" s="1235"/>
      <c r="AA416" s="1235"/>
      <c r="AB416" s="1235"/>
      <c r="AC416" s="1235"/>
      <c r="AD416" s="1235"/>
      <c r="AE416" s="1235"/>
      <c r="AF416" s="1235"/>
      <c r="AG416" s="1235"/>
      <c r="AH416" s="1235"/>
      <c r="AI416" s="1235"/>
      <c r="AJ416" s="1235"/>
    </row>
    <row r="417" spans="1:39" ht="12.95" customHeight="1">
      <c r="AG417" s="1167"/>
      <c r="AH417" s="1167"/>
      <c r="AI417" s="1167"/>
      <c r="AJ417" s="1167"/>
    </row>
    <row r="418" spans="1:39" ht="12.95" customHeight="1">
      <c r="A418" s="2" t="s">
        <v>1023</v>
      </c>
      <c r="B418" s="2"/>
      <c r="C418" s="2" t="s">
        <v>145</v>
      </c>
    </row>
    <row r="419" spans="1:39" ht="12.95" customHeight="1">
      <c r="B419" s="2"/>
      <c r="C419" s="2"/>
      <c r="D419" s="2" t="s">
        <v>1249</v>
      </c>
      <c r="I419" s="1460" t="s">
        <v>1250</v>
      </c>
      <c r="J419" s="1460"/>
      <c r="K419" s="1460"/>
      <c r="L419" s="1460"/>
      <c r="M419" s="1460"/>
      <c r="N419" s="1460"/>
      <c r="O419" s="1460"/>
      <c r="P419" s="1460"/>
      <c r="Q419" s="1460"/>
      <c r="R419" s="1460"/>
      <c r="S419" s="1460"/>
      <c r="T419" s="1460"/>
      <c r="U419" s="1460"/>
      <c r="V419" s="1460"/>
      <c r="W419" s="1460"/>
      <c r="X419" s="1460"/>
      <c r="Y419" s="1460"/>
      <c r="Z419" s="1460"/>
      <c r="AA419" s="1460"/>
      <c r="AB419" s="1460"/>
      <c r="AC419" s="1460"/>
      <c r="AD419" s="1460"/>
      <c r="AE419" s="1460"/>
    </row>
    <row r="420" spans="1:39" ht="12.95" customHeight="1">
      <c r="E420" t="s">
        <v>1251</v>
      </c>
      <c r="R420" s="1308" t="s">
        <v>860</v>
      </c>
      <c r="S420" s="1308"/>
      <c r="AC420" s="23" t="s">
        <v>1252</v>
      </c>
      <c r="AD420" s="1444"/>
      <c r="AE420" s="1444"/>
    </row>
    <row r="421" spans="1:39" ht="12.95" customHeight="1">
      <c r="E421" t="s">
        <v>1253</v>
      </c>
      <c r="R421" s="1308" t="s">
        <v>826</v>
      </c>
      <c r="S421" s="1308"/>
      <c r="AC421" s="23" t="s">
        <v>1252</v>
      </c>
      <c r="AD421" s="1444"/>
      <c r="AE421" s="1444"/>
    </row>
    <row r="422" spans="1:39" ht="12.95" customHeight="1">
      <c r="E422" t="s">
        <v>1254</v>
      </c>
      <c r="S422" s="1308" t="s">
        <v>826</v>
      </c>
      <c r="T422" s="1308"/>
    </row>
    <row r="423" spans="1:39" ht="12.95" customHeight="1">
      <c r="E423" t="s">
        <v>233</v>
      </c>
      <c r="H423" s="1721"/>
      <c r="I423" s="1721"/>
      <c r="J423" s="1721"/>
      <c r="K423" s="1721"/>
      <c r="L423" s="1721"/>
      <c r="M423" s="1721"/>
      <c r="N423" s="1721"/>
      <c r="O423" s="1721"/>
      <c r="P423" s="1721"/>
      <c r="Q423" s="1721"/>
      <c r="R423" s="1721"/>
      <c r="S423" s="1721"/>
      <c r="T423" s="1721"/>
      <c r="U423" s="1721"/>
      <c r="V423" s="1721"/>
      <c r="W423" s="1721"/>
      <c r="X423" s="1721"/>
      <c r="Y423" s="1721"/>
      <c r="Z423" s="1721"/>
      <c r="AA423" s="1721"/>
      <c r="AB423" s="1721"/>
      <c r="AC423" s="1721"/>
      <c r="AD423" s="1721"/>
      <c r="AE423" s="1721"/>
    </row>
    <row r="424" spans="1:39" ht="12.95" customHeight="1">
      <c r="H424" s="1722"/>
      <c r="I424" s="1722"/>
      <c r="J424" s="1722"/>
      <c r="K424" s="1722"/>
      <c r="L424" s="1722"/>
      <c r="M424" s="1722"/>
      <c r="N424" s="1722"/>
      <c r="O424" s="1722"/>
      <c r="P424" s="1722"/>
      <c r="Q424" s="1722"/>
      <c r="R424" s="1722"/>
      <c r="S424" s="1722"/>
      <c r="T424" s="1722"/>
      <c r="U424" s="1722"/>
      <c r="V424" s="1722"/>
      <c r="W424" s="1722"/>
      <c r="X424" s="1722"/>
      <c r="Y424" s="1722"/>
      <c r="Z424" s="1722"/>
      <c r="AA424" s="1722"/>
      <c r="AB424" s="1722"/>
      <c r="AC424" s="1722"/>
      <c r="AD424" s="1722"/>
      <c r="AE424" s="1722"/>
    </row>
    <row r="425" spans="1:39" ht="12.95" customHeight="1"/>
    <row r="426" spans="1:39" ht="12.95" customHeight="1">
      <c r="A426" s="2" t="s">
        <v>1035</v>
      </c>
      <c r="B426" s="2"/>
      <c r="C426" s="2"/>
      <c r="D426" s="2" t="s">
        <v>150</v>
      </c>
      <c r="AF426" s="2" t="s">
        <v>1255</v>
      </c>
    </row>
    <row r="427" spans="1:39" ht="12.95" customHeight="1">
      <c r="E427" s="1702"/>
      <c r="F427" s="1702"/>
      <c r="G427" s="1702"/>
      <c r="H427" s="12" t="s">
        <v>1256</v>
      </c>
      <c r="I427" s="1702"/>
      <c r="J427" s="1702"/>
      <c r="K427" s="1702"/>
      <c r="L427" t="s">
        <v>1257</v>
      </c>
      <c r="N427" s="23" t="s">
        <v>36</v>
      </c>
      <c r="P427" s="1762">
        <v>1.47</v>
      </c>
      <c r="Q427" s="1762"/>
      <c r="R427" s="1762"/>
      <c r="S427" t="s">
        <v>1258</v>
      </c>
      <c r="W427" s="1759">
        <f>IF(E427&gt;0,(E427*I427),(P427*43560))</f>
        <v>64033.2</v>
      </c>
      <c r="X427" s="1759"/>
      <c r="Y427" s="1759"/>
      <c r="Z427" t="s">
        <v>1259</v>
      </c>
      <c r="AF427" s="1706">
        <f>IFERROR(IF(P427&gt;0,(AG446/P427),(AG446/(W427/43560))),0)</f>
        <v>25.170068027210885</v>
      </c>
      <c r="AG427" s="1706"/>
      <c r="AH427" s="1706"/>
      <c r="AM427" s="3"/>
    </row>
    <row r="428" spans="1:39" ht="12.95" customHeight="1">
      <c r="E428" t="s">
        <v>1260</v>
      </c>
    </row>
    <row r="429" spans="1:39" ht="12.95" customHeight="1">
      <c r="E429" s="1766"/>
      <c r="F429" s="1766"/>
      <c r="G429" s="1766"/>
      <c r="H429" s="1766"/>
      <c r="I429" s="1766"/>
      <c r="J429" s="1766"/>
      <c r="K429" s="1766"/>
      <c r="L429" s="1766"/>
      <c r="M429" s="1766"/>
      <c r="N429" s="1766"/>
      <c r="O429" s="1766"/>
      <c r="P429" s="1766"/>
      <c r="Q429" s="1766"/>
      <c r="R429" s="1766"/>
      <c r="S429" s="1766"/>
      <c r="T429" s="1766"/>
      <c r="U429" s="1766"/>
      <c r="V429" s="1766"/>
      <c r="W429" s="1766"/>
      <c r="X429" s="1766"/>
      <c r="Y429" s="1766"/>
      <c r="Z429" s="1766"/>
      <c r="AA429" s="1766"/>
      <c r="AB429" s="1766"/>
      <c r="AC429" s="1766"/>
      <c r="AD429" s="1766"/>
      <c r="AE429" s="1766"/>
      <c r="AF429" s="1766"/>
      <c r="AG429" s="1766"/>
      <c r="AH429" s="1766"/>
      <c r="AI429" s="1766"/>
      <c r="AJ429" s="1766"/>
    </row>
    <row r="430" spans="1:39" ht="12.95" customHeight="1">
      <c r="E430" s="84" t="s">
        <v>1261</v>
      </c>
      <c r="F430" s="18"/>
      <c r="G430" s="18"/>
      <c r="H430" s="18"/>
      <c r="I430" s="1768">
        <v>1.47</v>
      </c>
      <c r="J430" s="1768"/>
      <c r="K430" s="1768"/>
      <c r="L430" s="18"/>
      <c r="M430" s="84"/>
      <c r="N430" s="18"/>
      <c r="O430" s="18"/>
      <c r="P430" s="1707">
        <f>(DU763+DU786+DU808)/I430</f>
        <v>57.823129251700678</v>
      </c>
      <c r="Q430" s="1707"/>
      <c r="R430" s="1707"/>
      <c r="S430" s="84" t="s">
        <v>1262</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1062</v>
      </c>
      <c r="B432" s="2"/>
      <c r="C432" s="2"/>
      <c r="D432" s="2" t="s">
        <v>152</v>
      </c>
    </row>
    <row r="433" spans="1:36" ht="12.95" customHeight="1">
      <c r="E433" t="s">
        <v>1263</v>
      </c>
      <c r="P433" s="1308">
        <v>5</v>
      </c>
      <c r="Q433" s="1308"/>
      <c r="S433" t="s">
        <v>1264</v>
      </c>
      <c r="AE433" s="1308">
        <v>5</v>
      </c>
      <c r="AF433" s="1308"/>
    </row>
    <row r="434" spans="1:36" ht="12.95" customHeight="1">
      <c r="E434" t="s">
        <v>1265</v>
      </c>
      <c r="P434" s="1308">
        <v>0</v>
      </c>
      <c r="Q434" s="1308"/>
      <c r="S434" t="s">
        <v>1266</v>
      </c>
      <c r="AE434" s="1308" t="s">
        <v>826</v>
      </c>
      <c r="AF434" s="1308"/>
    </row>
    <row r="435" spans="1:36" ht="12.95" customHeight="1">
      <c r="F435" s="19" t="s">
        <v>1267</v>
      </c>
    </row>
    <row r="436" spans="1:36" ht="12.95" customHeight="1">
      <c r="F436" s="1749" t="s">
        <v>1268</v>
      </c>
      <c r="G436" s="1749"/>
      <c r="H436" s="1749"/>
      <c r="I436" s="1749"/>
      <c r="J436" s="1749"/>
      <c r="K436" s="1749"/>
      <c r="L436" s="1749"/>
      <c r="M436" s="1749"/>
      <c r="N436" s="1749"/>
      <c r="O436" s="1749"/>
      <c r="P436" s="1749"/>
      <c r="Q436" s="1749"/>
      <c r="R436" s="1749"/>
      <c r="S436" s="1749"/>
      <c r="T436" s="1749"/>
      <c r="U436" s="1749"/>
      <c r="V436" s="1749"/>
      <c r="W436" s="1749"/>
      <c r="X436" s="1749"/>
      <c r="Y436" s="1749"/>
      <c r="Z436" s="1749"/>
      <c r="AA436" s="1749"/>
      <c r="AB436" s="1749"/>
      <c r="AC436" s="1749"/>
      <c r="AD436" s="1749"/>
      <c r="AE436" s="1749"/>
      <c r="AF436" s="1749"/>
      <c r="AG436" s="1749"/>
      <c r="AH436" s="1749"/>
    </row>
    <row r="437" spans="1:36" ht="12.95" customHeight="1">
      <c r="F437" s="1699"/>
      <c r="G437" s="1699"/>
      <c r="H437" s="1699"/>
      <c r="I437" s="1699"/>
      <c r="J437" s="1699"/>
      <c r="K437" s="1699"/>
      <c r="L437" s="1699"/>
      <c r="M437" s="1699"/>
      <c r="N437" s="1699"/>
      <c r="O437" s="1699"/>
      <c r="P437" s="1699"/>
      <c r="Q437" s="1699"/>
      <c r="R437" s="1699"/>
      <c r="S437" s="1699"/>
      <c r="T437" s="1699"/>
      <c r="U437" s="1699"/>
      <c r="V437" s="1699"/>
      <c r="W437" s="1699"/>
      <c r="X437" s="1699"/>
      <c r="Y437" s="1699"/>
      <c r="Z437" s="1699"/>
      <c r="AA437" s="1699"/>
      <c r="AB437" s="1699"/>
      <c r="AC437" s="1699"/>
      <c r="AD437" s="1699"/>
      <c r="AE437" s="1699"/>
      <c r="AF437" s="1699"/>
      <c r="AG437" s="1699"/>
      <c r="AH437" s="1699"/>
    </row>
    <row r="438" spans="1:36" ht="12.95" customHeight="1">
      <c r="E438" t="s">
        <v>1269</v>
      </c>
      <c r="P438" s="1"/>
      <c r="Q438" s="1308" t="s">
        <v>860</v>
      </c>
      <c r="R438" s="1308"/>
    </row>
    <row r="439" spans="1:36" ht="12.95" customHeight="1">
      <c r="F439" t="s">
        <v>1270</v>
      </c>
      <c r="P439" s="1"/>
      <c r="Q439" s="1"/>
      <c r="AF439" s="1308" t="s">
        <v>826</v>
      </c>
      <c r="AG439" s="1767"/>
    </row>
    <row r="440" spans="1:36" ht="12.95" customHeight="1"/>
    <row r="441" spans="1:36" ht="12.95" customHeight="1">
      <c r="A441" s="2"/>
      <c r="B441" s="2"/>
      <c r="C441" s="2"/>
      <c r="E441" s="3" t="s">
        <v>1271</v>
      </c>
      <c r="Z441" s="1308" t="s">
        <v>700</v>
      </c>
      <c r="AA441" s="1308"/>
    </row>
    <row r="442" spans="1:36" ht="12.95" customHeight="1">
      <c r="F442" s="31" t="s">
        <v>1272</v>
      </c>
      <c r="G442" s="32"/>
      <c r="H442" s="32"/>
      <c r="I442" s="32"/>
      <c r="J442" s="32"/>
      <c r="K442" s="32"/>
      <c r="L442" s="32"/>
      <c r="M442" s="32"/>
      <c r="N442" s="32"/>
      <c r="O442" s="32"/>
      <c r="P442" s="32"/>
      <c r="Q442" s="32"/>
      <c r="R442" s="32"/>
      <c r="S442" s="32"/>
      <c r="T442" s="32"/>
      <c r="U442" s="32"/>
      <c r="V442" s="32"/>
      <c r="W442" s="32"/>
      <c r="AB442" s="32"/>
    </row>
    <row r="443" spans="1:36" ht="12.95" customHeight="1">
      <c r="F443" t="s">
        <v>1273</v>
      </c>
      <c r="G443" s="32"/>
      <c r="I443" s="32"/>
      <c r="J443" s="32"/>
      <c r="K443" s="32"/>
      <c r="L443" s="32"/>
      <c r="M443" s="32"/>
      <c r="N443" s="32"/>
      <c r="O443" s="19"/>
      <c r="P443" s="32"/>
      <c r="Q443" s="32"/>
      <c r="R443" s="32"/>
      <c r="S443" s="32"/>
      <c r="T443" s="32"/>
      <c r="U443" s="32"/>
      <c r="V443" s="32"/>
      <c r="W443" s="32"/>
      <c r="Z443" s="1308" t="s">
        <v>826</v>
      </c>
      <c r="AA443" s="1308"/>
    </row>
    <row r="444" spans="1:36" ht="12.95" customHeight="1"/>
    <row r="445" spans="1:36" ht="12.95" customHeight="1">
      <c r="A445" s="2" t="s">
        <v>1121</v>
      </c>
      <c r="B445" s="2"/>
      <c r="C445" s="2"/>
      <c r="D445" s="2" t="s">
        <v>159</v>
      </c>
      <c r="AF445" s="40"/>
    </row>
    <row r="446" spans="1:36" ht="12.95" customHeight="1">
      <c r="D446" s="1612" t="s">
        <v>1274</v>
      </c>
      <c r="E446" s="1611"/>
      <c r="F446" s="1611"/>
      <c r="G446" s="1611"/>
      <c r="H446" s="1611"/>
      <c r="I446" s="1611"/>
      <c r="J446" s="1611"/>
      <c r="K446" s="1611"/>
      <c r="L446" s="1611"/>
      <c r="M446" s="1611"/>
      <c r="N446" s="1611"/>
      <c r="O446" s="1611"/>
      <c r="P446" s="1611"/>
      <c r="Q446" s="1611"/>
      <c r="R446" s="1611"/>
      <c r="S446" s="1611"/>
      <c r="T446" s="1611"/>
      <c r="U446" s="1611"/>
      <c r="V446" s="1611"/>
      <c r="W446" s="1611"/>
      <c r="X446" s="1611"/>
      <c r="Y446" s="1611"/>
      <c r="Z446" s="1611"/>
      <c r="AA446" s="1611"/>
      <c r="AB446" s="1611"/>
      <c r="AC446" s="1611"/>
      <c r="AD446" s="1611"/>
      <c r="AE446" s="1611"/>
      <c r="AF446" s="1764"/>
      <c r="AG446" s="1757">
        <v>37</v>
      </c>
      <c r="AH446" s="1757"/>
      <c r="AI446" s="1757"/>
      <c r="AJ446" s="1757"/>
    </row>
    <row r="447" spans="1:36" ht="12.95" customHeight="1">
      <c r="D447" s="1610" t="s">
        <v>1275</v>
      </c>
      <c r="E447" s="1691"/>
      <c r="F447" s="1691"/>
      <c r="G447" s="1691"/>
      <c r="H447" s="1691"/>
      <c r="I447" s="1691"/>
      <c r="J447" s="1691"/>
      <c r="K447" s="1691"/>
      <c r="L447" s="1691"/>
      <c r="M447" s="1691"/>
      <c r="N447" s="1691"/>
      <c r="O447" s="1691"/>
      <c r="P447" s="1691"/>
      <c r="Q447" s="1691"/>
      <c r="R447" s="1691"/>
      <c r="S447" s="1691"/>
      <c r="T447" s="1691"/>
      <c r="U447" s="1691"/>
      <c r="V447" s="1691"/>
      <c r="W447" s="1691"/>
      <c r="X447" s="1691"/>
      <c r="Y447" s="1691"/>
      <c r="Z447" s="1691"/>
      <c r="AA447" s="1691"/>
      <c r="AB447" s="1691"/>
      <c r="AC447" s="1691"/>
      <c r="AD447" s="1691"/>
      <c r="AE447" s="1691"/>
      <c r="AF447" s="1692"/>
      <c r="AG447" s="1763">
        <v>1</v>
      </c>
      <c r="AH447" s="1593"/>
      <c r="AI447" s="1593"/>
      <c r="AJ447" s="1593"/>
    </row>
    <row r="448" spans="1:36" ht="12.95" customHeight="1">
      <c r="D448" s="1610" t="s">
        <v>1276</v>
      </c>
      <c r="E448" s="1691"/>
      <c r="F448" s="1691"/>
      <c r="G448" s="1691"/>
      <c r="H448" s="1691"/>
      <c r="I448" s="1691"/>
      <c r="J448" s="1691"/>
      <c r="K448" s="1691"/>
      <c r="L448" s="1691"/>
      <c r="M448" s="1691"/>
      <c r="N448" s="1691"/>
      <c r="O448" s="1691"/>
      <c r="P448" s="1691"/>
      <c r="Q448" s="1691"/>
      <c r="R448" s="1691"/>
      <c r="S448" s="1691"/>
      <c r="T448" s="1691"/>
      <c r="U448" s="1691"/>
      <c r="V448" s="1691"/>
      <c r="W448" s="1691"/>
      <c r="X448" s="1691"/>
      <c r="Y448" s="1691"/>
      <c r="Z448" s="1691"/>
      <c r="AA448" s="1691"/>
      <c r="AB448" s="1691"/>
      <c r="AC448" s="1691"/>
      <c r="AD448" s="1691"/>
      <c r="AE448" s="1691"/>
      <c r="AF448" s="1692"/>
      <c r="AG448" s="1757">
        <v>36</v>
      </c>
      <c r="AH448" s="1757"/>
      <c r="AI448" s="1757"/>
      <c r="AJ448" s="1757"/>
    </row>
    <row r="449" spans="4:55" ht="12.95" customHeight="1">
      <c r="D449" s="1610" t="s">
        <v>1277</v>
      </c>
      <c r="E449" s="1691"/>
      <c r="F449" s="1691"/>
      <c r="G449" s="1691"/>
      <c r="H449" s="1691"/>
      <c r="I449" s="1691"/>
      <c r="J449" s="1691"/>
      <c r="K449" s="1691"/>
      <c r="L449" s="1691"/>
      <c r="M449" s="1691"/>
      <c r="N449" s="1691"/>
      <c r="O449" s="1691"/>
      <c r="P449" s="1691"/>
      <c r="Q449" s="1691"/>
      <c r="R449" s="1691"/>
      <c r="S449" s="1691"/>
      <c r="T449" s="1691"/>
      <c r="U449" s="1691"/>
      <c r="V449" s="1691"/>
      <c r="W449" s="1691"/>
      <c r="X449" s="1691"/>
      <c r="Y449" s="1691"/>
      <c r="Z449" s="1691"/>
      <c r="AA449" s="1691"/>
      <c r="AB449" s="1691"/>
      <c r="AC449" s="1691"/>
      <c r="AD449" s="1691"/>
      <c r="AE449" s="1691"/>
      <c r="AF449" s="1692"/>
      <c r="AG449" s="1757">
        <v>35</v>
      </c>
      <c r="AH449" s="1757"/>
      <c r="AI449" s="1757"/>
      <c r="AJ449" s="1757"/>
    </row>
    <row r="450" spans="4:55" ht="12.95" customHeight="1">
      <c r="D450" s="1610" t="s">
        <v>1278</v>
      </c>
      <c r="E450" s="1691"/>
      <c r="F450" s="1691"/>
      <c r="G450" s="1691"/>
      <c r="H450" s="1691"/>
      <c r="I450" s="1691"/>
      <c r="J450" s="1691"/>
      <c r="K450" s="1691"/>
      <c r="L450" s="1691"/>
      <c r="M450" s="1691"/>
      <c r="N450" s="1691"/>
      <c r="O450" s="1691"/>
      <c r="P450" s="1691"/>
      <c r="Q450" s="1691"/>
      <c r="R450" s="1691"/>
      <c r="S450" s="1691"/>
      <c r="T450" s="1691"/>
      <c r="U450" s="1691"/>
      <c r="V450" s="1691"/>
      <c r="W450" s="1691"/>
      <c r="X450" s="1691"/>
      <c r="Y450" s="1691"/>
      <c r="Z450" s="1691"/>
      <c r="AA450" s="1691"/>
      <c r="AB450" s="1691"/>
      <c r="AC450" s="1691"/>
      <c r="AD450" s="1691"/>
      <c r="AE450" s="1691"/>
      <c r="AF450" s="1692"/>
      <c r="AG450" s="1769">
        <f>IF(ISERROR(AG449/AG448),0,AG449/AG448)</f>
        <v>0.97222222222222221</v>
      </c>
      <c r="AH450" s="1769"/>
      <c r="AI450" s="1769"/>
      <c r="AJ450" s="1769"/>
    </row>
    <row r="451" spans="4:55" ht="12.95" customHeight="1">
      <c r="D451" s="1610" t="s">
        <v>1279</v>
      </c>
      <c r="E451" s="1691"/>
      <c r="F451" s="1691"/>
      <c r="G451" s="1691"/>
      <c r="H451" s="1691"/>
      <c r="I451" s="1691"/>
      <c r="J451" s="1691"/>
      <c r="K451" s="1691"/>
      <c r="L451" s="1691"/>
      <c r="M451" s="1691"/>
      <c r="N451" s="1691"/>
      <c r="O451" s="1691"/>
      <c r="P451" s="1691"/>
      <c r="Q451" s="1691"/>
      <c r="R451" s="1691"/>
      <c r="S451" s="1691"/>
      <c r="T451" s="1691"/>
      <c r="U451" s="1691"/>
      <c r="V451" s="1691"/>
      <c r="W451" s="1691"/>
      <c r="X451" s="1691"/>
      <c r="Y451" s="1691"/>
      <c r="Z451" s="1691"/>
      <c r="AA451" s="1691"/>
      <c r="AB451" s="1691"/>
      <c r="AC451" s="1691"/>
      <c r="AD451" s="1691"/>
      <c r="AE451" s="1691"/>
      <c r="AF451" s="1692"/>
      <c r="AG451" s="1649">
        <v>63276</v>
      </c>
      <c r="AH451" s="1649"/>
      <c r="AI451" s="1649"/>
      <c r="AJ451" s="1649"/>
    </row>
    <row r="452" spans="4:55" ht="12.95" customHeight="1">
      <c r="D452" s="1610" t="s">
        <v>1280</v>
      </c>
      <c r="E452" s="1691"/>
      <c r="F452" s="1691"/>
      <c r="G452" s="1691"/>
      <c r="H452" s="1691"/>
      <c r="I452" s="1691"/>
      <c r="J452" s="1691"/>
      <c r="K452" s="1691"/>
      <c r="L452" s="1691"/>
      <c r="M452" s="1691"/>
      <c r="N452" s="1691"/>
      <c r="O452" s="1691"/>
      <c r="P452" s="1691"/>
      <c r="Q452" s="1691"/>
      <c r="R452" s="1691"/>
      <c r="S452" s="1691"/>
      <c r="T452" s="1691"/>
      <c r="U452" s="1691"/>
      <c r="V452" s="1691"/>
      <c r="W452" s="1691"/>
      <c r="X452" s="1691"/>
      <c r="Y452" s="1691"/>
      <c r="Z452" s="1691"/>
      <c r="AA452" s="1691"/>
      <c r="AB452" s="1691"/>
      <c r="AC452" s="1691"/>
      <c r="AD452" s="1691"/>
      <c r="AE452" s="1691"/>
      <c r="AF452" s="1692"/>
      <c r="AG452" s="1649">
        <v>61153</v>
      </c>
      <c r="AH452" s="1649"/>
      <c r="AI452" s="1649"/>
      <c r="AJ452" s="1649"/>
    </row>
    <row r="453" spans="4:55" ht="12.95" customHeight="1">
      <c r="D453" s="1610" t="s">
        <v>1281</v>
      </c>
      <c r="E453" s="1691"/>
      <c r="F453" s="1691"/>
      <c r="G453" s="1691"/>
      <c r="H453" s="1691"/>
      <c r="I453" s="1691"/>
      <c r="J453" s="1691"/>
      <c r="K453" s="1691"/>
      <c r="L453" s="1691"/>
      <c r="M453" s="1691"/>
      <c r="N453" s="1691"/>
      <c r="O453" s="1691"/>
      <c r="P453" s="1691"/>
      <c r="Q453" s="1691"/>
      <c r="R453" s="1691"/>
      <c r="S453" s="1691"/>
      <c r="T453" s="1691"/>
      <c r="U453" s="1691"/>
      <c r="V453" s="1691"/>
      <c r="W453" s="1691"/>
      <c r="X453" s="1691"/>
      <c r="Y453" s="1691"/>
      <c r="Z453" s="1691"/>
      <c r="AA453" s="1691"/>
      <c r="AB453" s="1691"/>
      <c r="AC453" s="1691"/>
      <c r="AD453" s="1691"/>
      <c r="AE453" s="1691"/>
      <c r="AF453" s="1692"/>
      <c r="AG453" s="1769">
        <f>IF(ISERROR(AG452/AG451),0,AG452/AG451)</f>
        <v>0.96644857449902022</v>
      </c>
      <c r="AH453" s="1769"/>
      <c r="AI453" s="1769"/>
      <c r="AJ453" s="1769"/>
    </row>
    <row r="454" spans="4:55" ht="12.95" customHeight="1">
      <c r="D454" s="1610" t="s">
        <v>1282</v>
      </c>
      <c r="E454" s="1691"/>
      <c r="F454" s="1691"/>
      <c r="G454" s="1691"/>
      <c r="H454" s="1691"/>
      <c r="I454" s="1691"/>
      <c r="J454" s="1691"/>
      <c r="K454" s="1691"/>
      <c r="L454" s="1691"/>
      <c r="M454" s="1691"/>
      <c r="N454" s="1691"/>
      <c r="O454" s="1691"/>
      <c r="P454" s="1691"/>
      <c r="Q454" s="1691"/>
      <c r="R454" s="1691"/>
      <c r="S454" s="1691"/>
      <c r="T454" s="1691"/>
      <c r="U454" s="1691"/>
      <c r="V454" s="1691"/>
      <c r="W454" s="1691"/>
      <c r="X454" s="1691"/>
      <c r="Y454" s="1691"/>
      <c r="Z454" s="1691"/>
      <c r="AA454" s="1691"/>
      <c r="AB454" s="1691"/>
      <c r="AC454" s="1691"/>
      <c r="AD454" s="1691"/>
      <c r="AE454" s="1691"/>
      <c r="AF454" s="1692"/>
      <c r="AG454" s="1769">
        <f>MIN(IF(AG450&gt;AG453,AG453,AG450),1)</f>
        <v>0.96644857449902022</v>
      </c>
      <c r="AH454" s="1769"/>
      <c r="AI454" s="1769"/>
      <c r="AJ454" s="1769"/>
    </row>
    <row r="455" spans="4:55" ht="12.95" customHeight="1">
      <c r="D455" s="1610" t="s">
        <v>1283</v>
      </c>
      <c r="E455" s="1611"/>
      <c r="F455" s="1611"/>
      <c r="G455" s="1611"/>
      <c r="H455" s="1611"/>
      <c r="I455" s="1611"/>
      <c r="J455" s="1611"/>
      <c r="K455" s="1611"/>
      <c r="L455" s="1611"/>
      <c r="M455" s="1611"/>
      <c r="N455" s="1611"/>
      <c r="O455" s="1611"/>
      <c r="P455" s="1611"/>
      <c r="Q455" s="1611"/>
      <c r="R455" s="1611"/>
      <c r="S455" s="1611"/>
      <c r="T455" s="1611"/>
      <c r="U455" s="1611"/>
      <c r="V455" s="1611"/>
      <c r="W455" s="1611"/>
      <c r="X455" s="1611"/>
      <c r="Y455" s="1611"/>
      <c r="Z455" s="1611"/>
      <c r="AA455" s="1611"/>
      <c r="AB455" s="1611"/>
      <c r="AC455" s="1611"/>
      <c r="AD455" s="1611"/>
      <c r="AE455" s="1611"/>
      <c r="AF455" s="1764"/>
      <c r="AG455" s="1649">
        <v>2750</v>
      </c>
      <c r="AH455" s="1649"/>
      <c r="AI455" s="1649"/>
      <c r="AJ455" s="1649"/>
      <c r="AZ455" s="3"/>
      <c r="BA455" s="3"/>
      <c r="BB455" s="3"/>
      <c r="BC455" s="3"/>
    </row>
    <row r="456" spans="4:55" ht="12.95" customHeight="1">
      <c r="D456" s="1612" t="s">
        <v>1284</v>
      </c>
      <c r="E456" s="1611"/>
      <c r="F456" s="1611"/>
      <c r="G456" s="1611"/>
      <c r="H456" s="1611"/>
      <c r="I456" s="1611"/>
      <c r="J456" s="1611"/>
      <c r="K456" s="1611"/>
      <c r="L456" s="1611"/>
      <c r="M456" s="1611"/>
      <c r="N456" s="1611"/>
      <c r="O456" s="1611"/>
      <c r="P456" s="1611"/>
      <c r="Q456" s="1611"/>
      <c r="R456" s="1611"/>
      <c r="S456" s="1611"/>
      <c r="T456" s="1611"/>
      <c r="U456" s="1611"/>
      <c r="V456" s="1611"/>
      <c r="W456" s="1611"/>
      <c r="X456" s="1611"/>
      <c r="Y456" s="1611"/>
      <c r="Z456" s="1611"/>
      <c r="AA456" s="1611"/>
      <c r="AB456" s="1611"/>
      <c r="AC456" s="1611"/>
      <c r="AD456" s="1611"/>
      <c r="AE456" s="1611"/>
      <c r="AF456" s="1764"/>
      <c r="AG456" s="1649">
        <v>0</v>
      </c>
      <c r="AH456" s="1649"/>
      <c r="AI456" s="1649"/>
      <c r="AJ456" s="1649"/>
      <c r="AZ456" s="3"/>
      <c r="BA456" s="3"/>
      <c r="BB456" s="3"/>
      <c r="BC456" s="3"/>
    </row>
    <row r="457" spans="4:55" ht="12.95" customHeight="1">
      <c r="D457" s="1610" t="s">
        <v>1285</v>
      </c>
      <c r="E457" s="1611"/>
      <c r="F457" s="1611"/>
      <c r="G457" s="1611"/>
      <c r="H457" s="1611"/>
      <c r="I457" s="1611"/>
      <c r="J457" s="1611"/>
      <c r="K457" s="1611"/>
      <c r="L457" s="1611"/>
      <c r="M457" s="1611"/>
      <c r="N457" s="1611"/>
      <c r="O457" s="1611"/>
      <c r="P457" s="1611"/>
      <c r="Q457" s="1611"/>
      <c r="R457" s="1611"/>
      <c r="S457" s="1611"/>
      <c r="T457" s="1611"/>
      <c r="U457" s="1611"/>
      <c r="V457" s="1611"/>
      <c r="W457" s="1611"/>
      <c r="X457" s="1611"/>
      <c r="Y457" s="1611"/>
      <c r="Z457" s="1611"/>
      <c r="AA457" s="1611"/>
      <c r="AB457" s="1611"/>
      <c r="AC457" s="1611"/>
      <c r="AD457" s="1611"/>
      <c r="AE457" s="1611"/>
      <c r="AF457" s="1764"/>
      <c r="AG457" s="1649">
        <v>1375</v>
      </c>
      <c r="AH457" s="1649"/>
      <c r="AI457" s="1649"/>
      <c r="AJ457" s="1649"/>
      <c r="AZ457" s="3"/>
      <c r="BA457" s="3"/>
      <c r="BB457" s="3"/>
      <c r="BC457" s="3"/>
    </row>
    <row r="458" spans="4:55" ht="12.95" customHeight="1">
      <c r="D458" s="1610" t="s">
        <v>1286</v>
      </c>
      <c r="E458" s="1611"/>
      <c r="F458" s="1611"/>
      <c r="G458" s="1611"/>
      <c r="H458" s="1611"/>
      <c r="I458" s="1611"/>
      <c r="J458" s="1611"/>
      <c r="K458" s="1611"/>
      <c r="L458" s="1611"/>
      <c r="M458" s="1611"/>
      <c r="N458" s="1611"/>
      <c r="O458" s="1611"/>
      <c r="P458" s="1611"/>
      <c r="Q458" s="1611"/>
      <c r="R458" s="1611"/>
      <c r="S458" s="1611"/>
      <c r="T458" s="1611"/>
      <c r="U458" s="1611"/>
      <c r="V458" s="1611"/>
      <c r="W458" s="1611"/>
      <c r="X458" s="1611"/>
      <c r="Y458" s="1611"/>
      <c r="Z458" s="1611"/>
      <c r="AA458" s="1611"/>
      <c r="AB458" s="1611"/>
      <c r="AC458" s="1611"/>
      <c r="AD458" s="1611"/>
      <c r="AE458" s="1611"/>
      <c r="AF458" s="1764"/>
      <c r="AG458" s="1649">
        <v>0</v>
      </c>
      <c r="AH458" s="1649"/>
      <c r="AI458" s="1649"/>
      <c r="AJ458" s="1649"/>
      <c r="BB458" s="3"/>
      <c r="BC458" s="3"/>
    </row>
    <row r="459" spans="4:55" ht="12.95" customHeight="1">
      <c r="D459" s="1714" t="s">
        <v>1287</v>
      </c>
      <c r="E459" s="1715"/>
      <c r="F459" s="1715"/>
      <c r="G459" s="1715"/>
      <c r="H459" s="1715"/>
      <c r="I459" s="1715"/>
      <c r="J459" s="1715"/>
      <c r="K459" s="1715"/>
      <c r="L459" s="1715"/>
      <c r="M459" s="1715"/>
      <c r="N459" s="1715"/>
      <c r="O459" s="1715"/>
      <c r="P459" s="1715"/>
      <c r="Q459" s="1715"/>
      <c r="R459" s="1715"/>
      <c r="S459" s="1715"/>
      <c r="T459" s="1715"/>
      <c r="U459" s="1715"/>
      <c r="V459" s="1715"/>
      <c r="W459" s="1715"/>
      <c r="X459" s="1715"/>
      <c r="Y459" s="1715"/>
      <c r="Z459" s="1715"/>
      <c r="AA459" s="1715"/>
      <c r="AB459" s="1715"/>
      <c r="AC459" s="1715"/>
      <c r="AD459" s="1715"/>
      <c r="AE459" s="1715"/>
      <c r="AF459" s="1716"/>
      <c r="AG459" s="1787">
        <f>AG451+AG455+AG457+AG458</f>
        <v>67401</v>
      </c>
      <c r="AH459" s="1787"/>
      <c r="AI459" s="1787"/>
      <c r="AJ459" s="1787"/>
      <c r="AZ459" s="3"/>
      <c r="BA459" s="3"/>
      <c r="BB459" s="3"/>
      <c r="BC459" s="3"/>
    </row>
    <row r="460" spans="4:55" ht="12.95" customHeight="1">
      <c r="D460" s="1693" t="s">
        <v>1288</v>
      </c>
      <c r="E460" s="1693"/>
      <c r="F460" s="1693"/>
      <c r="G460" s="1693"/>
      <c r="H460" s="1693"/>
      <c r="I460" s="1693"/>
      <c r="J460" s="1693"/>
      <c r="K460" s="1693"/>
      <c r="L460" s="1693"/>
      <c r="M460" s="1693"/>
      <c r="N460" s="1693"/>
      <c r="O460" s="1693"/>
      <c r="P460" s="1693"/>
      <c r="Q460" s="1693"/>
      <c r="R460" s="1693"/>
      <c r="S460" s="1693"/>
      <c r="T460" s="1693"/>
      <c r="U460" s="1693"/>
      <c r="V460" s="1693"/>
      <c r="W460" s="1693"/>
      <c r="X460" s="1693"/>
      <c r="Y460" s="1693"/>
      <c r="Z460" s="1693"/>
      <c r="AA460" s="1693"/>
      <c r="AB460" s="1693"/>
      <c r="AC460" s="1693"/>
      <c r="AD460" s="1693"/>
      <c r="AE460" s="1693"/>
      <c r="AF460" s="1693"/>
      <c r="AG460" s="1693"/>
      <c r="AH460" s="1693"/>
      <c r="AI460" s="1693"/>
      <c r="AJ460" s="1693"/>
      <c r="AZ460" s="3"/>
      <c r="BA460" s="3"/>
      <c r="BB460" s="3"/>
      <c r="BC460" s="3"/>
    </row>
    <row r="461" spans="4:55" ht="12.95" customHeight="1">
      <c r="D461" s="1694"/>
      <c r="E461" s="1694"/>
      <c r="F461" s="1694"/>
      <c r="G461" s="1694"/>
      <c r="H461" s="1694"/>
      <c r="I461" s="1694"/>
      <c r="J461" s="1694"/>
      <c r="K461" s="1694"/>
      <c r="L461" s="1694"/>
      <c r="M461" s="1694"/>
      <c r="N461" s="1694"/>
      <c r="O461" s="1694"/>
      <c r="P461" s="1694"/>
      <c r="Q461" s="1694"/>
      <c r="R461" s="1694"/>
      <c r="S461" s="1694"/>
      <c r="T461" s="1694"/>
      <c r="U461" s="1694"/>
      <c r="V461" s="1694"/>
      <c r="W461" s="1694"/>
      <c r="X461" s="1694"/>
      <c r="Y461" s="1694"/>
      <c r="Z461" s="1694"/>
      <c r="AA461" s="1694"/>
      <c r="AB461" s="1694"/>
      <c r="AC461" s="1694"/>
      <c r="AD461" s="1694"/>
      <c r="AE461" s="1694"/>
      <c r="AF461" s="1694"/>
      <c r="AG461" s="1694"/>
      <c r="AH461" s="1694"/>
      <c r="AI461" s="1694"/>
      <c r="AJ461" s="1694"/>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1289</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701">
        <f>IF(AG446=0,"",'Sources and Uses Budget'!B105/Application!AG446)</f>
        <v>501639.3783783784</v>
      </c>
      <c r="AD463" s="1701"/>
      <c r="AE463" s="1701"/>
      <c r="AF463" s="1701"/>
      <c r="AG463" s="415"/>
      <c r="AH463" s="415"/>
      <c r="AI463" s="415"/>
      <c r="AJ463" s="860"/>
      <c r="AZ463" s="3"/>
      <c r="BA463" s="3" t="str">
        <f>AG583</f>
        <v>Yes</v>
      </c>
      <c r="BB463" s="3"/>
      <c r="BC463" s="3"/>
    </row>
    <row r="464" spans="4:55" ht="12.95" customHeight="1">
      <c r="D464" s="137" t="s">
        <v>1290</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701">
        <f>IF(AG446=0,"",'Sources and Uses Budget'!C105/Application!AG446)</f>
        <v>501639.3783783784</v>
      </c>
      <c r="AD464" s="1701"/>
      <c r="AE464" s="1701"/>
      <c r="AF464" s="1701"/>
      <c r="AG464" s="415"/>
      <c r="AH464" s="415"/>
      <c r="AI464" s="415"/>
      <c r="AJ464" s="860"/>
      <c r="AZ464" s="3"/>
      <c r="BA464" s="3"/>
      <c r="BB464" s="3"/>
      <c r="BC464" s="3"/>
    </row>
    <row r="465" spans="1:55" ht="12.95" customHeight="1">
      <c r="D465" s="137" t="s">
        <v>1291</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701">
        <f>IF(AG446=0,"",('Sources and Uses Budget'!$S$107+'Sources and Uses Budget'!$T$107)/Application!AG446)</f>
        <v>465672.29729729728</v>
      </c>
      <c r="AD465" s="1701"/>
      <c r="AE465" s="1701"/>
      <c r="AF465" s="1701"/>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1292</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1293</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1294</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1295</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1296</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717" t="s">
        <v>1297</v>
      </c>
      <c r="E473" s="1718"/>
      <c r="F473" s="1718"/>
      <c r="G473" s="1718"/>
      <c r="H473" s="1718"/>
      <c r="I473" s="1718"/>
      <c r="J473" s="1718"/>
      <c r="K473" s="1718"/>
      <c r="L473" s="1718"/>
      <c r="M473" s="1718"/>
      <c r="N473" s="1718"/>
      <c r="O473" s="1718"/>
      <c r="P473" s="1718"/>
      <c r="Q473" s="1718"/>
      <c r="R473" s="1718"/>
      <c r="S473" s="1718"/>
      <c r="T473" s="1718"/>
      <c r="U473" s="1718"/>
      <c r="V473" s="1719"/>
      <c r="W473" s="1477">
        <v>0</v>
      </c>
      <c r="X473" s="1478"/>
      <c r="Y473" s="1479"/>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717" t="s">
        <v>1298</v>
      </c>
      <c r="E474" s="1718"/>
      <c r="F474" s="1718"/>
      <c r="G474" s="1718"/>
      <c r="H474" s="1718"/>
      <c r="I474" s="1718"/>
      <c r="J474" s="1718"/>
      <c r="K474" s="1718"/>
      <c r="L474" s="1718"/>
      <c r="M474" s="1718"/>
      <c r="N474" s="1718"/>
      <c r="O474" s="1718"/>
      <c r="P474" s="1718"/>
      <c r="Q474" s="1718"/>
      <c r="R474" s="1718"/>
      <c r="S474" s="1718"/>
      <c r="T474" s="1718"/>
      <c r="U474" s="1718"/>
      <c r="V474" s="1719"/>
      <c r="W474" s="1477">
        <v>0</v>
      </c>
      <c r="X474" s="1478"/>
      <c r="Y474" s="1479"/>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717" t="s">
        <v>1299</v>
      </c>
      <c r="E475" s="1718"/>
      <c r="F475" s="1718"/>
      <c r="G475" s="1718"/>
      <c r="H475" s="1718"/>
      <c r="I475" s="1718"/>
      <c r="J475" s="1718"/>
      <c r="K475" s="1718"/>
      <c r="L475" s="1718"/>
      <c r="M475" s="1718"/>
      <c r="N475" s="1718"/>
      <c r="O475" s="1718"/>
      <c r="P475" s="1718"/>
      <c r="Q475" s="1718"/>
      <c r="R475" s="1718"/>
      <c r="S475" s="1718"/>
      <c r="T475" s="1718"/>
      <c r="U475" s="1718"/>
      <c r="V475" s="1719"/>
      <c r="W475" s="1477">
        <v>0</v>
      </c>
      <c r="X475" s="1478"/>
      <c r="Y475" s="1479"/>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717" t="s">
        <v>1300</v>
      </c>
      <c r="E476" s="1718"/>
      <c r="F476" s="1718"/>
      <c r="G476" s="1718"/>
      <c r="H476" s="1718"/>
      <c r="I476" s="1718"/>
      <c r="J476" s="1718"/>
      <c r="K476" s="1718"/>
      <c r="L476" s="1718"/>
      <c r="M476" s="1718"/>
      <c r="N476" s="1718"/>
      <c r="O476" s="1718"/>
      <c r="P476" s="1718"/>
      <c r="Q476" s="1718"/>
      <c r="R476" s="1718"/>
      <c r="S476" s="1718"/>
      <c r="T476" s="1718"/>
      <c r="U476" s="1718"/>
      <c r="V476" s="1719"/>
      <c r="W476" s="1477">
        <v>0</v>
      </c>
      <c r="X476" s="1478"/>
      <c r="Y476" s="1479"/>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717" t="s">
        <v>1301</v>
      </c>
      <c r="E477" s="1718"/>
      <c r="F477" s="1718"/>
      <c r="G477" s="1718"/>
      <c r="H477" s="1718"/>
      <c r="I477" s="1718"/>
      <c r="J477" s="1718"/>
      <c r="K477" s="1718"/>
      <c r="L477" s="1718"/>
      <c r="M477" s="1718"/>
      <c r="N477" s="1718"/>
      <c r="O477" s="1718"/>
      <c r="P477" s="1718"/>
      <c r="Q477" s="1718"/>
      <c r="R477" s="1718"/>
      <c r="S477" s="1718"/>
      <c r="T477" s="1718"/>
      <c r="U477" s="1718"/>
      <c r="V477" s="1719"/>
      <c r="W477" s="1477">
        <v>0</v>
      </c>
      <c r="X477" s="1478"/>
      <c r="Y477" s="1479"/>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717" t="s">
        <v>1302</v>
      </c>
      <c r="E478" s="1718"/>
      <c r="F478" s="1718"/>
      <c r="G478" s="1718"/>
      <c r="H478" s="1718"/>
      <c r="I478" s="1718"/>
      <c r="J478" s="1718"/>
      <c r="K478" s="1718"/>
      <c r="L478" s="1718"/>
      <c r="M478" s="1718"/>
      <c r="N478" s="1718"/>
      <c r="O478" s="1718"/>
      <c r="P478" s="1718"/>
      <c r="Q478" s="1718"/>
      <c r="R478" s="1718"/>
      <c r="S478" s="1718"/>
      <c r="T478" s="1718"/>
      <c r="U478" s="1718"/>
      <c r="V478" s="1719"/>
      <c r="W478" s="1477">
        <v>0</v>
      </c>
      <c r="X478" s="1478"/>
      <c r="Y478" s="1479"/>
      <c r="Z478" s="127"/>
      <c r="AA478" s="127"/>
      <c r="AB478" s="127"/>
      <c r="AC478" s="127"/>
      <c r="AD478" s="415"/>
      <c r="AE478" s="415"/>
      <c r="AF478" s="415"/>
      <c r="AG478" s="415"/>
      <c r="AH478" s="415"/>
      <c r="AI478" s="415"/>
      <c r="AJ478" s="860"/>
      <c r="AZ478" s="3"/>
      <c r="BA478" s="3" t="str">
        <f>AG599</f>
        <v>No</v>
      </c>
      <c r="BB478" s="3"/>
      <c r="BC478" s="3"/>
    </row>
    <row r="479" spans="1:55" ht="12.95" customHeight="1">
      <c r="A479" s="3"/>
      <c r="B479" s="3"/>
      <c r="C479" s="3"/>
      <c r="D479" s="1717" t="s">
        <v>1303</v>
      </c>
      <c r="E479" s="1718"/>
      <c r="F479" s="1718"/>
      <c r="G479" s="1718"/>
      <c r="H479" s="1718"/>
      <c r="I479" s="1718"/>
      <c r="J479" s="1718"/>
      <c r="K479" s="1718"/>
      <c r="L479" s="1718"/>
      <c r="M479" s="1718"/>
      <c r="N479" s="1718"/>
      <c r="O479" s="1718"/>
      <c r="P479" s="1718"/>
      <c r="Q479" s="1718"/>
      <c r="R479" s="1718"/>
      <c r="S479" s="1718"/>
      <c r="T479" s="1718"/>
      <c r="U479" s="1718"/>
      <c r="V479" s="1719"/>
      <c r="W479" s="1477">
        <v>0</v>
      </c>
      <c r="X479" s="1478"/>
      <c r="Y479" s="1479"/>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717" t="s">
        <v>1304</v>
      </c>
      <c r="E480" s="1718"/>
      <c r="F480" s="1718"/>
      <c r="G480" s="1718"/>
      <c r="H480" s="1718"/>
      <c r="I480" s="1718"/>
      <c r="J480" s="1718"/>
      <c r="K480" s="1718"/>
      <c r="L480" s="1718"/>
      <c r="M480" s="1718"/>
      <c r="N480" s="1718"/>
      <c r="O480" s="1718"/>
      <c r="P480" s="1718"/>
      <c r="Q480" s="1718"/>
      <c r="R480" s="1718"/>
      <c r="S480" s="1718"/>
      <c r="T480" s="1718"/>
      <c r="U480" s="1718"/>
      <c r="V480" s="1719"/>
      <c r="W480" s="1477">
        <v>0</v>
      </c>
      <c r="X480" s="1478"/>
      <c r="Y480" s="1479"/>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717" t="s">
        <v>1305</v>
      </c>
      <c r="E481" s="1718"/>
      <c r="F481" s="1718"/>
      <c r="G481" s="1718"/>
      <c r="H481" s="1718"/>
      <c r="I481" s="1718"/>
      <c r="J481" s="1718"/>
      <c r="K481" s="1718"/>
      <c r="L481" s="1718"/>
      <c r="M481" s="1718"/>
      <c r="N481" s="1718"/>
      <c r="O481" s="1718"/>
      <c r="P481" s="1718"/>
      <c r="Q481" s="1718"/>
      <c r="R481" s="1718"/>
      <c r="S481" s="1718"/>
      <c r="T481" s="1718"/>
      <c r="U481" s="1718"/>
      <c r="V481" s="1719"/>
      <c r="W481" s="1477">
        <v>0</v>
      </c>
      <c r="X481" s="1478"/>
      <c r="Y481" s="1479"/>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635"/>
      <c r="H482" s="1636"/>
      <c r="I482" s="1636"/>
      <c r="J482" s="1636"/>
      <c r="K482" s="1636"/>
      <c r="L482" s="1636"/>
      <c r="M482" s="1636"/>
      <c r="N482" s="1636"/>
      <c r="O482" s="1636"/>
      <c r="P482" s="1636"/>
      <c r="Q482" s="1636"/>
      <c r="R482" s="1636"/>
      <c r="S482" s="1636"/>
      <c r="T482" s="1636"/>
      <c r="U482" s="1636"/>
      <c r="V482" s="1637"/>
      <c r="W482" s="1477">
        <v>0</v>
      </c>
      <c r="X482" s="1478"/>
      <c r="Y482" s="1479"/>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1306</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2.95" customHeight="1">
      <c r="AU487" s="70"/>
      <c r="AV487" s="70"/>
      <c r="AW487" s="70"/>
      <c r="AX487" s="70"/>
      <c r="AY487" s="70"/>
      <c r="AZ487" s="3"/>
      <c r="BA487" s="3" t="str">
        <f>AG607</f>
        <v>No</v>
      </c>
      <c r="BB487" s="3"/>
      <c r="BC487" s="3"/>
    </row>
    <row r="488" spans="1:55" ht="12.95" customHeight="1">
      <c r="A488" s="1328" t="s">
        <v>1307</v>
      </c>
      <c r="B488" s="1328"/>
      <c r="C488" s="1328"/>
      <c r="D488" s="1328"/>
      <c r="E488" s="1328"/>
      <c r="F488" s="1328"/>
      <c r="G488" s="1328"/>
      <c r="H488" s="1328"/>
      <c r="I488" s="1328"/>
      <c r="J488" s="1328"/>
      <c r="K488" s="1328"/>
      <c r="L488" s="1328"/>
      <c r="M488" s="1328"/>
      <c r="N488" s="1328"/>
      <c r="O488" s="1328"/>
      <c r="P488" s="1328"/>
      <c r="Q488" s="1328"/>
      <c r="R488" s="1328"/>
      <c r="S488" s="1328"/>
      <c r="T488" s="1328"/>
      <c r="U488" s="1328"/>
      <c r="V488" s="1328"/>
      <c r="W488" s="1328"/>
      <c r="X488" s="1328"/>
      <c r="Y488" s="1328"/>
      <c r="Z488" s="1328"/>
      <c r="AA488" s="1328"/>
      <c r="AB488" s="1328"/>
      <c r="AC488" s="1328"/>
      <c r="AD488" s="1328"/>
      <c r="AE488" s="1328"/>
      <c r="AF488" s="1328"/>
      <c r="AG488" s="1328"/>
      <c r="AH488" s="1328"/>
      <c r="AI488" s="1328"/>
      <c r="AJ488" s="1328"/>
      <c r="AK488" s="1328"/>
      <c r="AL488" s="1328"/>
      <c r="AM488" s="1328"/>
      <c r="AN488" s="1328"/>
      <c r="AO488" s="1328"/>
      <c r="AP488" s="1328"/>
      <c r="AQ488" s="1328"/>
      <c r="AR488" s="1328"/>
      <c r="AS488" s="1328"/>
      <c r="AT488" s="1328"/>
      <c r="AU488" s="70"/>
      <c r="AV488" s="70"/>
      <c r="AW488" s="70"/>
      <c r="AX488" s="70"/>
      <c r="AY488" s="70"/>
      <c r="AZ488" s="3"/>
      <c r="BB488" s="3"/>
      <c r="BC488" s="3"/>
    </row>
    <row r="489" spans="1:55" ht="12.95" customHeight="1">
      <c r="A489" s="1328"/>
      <c r="B489" s="1328"/>
      <c r="C489" s="1328"/>
      <c r="D489" s="1328"/>
      <c r="E489" s="1328"/>
      <c r="F489" s="1328"/>
      <c r="G489" s="1328"/>
      <c r="H489" s="1328"/>
      <c r="I489" s="1328"/>
      <c r="J489" s="1328"/>
      <c r="K489" s="1328"/>
      <c r="L489" s="1328"/>
      <c r="M489" s="1328"/>
      <c r="N489" s="1328"/>
      <c r="O489" s="1328"/>
      <c r="P489" s="1328"/>
      <c r="Q489" s="1328"/>
      <c r="R489" s="1328"/>
      <c r="S489" s="1328"/>
      <c r="T489" s="1328"/>
      <c r="U489" s="1328"/>
      <c r="V489" s="1328"/>
      <c r="W489" s="1328"/>
      <c r="X489" s="1328"/>
      <c r="Y489" s="1328"/>
      <c r="Z489" s="1328"/>
      <c r="AA489" s="1328"/>
      <c r="AB489" s="1328"/>
      <c r="AC489" s="1328"/>
      <c r="AD489" s="1328"/>
      <c r="AE489" s="1328"/>
      <c r="AF489" s="1328"/>
      <c r="AG489" s="1328"/>
      <c r="AH489" s="1328"/>
      <c r="AI489" s="1328"/>
      <c r="AJ489" s="1328"/>
      <c r="AK489" s="1328"/>
      <c r="AL489" s="1328"/>
      <c r="AM489" s="1328"/>
      <c r="AN489" s="1328"/>
      <c r="AO489" s="1328"/>
      <c r="AP489" s="1328"/>
      <c r="AQ489" s="1328"/>
      <c r="AR489" s="1328"/>
      <c r="AS489" s="1328"/>
      <c r="AT489" s="1328"/>
      <c r="AZ489" s="3"/>
      <c r="BB489" s="3"/>
      <c r="BC489" s="3"/>
    </row>
    <row r="490" spans="1:55" ht="12.95" customHeight="1">
      <c r="AZ490" s="3"/>
      <c r="BB490" s="3"/>
      <c r="BC490" s="3"/>
    </row>
    <row r="491" spans="1:55" ht="12.95" customHeight="1">
      <c r="A491" s="2" t="s">
        <v>885</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711" t="s">
        <v>1308</v>
      </c>
      <c r="R493" s="1712"/>
      <c r="S493" s="1712"/>
      <c r="T493" s="1712"/>
      <c r="U493" s="1712"/>
      <c r="V493" s="1712"/>
      <c r="W493" s="1712"/>
      <c r="X493" s="1712"/>
      <c r="Y493" s="1712"/>
      <c r="Z493" s="1712"/>
      <c r="AA493" s="1712"/>
      <c r="AB493" s="1712"/>
      <c r="AC493" s="1712"/>
      <c r="AD493" s="1712"/>
      <c r="AE493" s="1712"/>
      <c r="AF493" s="1712"/>
      <c r="AG493" s="1712"/>
      <c r="AH493" s="1712"/>
      <c r="AI493" s="1712"/>
      <c r="AJ493" s="1712"/>
      <c r="AK493" s="1713"/>
      <c r="AZ493" s="3"/>
      <c r="BB493" s="3"/>
      <c r="BC493" s="3"/>
    </row>
    <row r="494" spans="1:55" ht="12.95" customHeight="1">
      <c r="B494" s="37" t="s">
        <v>1309</v>
      </c>
      <c r="C494" s="5"/>
      <c r="D494" s="5"/>
      <c r="E494" s="5"/>
      <c r="F494" s="5"/>
      <c r="G494" s="5"/>
      <c r="H494" s="5"/>
      <c r="I494" s="5"/>
      <c r="J494" s="5"/>
      <c r="K494" s="5"/>
      <c r="L494" s="5"/>
      <c r="M494" s="5"/>
      <c r="N494" s="5"/>
      <c r="O494" s="5"/>
      <c r="P494" s="5"/>
      <c r="Q494" s="1517" t="s">
        <v>1310</v>
      </c>
      <c r="R494" s="1439"/>
      <c r="S494" s="1439"/>
      <c r="T494" s="1439"/>
      <c r="U494" s="1439"/>
      <c r="V494" s="1439"/>
      <c r="W494" s="1439"/>
      <c r="X494" s="1439"/>
      <c r="Y494" s="1439"/>
      <c r="Z494" s="1439"/>
      <c r="AA494" s="1439"/>
      <c r="AB494" s="1439"/>
      <c r="AC494" s="1439"/>
      <c r="AD494" s="1439"/>
      <c r="AE494" s="1439"/>
      <c r="AF494" s="1439"/>
      <c r="AG494" s="1439"/>
      <c r="AH494" s="1439"/>
      <c r="AI494" s="1439"/>
      <c r="AJ494" s="1439"/>
      <c r="AK494" s="1518"/>
      <c r="AZ494" s="3"/>
      <c r="BB494" s="3"/>
      <c r="BC494" s="3"/>
    </row>
    <row r="495" spans="1:55" ht="12.95" customHeight="1">
      <c r="B495" s="37" t="s">
        <v>1311</v>
      </c>
      <c r="C495" s="5"/>
      <c r="D495" s="5"/>
      <c r="E495" s="5"/>
      <c r="F495" s="5"/>
      <c r="G495" s="5"/>
      <c r="H495" s="5"/>
      <c r="I495" s="5"/>
      <c r="J495" s="5"/>
      <c r="K495" s="5"/>
      <c r="L495" s="5"/>
      <c r="M495" s="5"/>
      <c r="N495" s="5"/>
      <c r="O495" s="5"/>
      <c r="P495" s="5"/>
      <c r="Q495" s="1517" t="s">
        <v>1312</v>
      </c>
      <c r="R495" s="1439"/>
      <c r="S495" s="1439"/>
      <c r="T495" s="1439"/>
      <c r="U495" s="1439"/>
      <c r="V495" s="1439"/>
      <c r="W495" s="1439"/>
      <c r="X495" s="1439"/>
      <c r="Y495" s="1439"/>
      <c r="Z495" s="1439"/>
      <c r="AA495" s="1439"/>
      <c r="AB495" s="1439"/>
      <c r="AC495" s="1439"/>
      <c r="AD495" s="1439"/>
      <c r="AE495" s="1439"/>
      <c r="AF495" s="1439"/>
      <c r="AG495" s="1439"/>
      <c r="AH495" s="1439"/>
      <c r="AI495" s="1439"/>
      <c r="AJ495" s="1439"/>
      <c r="AK495" s="1518"/>
      <c r="AZ495" s="3"/>
      <c r="BB495" s="3"/>
      <c r="BC495" s="3"/>
    </row>
    <row r="496" spans="1:55" ht="12.95" customHeight="1">
      <c r="B496" s="37" t="s">
        <v>1313</v>
      </c>
      <c r="C496" s="5"/>
      <c r="D496" s="5"/>
      <c r="E496" s="5"/>
      <c r="F496" s="5"/>
      <c r="G496" s="5"/>
      <c r="H496" s="5"/>
      <c r="I496" s="5"/>
      <c r="J496" s="5"/>
      <c r="K496" s="5"/>
      <c r="L496" s="5"/>
      <c r="M496" s="5"/>
      <c r="N496" s="5"/>
      <c r="O496" s="5"/>
      <c r="P496" s="5"/>
      <c r="Q496" s="1517" t="s">
        <v>1312</v>
      </c>
      <c r="R496" s="1439"/>
      <c r="S496" s="1439"/>
      <c r="T496" s="1439"/>
      <c r="U496" s="1439"/>
      <c r="V496" s="1439"/>
      <c r="W496" s="1439"/>
      <c r="X496" s="1439"/>
      <c r="Y496" s="1439"/>
      <c r="Z496" s="1439"/>
      <c r="AA496" s="1439"/>
      <c r="AB496" s="1439"/>
      <c r="AC496" s="1439"/>
      <c r="AD496" s="1439"/>
      <c r="AE496" s="1439"/>
      <c r="AF496" s="1439"/>
      <c r="AG496" s="1439"/>
      <c r="AH496" s="1439"/>
      <c r="AI496" s="1439"/>
      <c r="AJ496" s="1439"/>
      <c r="AK496" s="1518"/>
      <c r="AZ496" s="3"/>
      <c r="BA496" s="3"/>
      <c r="BB496" s="3"/>
      <c r="BC496" s="3"/>
    </row>
    <row r="497" spans="1:66" ht="12.95" customHeight="1">
      <c r="B497" s="1773" t="s">
        <v>1314</v>
      </c>
      <c r="C497" s="1774"/>
      <c r="D497" s="1774"/>
      <c r="E497" s="1774"/>
      <c r="F497" s="1774"/>
      <c r="G497" s="1774"/>
      <c r="H497" s="1774"/>
      <c r="I497" s="1774"/>
      <c r="J497" s="1774"/>
      <c r="K497" s="1774"/>
      <c r="L497" s="1774"/>
      <c r="M497" s="1774"/>
      <c r="N497" s="1774"/>
      <c r="O497" s="1774"/>
      <c r="P497" s="1775"/>
      <c r="Q497" s="1779" t="s">
        <v>700</v>
      </c>
      <c r="R497" s="1780"/>
      <c r="S497" s="1695" t="s">
        <v>1315</v>
      </c>
      <c r="T497" s="1696"/>
      <c r="U497" s="1696"/>
      <c r="V497" s="1696"/>
      <c r="W497" s="1696"/>
      <c r="X497" s="1696"/>
      <c r="Y497" s="1696"/>
      <c r="Z497" s="1696"/>
      <c r="AA497" s="1696"/>
      <c r="AB497" s="1696"/>
      <c r="AC497" s="1696"/>
      <c r="AD497" s="1696"/>
      <c r="AE497" s="1696"/>
      <c r="AF497" s="1696"/>
      <c r="AG497" s="1696"/>
      <c r="AH497" s="1696"/>
      <c r="AI497" s="1696"/>
      <c r="AJ497" s="1696"/>
      <c r="AK497" s="1697"/>
      <c r="AZ497" s="3"/>
      <c r="BA497" s="3"/>
      <c r="BB497" s="3"/>
      <c r="BC497" s="3"/>
    </row>
    <row r="498" spans="1:66" ht="12.95" customHeight="1">
      <c r="B498" s="1776"/>
      <c r="C498" s="1777"/>
      <c r="D498" s="1777"/>
      <c r="E498" s="1777"/>
      <c r="F498" s="1777"/>
      <c r="G498" s="1777"/>
      <c r="H498" s="1777"/>
      <c r="I498" s="1777"/>
      <c r="J498" s="1777"/>
      <c r="K498" s="1777"/>
      <c r="L498" s="1777"/>
      <c r="M498" s="1777"/>
      <c r="N498" s="1777"/>
      <c r="O498" s="1777"/>
      <c r="P498" s="1778"/>
      <c r="Q498" s="1781"/>
      <c r="R498" s="1782"/>
      <c r="S498" s="1698"/>
      <c r="T498" s="1699"/>
      <c r="U498" s="1699"/>
      <c r="V498" s="1699"/>
      <c r="W498" s="1699"/>
      <c r="X498" s="1699"/>
      <c r="Y498" s="1699"/>
      <c r="Z498" s="1699"/>
      <c r="AA498" s="1699"/>
      <c r="AB498" s="1699"/>
      <c r="AC498" s="1699"/>
      <c r="AD498" s="1699"/>
      <c r="AE498" s="1699"/>
      <c r="AF498" s="1699"/>
      <c r="AG498" s="1699"/>
      <c r="AH498" s="1699"/>
      <c r="AI498" s="1699"/>
      <c r="AJ498" s="1699"/>
      <c r="AK498" s="1700"/>
      <c r="AZ498" s="3"/>
      <c r="BA498" s="3"/>
      <c r="BB498" s="3"/>
      <c r="BC498" s="3"/>
    </row>
    <row r="499" spans="1:66" ht="12.95" customHeight="1">
      <c r="B499" s="787" t="s">
        <v>1316</v>
      </c>
      <c r="C499" s="768"/>
      <c r="D499" s="768"/>
      <c r="E499" s="768"/>
      <c r="F499" s="768"/>
      <c r="G499" s="768"/>
      <c r="H499" s="768"/>
      <c r="I499" s="768"/>
      <c r="J499" s="768"/>
      <c r="K499" s="768"/>
      <c r="L499" s="768"/>
      <c r="M499" s="768"/>
      <c r="N499" s="768"/>
      <c r="O499" s="768"/>
      <c r="P499" s="768"/>
      <c r="Q499" s="1784" t="s">
        <v>700</v>
      </c>
      <c r="R499" s="1785"/>
      <c r="S499" s="1785"/>
      <c r="T499" s="1785"/>
      <c r="U499" s="1785"/>
      <c r="V499" s="1785"/>
      <c r="W499" s="1785"/>
      <c r="X499" s="1785"/>
      <c r="Y499" s="1785"/>
      <c r="Z499" s="1785"/>
      <c r="AA499" s="1785"/>
      <c r="AB499" s="1785"/>
      <c r="AC499" s="1785"/>
      <c r="AD499" s="1785"/>
      <c r="AE499" s="1785"/>
      <c r="AF499" s="1785"/>
      <c r="AG499" s="1785"/>
      <c r="AH499" s="1785"/>
      <c r="AI499" s="1785"/>
      <c r="AJ499" s="1785"/>
      <c r="AK499" s="1786"/>
      <c r="AZ499" s="3"/>
      <c r="BA499" s="3"/>
      <c r="BB499" s="3"/>
      <c r="BC499" s="3"/>
    </row>
    <row r="500" spans="1:66" ht="12.95" customHeight="1">
      <c r="B500" s="37" t="s">
        <v>1317</v>
      </c>
      <c r="C500" s="5"/>
      <c r="D500" s="5"/>
      <c r="E500" s="5"/>
      <c r="F500" s="5"/>
      <c r="G500" s="5"/>
      <c r="H500" s="5"/>
      <c r="I500" s="5"/>
      <c r="J500" s="5"/>
      <c r="K500" s="5"/>
      <c r="L500" s="5"/>
      <c r="M500" s="5"/>
      <c r="N500" s="5"/>
      <c r="O500" s="5"/>
      <c r="P500" s="5"/>
      <c r="Q500" s="1517" t="s">
        <v>826</v>
      </c>
      <c r="R500" s="1439"/>
      <c r="S500" s="1439"/>
      <c r="T500" s="1439"/>
      <c r="U500" s="1439"/>
      <c r="V500" s="1439"/>
      <c r="W500" s="1439"/>
      <c r="X500" s="1439"/>
      <c r="Y500" s="1439"/>
      <c r="Z500" s="1439"/>
      <c r="AA500" s="1439"/>
      <c r="AB500" s="1439"/>
      <c r="AC500" s="1439"/>
      <c r="AD500" s="1439"/>
      <c r="AE500" s="1439"/>
      <c r="AF500" s="1439"/>
      <c r="AG500" s="1439"/>
      <c r="AH500" s="1439"/>
      <c r="AI500" s="1439"/>
      <c r="AJ500" s="1439"/>
      <c r="AK500" s="1518"/>
      <c r="AZ500" s="3"/>
      <c r="BA500" s="3"/>
      <c r="BB500" s="3"/>
      <c r="BC500" s="3"/>
    </row>
    <row r="501" spans="1:66" ht="12.95" customHeight="1">
      <c r="B501" s="37" t="s">
        <v>1318</v>
      </c>
      <c r="C501" s="5"/>
      <c r="D501" s="5"/>
      <c r="E501" s="5"/>
      <c r="F501" s="5"/>
      <c r="G501" s="5"/>
      <c r="H501" s="5"/>
      <c r="I501" s="5"/>
      <c r="J501" s="5"/>
      <c r="K501" s="5"/>
      <c r="L501" s="5"/>
      <c r="M501" s="5"/>
      <c r="N501" s="5"/>
      <c r="O501" s="5"/>
      <c r="P501" s="5"/>
      <c r="Q501" s="1517">
        <v>0.25</v>
      </c>
      <c r="R501" s="1439"/>
      <c r="S501" s="1439"/>
      <c r="T501" s="1439"/>
      <c r="U501" s="1439"/>
      <c r="V501" s="1439"/>
      <c r="W501" s="1439"/>
      <c r="X501" s="1439"/>
      <c r="Y501" s="1439"/>
      <c r="Z501" s="1439"/>
      <c r="AA501" s="1439"/>
      <c r="AB501" s="1439"/>
      <c r="AC501" s="1439"/>
      <c r="AD501" s="1439"/>
      <c r="AE501" s="1439"/>
      <c r="AF501" s="1439"/>
      <c r="AG501" s="1439"/>
      <c r="AH501" s="1439"/>
      <c r="AI501" s="1439"/>
      <c r="AJ501" s="1439"/>
      <c r="AK501" s="1518"/>
      <c r="AZ501" s="3"/>
      <c r="BA501" s="3"/>
      <c r="BB501" s="3"/>
      <c r="BC501" s="3"/>
    </row>
    <row r="502" spans="1:66" ht="12.95" customHeight="1">
      <c r="B502" s="87" t="s">
        <v>1319</v>
      </c>
      <c r="C502" s="5"/>
      <c r="D502" s="5"/>
      <c r="E502" s="5"/>
      <c r="F502" s="5"/>
      <c r="G502" s="5"/>
      <c r="H502" s="5"/>
      <c r="I502" s="5"/>
      <c r="J502" s="5"/>
      <c r="K502" s="5"/>
      <c r="L502" s="5"/>
      <c r="M502" s="5"/>
      <c r="N502" s="5"/>
      <c r="O502" s="5"/>
      <c r="P502" s="5"/>
      <c r="Q502" s="1517">
        <v>59</v>
      </c>
      <c r="R502" s="1439"/>
      <c r="S502" s="1439"/>
      <c r="T502" s="1439"/>
      <c r="U502" s="1439"/>
      <c r="V502" s="1439"/>
      <c r="W502" s="1439"/>
      <c r="X502" s="1439"/>
      <c r="Y502" s="1439"/>
      <c r="Z502" s="1439"/>
      <c r="AA502" s="1439"/>
      <c r="AB502" s="1439"/>
      <c r="AC502" s="1439"/>
      <c r="AD502" s="1439"/>
      <c r="AE502" s="1439"/>
      <c r="AF502" s="1439"/>
      <c r="AG502" s="1439"/>
      <c r="AH502" s="1439"/>
      <c r="AI502" s="1439"/>
      <c r="AJ502" s="1439"/>
      <c r="AK502" s="1518"/>
      <c r="AZ502" s="3"/>
      <c r="BA502" s="3"/>
      <c r="BB502" s="3"/>
      <c r="BC502" s="3"/>
    </row>
    <row r="503" spans="1:66" ht="12.95" customHeight="1">
      <c r="B503" s="87" t="s">
        <v>1320</v>
      </c>
      <c r="C503" s="5"/>
      <c r="D503" s="5"/>
      <c r="E503" s="5"/>
      <c r="F503" s="5"/>
      <c r="G503" s="5"/>
      <c r="H503" s="5"/>
      <c r="I503" s="5"/>
      <c r="J503" s="5"/>
      <c r="K503" s="5"/>
      <c r="L503" s="5"/>
      <c r="M503" s="1483">
        <v>24</v>
      </c>
      <c r="N503" s="1484"/>
      <c r="O503" s="1484"/>
      <c r="P503" s="1485"/>
      <c r="Q503" s="87" t="s">
        <v>1321</v>
      </c>
      <c r="R503" s="5"/>
      <c r="S503" s="5"/>
      <c r="T503" s="5"/>
      <c r="U503" s="5"/>
      <c r="V503" s="5"/>
      <c r="W503" s="5"/>
      <c r="X503" s="5"/>
      <c r="Y503" s="5"/>
      <c r="Z503" s="5"/>
      <c r="AA503" s="5"/>
      <c r="AB503" s="5"/>
      <c r="AC503" s="5"/>
      <c r="AD503" s="5"/>
      <c r="AE503" s="5"/>
      <c r="AF503" s="5"/>
      <c r="AG503" s="5"/>
      <c r="AH503" s="1483">
        <v>35</v>
      </c>
      <c r="AI503" s="1484"/>
      <c r="AJ503" s="1484"/>
      <c r="AK503" s="1485"/>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927</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711" t="s">
        <v>1322</v>
      </c>
      <c r="AD507" s="1712"/>
      <c r="AE507" s="1712"/>
      <c r="AF507" s="1712"/>
      <c r="AG507" s="1712"/>
      <c r="AH507" s="1712"/>
      <c r="AI507" s="1712"/>
      <c r="AJ507" s="1712"/>
      <c r="AK507" s="1713"/>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711" t="s">
        <v>1323</v>
      </c>
      <c r="AD508" s="1712"/>
      <c r="AE508" s="1712"/>
      <c r="AF508" s="1712"/>
      <c r="AG508" s="42" t="s">
        <v>1324</v>
      </c>
      <c r="AH508" s="1712" t="s">
        <v>1325</v>
      </c>
      <c r="AI508" s="1712"/>
      <c r="AJ508" s="1712"/>
      <c r="AK508" s="1713"/>
      <c r="AZ508" s="3"/>
      <c r="BA508" s="3"/>
      <c r="BB508" s="3"/>
      <c r="BC508" s="3"/>
      <c r="BD508" s="3"/>
      <c r="BE508" s="3"/>
      <c r="BF508" s="3"/>
      <c r="BG508" s="3"/>
      <c r="BH508" s="3"/>
      <c r="BI508" s="3"/>
      <c r="BJ508" s="3"/>
      <c r="BK508" s="3"/>
      <c r="BL508" s="3"/>
      <c r="BM508" s="3"/>
      <c r="BN508" s="3"/>
    </row>
    <row r="509" spans="1:66" ht="12.95" customHeight="1">
      <c r="B509" s="1622" t="s">
        <v>1326</v>
      </c>
      <c r="C509" s="1465"/>
      <c r="D509" s="1465"/>
      <c r="E509" s="1465"/>
      <c r="F509" s="1465"/>
      <c r="G509" s="1465"/>
      <c r="H509" s="1466"/>
      <c r="I509" s="34" t="s">
        <v>1327</v>
      </c>
      <c r="J509" s="34"/>
      <c r="K509" s="34"/>
      <c r="L509" s="34"/>
      <c r="M509" s="34"/>
      <c r="N509" s="34"/>
      <c r="O509" s="34"/>
      <c r="P509" s="34"/>
      <c r="Q509" s="34"/>
      <c r="R509" s="34"/>
      <c r="S509" s="34"/>
      <c r="T509" s="34"/>
      <c r="U509" s="34"/>
      <c r="V509" s="34"/>
      <c r="W509" s="34"/>
      <c r="AC509" s="1443">
        <v>10</v>
      </c>
      <c r="AD509" s="1444"/>
      <c r="AE509" s="1444"/>
      <c r="AF509" s="1444"/>
      <c r="AG509" s="12" t="s">
        <v>1324</v>
      </c>
      <c r="AH509" s="1492">
        <v>2009</v>
      </c>
      <c r="AI509" s="1492"/>
      <c r="AJ509" s="1492"/>
      <c r="AK509" s="1493"/>
      <c r="AZ509" s="3"/>
      <c r="BA509" s="3"/>
      <c r="BB509" s="3"/>
      <c r="BC509" s="3"/>
      <c r="BD509" s="3"/>
      <c r="BE509" s="3"/>
      <c r="BF509" s="3"/>
      <c r="BG509" s="3"/>
      <c r="BH509" s="3"/>
      <c r="BI509" s="3"/>
      <c r="BJ509" s="3"/>
      <c r="BK509" s="3"/>
      <c r="BL509" s="3"/>
      <c r="BM509" s="3"/>
      <c r="BN509" s="3"/>
    </row>
    <row r="510" spans="1:66" ht="12.95" customHeight="1">
      <c r="B510" s="1623"/>
      <c r="C510" s="1467"/>
      <c r="D510" s="1467"/>
      <c r="E510" s="1467"/>
      <c r="F510" s="1467"/>
      <c r="G510" s="1467"/>
      <c r="H510" s="1468"/>
      <c r="I510" s="40" t="s">
        <v>1328</v>
      </c>
      <c r="J510" s="40"/>
      <c r="K510" s="40"/>
      <c r="L510" s="40"/>
      <c r="M510" s="40"/>
      <c r="N510" s="40"/>
      <c r="O510" s="40"/>
      <c r="P510" s="40"/>
      <c r="Q510" s="40"/>
      <c r="R510" s="40"/>
      <c r="S510" s="40"/>
      <c r="T510" s="40"/>
      <c r="U510" s="40"/>
      <c r="V510" s="40"/>
      <c r="W510" s="40"/>
      <c r="X510" s="40"/>
      <c r="Y510" s="40"/>
      <c r="Z510" s="40"/>
      <c r="AA510" s="40"/>
      <c r="AB510" s="40"/>
      <c r="AC510" s="1443">
        <v>2</v>
      </c>
      <c r="AD510" s="1444"/>
      <c r="AE510" s="1444"/>
      <c r="AF510" s="1444"/>
      <c r="AG510" s="30" t="s">
        <v>1324</v>
      </c>
      <c r="AH510" s="1492">
        <v>2010</v>
      </c>
      <c r="AI510" s="1492"/>
      <c r="AJ510" s="1492"/>
      <c r="AK510" s="1493"/>
      <c r="AZ510" s="3"/>
      <c r="BA510" s="3"/>
      <c r="BB510" s="3"/>
      <c r="BC510" s="3"/>
      <c r="BD510" s="3"/>
      <c r="BE510" s="3"/>
      <c r="BF510" s="3"/>
      <c r="BG510" s="3"/>
      <c r="BH510" s="3"/>
      <c r="BI510" s="3"/>
      <c r="BJ510" s="3"/>
      <c r="BK510" s="3"/>
      <c r="BL510" s="3"/>
      <c r="BM510" s="3"/>
      <c r="BN510" s="3"/>
    </row>
    <row r="511" spans="1:66" ht="12.95" customHeight="1">
      <c r="B511" s="1622" t="s">
        <v>1329</v>
      </c>
      <c r="C511" s="1465"/>
      <c r="D511" s="1465"/>
      <c r="E511" s="1465"/>
      <c r="F511" s="1465"/>
      <c r="G511" s="1465"/>
      <c r="H511" s="1466"/>
      <c r="I511" s="34" t="s">
        <v>1330</v>
      </c>
      <c r="J511" s="34"/>
      <c r="K511" s="34"/>
      <c r="L511" s="34"/>
      <c r="M511" s="34"/>
      <c r="N511" s="34"/>
      <c r="O511" s="34"/>
      <c r="P511" s="34"/>
      <c r="Q511" s="34"/>
      <c r="R511" s="34"/>
      <c r="S511" s="34"/>
      <c r="T511" s="34"/>
      <c r="U511" s="34"/>
      <c r="V511" s="34"/>
      <c r="W511" s="34"/>
      <c r="AC511" s="1443" t="s">
        <v>826</v>
      </c>
      <c r="AD511" s="1444"/>
      <c r="AE511" s="1444"/>
      <c r="AF511" s="1444"/>
      <c r="AG511" s="12" t="s">
        <v>1324</v>
      </c>
      <c r="AH511" s="1492"/>
      <c r="AI511" s="1492"/>
      <c r="AJ511" s="1492"/>
      <c r="AK511" s="1493"/>
      <c r="AZ511" s="3"/>
      <c r="BA511" s="3"/>
      <c r="BB511" s="3"/>
      <c r="BC511" s="3"/>
      <c r="BD511" s="3"/>
      <c r="BE511" s="3"/>
      <c r="BF511" s="3"/>
      <c r="BG511" s="3"/>
      <c r="BH511" s="3"/>
      <c r="BI511" s="3"/>
      <c r="BJ511" s="3"/>
      <c r="BK511" s="3"/>
      <c r="BL511" s="3"/>
      <c r="BM511" s="3"/>
      <c r="BN511" s="3"/>
    </row>
    <row r="512" spans="1:66" ht="12.95" customHeight="1">
      <c r="B512" s="1623"/>
      <c r="C512" s="1467"/>
      <c r="D512" s="1467"/>
      <c r="E512" s="1467"/>
      <c r="F512" s="1467"/>
      <c r="G512" s="1467"/>
      <c r="H512" s="1468"/>
      <c r="I512" t="s">
        <v>1331</v>
      </c>
      <c r="AC512" s="1443" t="s">
        <v>826</v>
      </c>
      <c r="AD512" s="1444"/>
      <c r="AE512" s="1444"/>
      <c r="AF512" s="1444"/>
      <c r="AG512" s="12" t="s">
        <v>1324</v>
      </c>
      <c r="AH512" s="1492"/>
      <c r="AI512" s="1492"/>
      <c r="AJ512" s="1492"/>
      <c r="AK512" s="1493"/>
      <c r="AZ512" s="3"/>
      <c r="BA512" s="3"/>
      <c r="BB512" s="3"/>
      <c r="BC512" s="3"/>
      <c r="BD512" s="3"/>
      <c r="BE512" s="3"/>
      <c r="BF512" s="3"/>
      <c r="BG512" s="3"/>
      <c r="BH512" s="3"/>
      <c r="BI512" s="3"/>
      <c r="BJ512" s="3"/>
      <c r="BK512" s="3"/>
      <c r="BL512" s="3"/>
      <c r="BM512" s="3"/>
      <c r="BN512" s="3"/>
    </row>
    <row r="513" spans="2:66" ht="12.95" customHeight="1">
      <c r="B513" s="1623"/>
      <c r="C513" s="1467"/>
      <c r="D513" s="1467"/>
      <c r="E513" s="1467"/>
      <c r="F513" s="1467"/>
      <c r="G513" s="1467"/>
      <c r="H513" s="1468"/>
      <c r="I513" t="s">
        <v>1332</v>
      </c>
      <c r="AC513" s="1443" t="s">
        <v>826</v>
      </c>
      <c r="AD513" s="1444"/>
      <c r="AE513" s="1444"/>
      <c r="AF513" s="1444"/>
      <c r="AG513" s="12" t="s">
        <v>1324</v>
      </c>
      <c r="AH513" s="1492"/>
      <c r="AI513" s="1492"/>
      <c r="AJ513" s="1492"/>
      <c r="AK513" s="1493"/>
      <c r="AZ513" s="3"/>
      <c r="BA513" s="3"/>
      <c r="BB513" s="3"/>
      <c r="BC513" s="3"/>
      <c r="BD513" s="3"/>
      <c r="BE513" s="3"/>
      <c r="BF513" s="3"/>
      <c r="BG513" s="3"/>
      <c r="BH513" s="3"/>
      <c r="BI513" s="3"/>
      <c r="BJ513" s="3"/>
      <c r="BK513" s="3"/>
      <c r="BL513" s="3"/>
      <c r="BM513" s="3"/>
      <c r="BN513" s="3"/>
    </row>
    <row r="514" spans="2:66" ht="12.95" customHeight="1">
      <c r="B514" s="1623"/>
      <c r="C514" s="1467"/>
      <c r="D514" s="1467"/>
      <c r="E514" s="1467"/>
      <c r="F514" s="1467"/>
      <c r="G514" s="1467"/>
      <c r="H514" s="1468"/>
      <c r="I514" t="s">
        <v>1333</v>
      </c>
      <c r="AC514" s="1443" t="s">
        <v>826</v>
      </c>
      <c r="AD514" s="1444"/>
      <c r="AE514" s="1444"/>
      <c r="AF514" s="1444"/>
      <c r="AG514" s="12" t="s">
        <v>1324</v>
      </c>
      <c r="AH514" s="1492"/>
      <c r="AI514" s="1492"/>
      <c r="AJ514" s="1492"/>
      <c r="AK514" s="1493"/>
      <c r="AZ514" s="3"/>
      <c r="BA514" s="3"/>
      <c r="BB514" s="3"/>
      <c r="BC514" s="3"/>
      <c r="BD514" s="3"/>
      <c r="BE514" s="3"/>
      <c r="BF514" s="3"/>
      <c r="BG514" s="3"/>
      <c r="BH514" s="3"/>
      <c r="BI514" s="3"/>
      <c r="BJ514" s="3"/>
      <c r="BK514" s="3"/>
      <c r="BL514" s="3"/>
      <c r="BM514" s="3"/>
      <c r="BN514" s="3"/>
    </row>
    <row r="515" spans="2:66" ht="12.95" customHeight="1">
      <c r="B515" s="1623"/>
      <c r="C515" s="1467"/>
      <c r="D515" s="1467"/>
      <c r="E515" s="1467"/>
      <c r="F515" s="1467"/>
      <c r="G515" s="1467"/>
      <c r="H515" s="1468"/>
      <c r="I515" s="3" t="s">
        <v>1334</v>
      </c>
      <c r="AC515" s="1377">
        <v>10</v>
      </c>
      <c r="AD515" s="1378"/>
      <c r="AE515" s="1378"/>
      <c r="AF515" s="1378"/>
      <c r="AG515" s="12" t="s">
        <v>1324</v>
      </c>
      <c r="AH515" s="1492">
        <v>2026</v>
      </c>
      <c r="AI515" s="1492"/>
      <c r="AJ515" s="1492"/>
      <c r="AK515" s="1493"/>
      <c r="AZ515" s="3"/>
      <c r="BA515" s="3"/>
      <c r="BB515" s="3"/>
      <c r="BC515" s="3"/>
      <c r="BD515" s="3"/>
      <c r="BE515" s="3"/>
      <c r="BF515" s="3"/>
      <c r="BG515" s="3"/>
      <c r="BH515" s="3"/>
      <c r="BI515" s="3"/>
      <c r="BJ515" s="3"/>
      <c r="BK515" s="3"/>
      <c r="BL515" s="3"/>
      <c r="BM515" s="3"/>
      <c r="BN515" s="3"/>
    </row>
    <row r="516" spans="2:66" ht="12.95" customHeight="1">
      <c r="B516" s="1623"/>
      <c r="C516" s="1467"/>
      <c r="D516" s="1467"/>
      <c r="E516" s="1467"/>
      <c r="F516" s="1467"/>
      <c r="G516" s="1467"/>
      <c r="H516" s="1468"/>
      <c r="I516" s="788" t="s">
        <v>233</v>
      </c>
      <c r="J516" s="40"/>
      <c r="K516" s="40"/>
      <c r="L516" s="1710" t="s">
        <v>1335</v>
      </c>
      <c r="M516" s="1709"/>
      <c r="N516" s="1709"/>
      <c r="O516" s="1709"/>
      <c r="P516" s="1709"/>
      <c r="Q516" s="1709"/>
      <c r="R516" s="1709"/>
      <c r="S516" s="1709"/>
      <c r="T516" s="1709"/>
      <c r="U516" s="1709"/>
      <c r="V516" s="1709"/>
      <c r="W516" s="1709"/>
      <c r="X516" s="1709"/>
      <c r="Y516" s="1709"/>
      <c r="Z516" s="1709"/>
      <c r="AA516" s="1709"/>
      <c r="AB516" s="1783"/>
      <c r="AC516" s="1443" t="s">
        <v>826</v>
      </c>
      <c r="AD516" s="1444"/>
      <c r="AE516" s="1444"/>
      <c r="AF516" s="1444"/>
      <c r="AG516" s="30" t="s">
        <v>1324</v>
      </c>
      <c r="AH516" s="1492"/>
      <c r="AI516" s="1492"/>
      <c r="AJ516" s="1492"/>
      <c r="AK516" s="1493"/>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1336</v>
      </c>
      <c r="AC517" s="1757" t="s">
        <v>700</v>
      </c>
      <c r="AD517" s="1757"/>
      <c r="AE517" s="1757"/>
      <c r="AF517" s="1757"/>
      <c r="AG517" s="12"/>
      <c r="AH517" s="1307"/>
      <c r="AI517" s="1307"/>
      <c r="AJ517" s="1307"/>
      <c r="AK517" s="1647"/>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1337</v>
      </c>
      <c r="AC518" s="1377" t="s">
        <v>904</v>
      </c>
      <c r="AD518" s="1378"/>
      <c r="AE518" s="1378"/>
      <c r="AF518" s="1379"/>
      <c r="AG518" s="12"/>
      <c r="AH518" s="1307"/>
      <c r="AI518" s="1307"/>
      <c r="AJ518" s="1307"/>
      <c r="AK518" s="1647"/>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1338</v>
      </c>
      <c r="AC519" s="1152"/>
      <c r="AD519" s="1154"/>
      <c r="AE519" s="1154"/>
      <c r="AF519" s="1153"/>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1339</v>
      </c>
      <c r="J520" s="40"/>
      <c r="K520" s="40"/>
      <c r="L520" s="40"/>
      <c r="M520" s="40"/>
      <c r="N520" s="40"/>
      <c r="O520" s="40"/>
      <c r="P520" s="40"/>
      <c r="Q520" s="40"/>
      <c r="R520" s="40"/>
      <c r="S520" s="40"/>
      <c r="T520" s="40"/>
      <c r="U520" s="40"/>
      <c r="V520" s="40"/>
      <c r="W520" s="40"/>
      <c r="X520" s="40"/>
      <c r="Y520" s="40"/>
      <c r="Z520" s="40"/>
      <c r="AA520" s="40"/>
      <c r="AB520" s="40"/>
      <c r="AC520" s="1770">
        <v>1</v>
      </c>
      <c r="AD520" s="1771"/>
      <c r="AE520" s="1771"/>
      <c r="AF520" s="1772"/>
      <c r="AG520" s="30"/>
      <c r="AH520" s="1650"/>
      <c r="AI520" s="1650"/>
      <c r="AJ520" s="1650"/>
      <c r="AK520" s="1651"/>
      <c r="AZ520" s="3"/>
      <c r="BA520" s="3"/>
      <c r="BB520" s="3"/>
      <c r="BC520" s="3"/>
      <c r="BD520" s="3"/>
      <c r="BE520" s="3"/>
      <c r="BF520" s="3"/>
      <c r="BG520" s="3"/>
      <c r="BH520" s="3"/>
      <c r="BI520" s="3"/>
      <c r="BJ520" s="3"/>
      <c r="BK520" s="3"/>
      <c r="BL520" s="3"/>
      <c r="BM520" s="3"/>
      <c r="BN520" s="3" t="s">
        <v>1016</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490" t="s">
        <v>1323</v>
      </c>
      <c r="AD521" s="1491"/>
      <c r="AE521" s="1491"/>
      <c r="AF521" s="1491"/>
      <c r="AG521" s="30" t="s">
        <v>1324</v>
      </c>
      <c r="AH521" s="1491" t="s">
        <v>1325</v>
      </c>
      <c r="AI521" s="1491"/>
      <c r="AJ521" s="1491"/>
      <c r="AK521" s="1788"/>
      <c r="AZ521" s="3"/>
      <c r="BA521" s="3"/>
      <c r="BB521" s="3"/>
      <c r="BC521" s="3"/>
      <c r="BD521" s="3"/>
      <c r="BE521" s="3"/>
      <c r="BF521" s="3"/>
      <c r="BG521" s="3"/>
      <c r="BH521" s="3"/>
      <c r="BI521" s="3"/>
      <c r="BJ521" s="3"/>
      <c r="BK521" s="3"/>
      <c r="BL521" s="3"/>
      <c r="BM521" s="3"/>
      <c r="BN521" s="3" t="s">
        <v>1340</v>
      </c>
    </row>
    <row r="522" spans="2:66" ht="12.95" customHeight="1">
      <c r="B522" s="1622" t="s">
        <v>1341</v>
      </c>
      <c r="C522" s="1465"/>
      <c r="D522" s="1465"/>
      <c r="E522" s="1465"/>
      <c r="F522" s="1465"/>
      <c r="G522" s="1465"/>
      <c r="H522" s="1466"/>
      <c r="I522" s="34" t="s">
        <v>1342</v>
      </c>
      <c r="J522" s="34"/>
      <c r="K522" s="34"/>
      <c r="L522" s="34"/>
      <c r="M522" s="34"/>
      <c r="N522" s="34"/>
      <c r="O522" s="34"/>
      <c r="P522" s="34"/>
      <c r="Q522" s="34"/>
      <c r="R522" s="34"/>
      <c r="S522" s="34"/>
      <c r="T522" s="34"/>
      <c r="U522" s="34"/>
      <c r="V522" s="34"/>
      <c r="W522" s="34"/>
      <c r="AC522" s="1443">
        <v>1</v>
      </c>
      <c r="AD522" s="1444"/>
      <c r="AE522" s="1444"/>
      <c r="AF522" s="1444"/>
      <c r="AG522" s="12" t="s">
        <v>1324</v>
      </c>
      <c r="AH522" s="1492">
        <v>2026</v>
      </c>
      <c r="AI522" s="1492"/>
      <c r="AJ522" s="1492"/>
      <c r="AK522" s="1493"/>
      <c r="AZ522" s="3"/>
      <c r="BA522" s="3"/>
      <c r="BB522" s="3"/>
      <c r="BC522" s="3"/>
      <c r="BD522" s="3"/>
      <c r="BE522" s="3"/>
      <c r="BF522" s="3"/>
      <c r="BG522" s="3"/>
      <c r="BH522" s="3"/>
      <c r="BI522" s="3"/>
      <c r="BJ522" s="3"/>
      <c r="BK522" s="3"/>
      <c r="BL522" s="3"/>
      <c r="BM522" s="3"/>
      <c r="BN522" s="3" t="s">
        <v>1343</v>
      </c>
    </row>
    <row r="523" spans="2:66" ht="12.95" customHeight="1">
      <c r="B523" s="1623"/>
      <c r="C523" s="1467"/>
      <c r="D523" s="1467"/>
      <c r="E523" s="1467"/>
      <c r="F523" s="1467"/>
      <c r="G523" s="1467"/>
      <c r="H523" s="1468"/>
      <c r="I523" t="s">
        <v>1344</v>
      </c>
      <c r="AC523" s="1443">
        <v>1</v>
      </c>
      <c r="AD523" s="1444"/>
      <c r="AE523" s="1444"/>
      <c r="AF523" s="1444"/>
      <c r="AG523" s="12" t="s">
        <v>1324</v>
      </c>
      <c r="AH523" s="1492">
        <v>2026</v>
      </c>
      <c r="AI523" s="1492"/>
      <c r="AJ523" s="1492"/>
      <c r="AK523" s="1493"/>
      <c r="AZ523" s="3"/>
      <c r="BA523" s="3"/>
      <c r="BB523" s="3"/>
      <c r="BC523" s="3"/>
      <c r="BD523" s="3"/>
      <c r="BE523" s="3"/>
      <c r="BF523" s="3"/>
      <c r="BG523" s="3"/>
      <c r="BH523" s="3"/>
      <c r="BI523" s="3"/>
      <c r="BJ523" s="3"/>
      <c r="BK523" s="3"/>
      <c r="BL523" s="3"/>
      <c r="BM523" s="3"/>
      <c r="BN523" s="3" t="s">
        <v>1345</v>
      </c>
    </row>
    <row r="524" spans="2:66" ht="12.95" customHeight="1">
      <c r="B524" s="1623"/>
      <c r="C524" s="1467"/>
      <c r="D524" s="1467"/>
      <c r="E524" s="1467"/>
      <c r="F524" s="1467"/>
      <c r="G524" s="1467"/>
      <c r="H524" s="1468"/>
      <c r="I524" s="40" t="s">
        <v>1346</v>
      </c>
      <c r="J524" s="40"/>
      <c r="K524" s="40"/>
      <c r="L524" s="40"/>
      <c r="M524" s="40"/>
      <c r="N524" s="40"/>
      <c r="O524" s="40"/>
      <c r="P524" s="40"/>
      <c r="Q524" s="40"/>
      <c r="R524" s="40"/>
      <c r="S524" s="40"/>
      <c r="T524" s="40"/>
      <c r="U524" s="40"/>
      <c r="V524" s="40"/>
      <c r="W524" s="40"/>
      <c r="X524" s="40"/>
      <c r="Y524" s="40"/>
      <c r="Z524" s="40"/>
      <c r="AA524" s="40"/>
      <c r="AB524" s="40"/>
      <c r="AC524" s="1443">
        <v>11</v>
      </c>
      <c r="AD524" s="1444"/>
      <c r="AE524" s="1444"/>
      <c r="AF524" s="1444"/>
      <c r="AG524" s="30" t="s">
        <v>1324</v>
      </c>
      <c r="AH524" s="1492">
        <v>2026</v>
      </c>
      <c r="AI524" s="1492"/>
      <c r="AJ524" s="1492"/>
      <c r="AK524" s="1493"/>
      <c r="AZ524" s="3"/>
      <c r="BA524" s="3"/>
      <c r="BB524" s="3"/>
      <c r="BC524" s="3"/>
      <c r="BD524" s="3"/>
      <c r="BE524" s="3"/>
      <c r="BF524" s="3"/>
      <c r="BG524" s="3"/>
      <c r="BH524" s="3"/>
      <c r="BI524" s="3"/>
      <c r="BJ524" s="3"/>
      <c r="BK524" s="3"/>
      <c r="BL524" s="3"/>
      <c r="BM524" s="3"/>
      <c r="BN524" s="3" t="s">
        <v>1347</v>
      </c>
    </row>
    <row r="525" spans="2:66" ht="12.95" customHeight="1">
      <c r="B525" s="1622" t="s">
        <v>1348</v>
      </c>
      <c r="C525" s="1465"/>
      <c r="D525" s="1465"/>
      <c r="E525" s="1465"/>
      <c r="F525" s="1465"/>
      <c r="G525" s="1465"/>
      <c r="H525" s="1466"/>
      <c r="I525" s="34" t="s">
        <v>1342</v>
      </c>
      <c r="J525" s="34"/>
      <c r="K525" s="34"/>
      <c r="L525" s="34"/>
      <c r="M525" s="34"/>
      <c r="N525" s="34"/>
      <c r="O525" s="34"/>
      <c r="P525" s="34"/>
      <c r="Q525" s="34"/>
      <c r="R525" s="34"/>
      <c r="S525" s="34"/>
      <c r="T525" s="34"/>
      <c r="U525" s="34"/>
      <c r="V525" s="34"/>
      <c r="W525" s="34"/>
      <c r="X525" s="34"/>
      <c r="Y525" s="34"/>
      <c r="Z525" s="34"/>
      <c r="AA525" s="34"/>
      <c r="AB525" s="34"/>
      <c r="AC525" s="1377">
        <v>1</v>
      </c>
      <c r="AD525" s="1378"/>
      <c r="AE525" s="1378"/>
      <c r="AF525" s="1378"/>
      <c r="AG525" s="94" t="s">
        <v>1324</v>
      </c>
      <c r="AH525" s="1492">
        <v>2026</v>
      </c>
      <c r="AI525" s="1492"/>
      <c r="AJ525" s="1492"/>
      <c r="AK525" s="1493"/>
      <c r="AZ525" s="3"/>
      <c r="BB525" s="3"/>
      <c r="BC525" s="3"/>
      <c r="BD525" s="3"/>
      <c r="BE525" s="3"/>
      <c r="BF525" s="3"/>
      <c r="BG525" s="3"/>
      <c r="BH525" s="3"/>
      <c r="BI525" s="3"/>
      <c r="BJ525" s="3"/>
      <c r="BK525" s="3"/>
      <c r="BL525" s="3"/>
      <c r="BM525" s="3"/>
      <c r="BN525" s="3" t="s">
        <v>1349</v>
      </c>
    </row>
    <row r="526" spans="2:66" ht="12.95" customHeight="1">
      <c r="B526" s="1623"/>
      <c r="C526" s="1467"/>
      <c r="D526" s="1467"/>
      <c r="E526" s="1467"/>
      <c r="F526" s="1467"/>
      <c r="G526" s="1467"/>
      <c r="H526" s="1468"/>
      <c r="I526" t="s">
        <v>1344</v>
      </c>
      <c r="AC526" s="1443">
        <v>1</v>
      </c>
      <c r="AD526" s="1444"/>
      <c r="AE526" s="1444"/>
      <c r="AF526" s="1444"/>
      <c r="AG526" s="12" t="s">
        <v>1324</v>
      </c>
      <c r="AH526" s="1492">
        <v>2026</v>
      </c>
      <c r="AI526" s="1492"/>
      <c r="AJ526" s="1492"/>
      <c r="AK526" s="1493"/>
      <c r="BB526" s="3"/>
      <c r="BC526" s="3"/>
      <c r="BD526" s="3"/>
      <c r="BE526" s="3"/>
      <c r="BF526" s="3"/>
      <c r="BG526" s="3"/>
      <c r="BH526" s="3"/>
      <c r="BI526" s="3"/>
      <c r="BJ526" s="3"/>
      <c r="BK526" s="3"/>
      <c r="BL526" s="3"/>
      <c r="BM526" s="3"/>
      <c r="BN526" s="3" t="s">
        <v>1350</v>
      </c>
    </row>
    <row r="527" spans="2:66" ht="12.95" customHeight="1">
      <c r="B527" s="1624"/>
      <c r="C527" s="1469"/>
      <c r="D527" s="1469"/>
      <c r="E527" s="1469"/>
      <c r="F527" s="1469"/>
      <c r="G527" s="1469"/>
      <c r="H527" s="1470"/>
      <c r="I527" s="40" t="s">
        <v>1346</v>
      </c>
      <c r="J527" s="40"/>
      <c r="K527" s="40"/>
      <c r="L527" s="40"/>
      <c r="M527" s="40"/>
      <c r="N527" s="40"/>
      <c r="O527" s="40"/>
      <c r="P527" s="40"/>
      <c r="Q527" s="40"/>
      <c r="R527" s="40"/>
      <c r="S527" s="40"/>
      <c r="T527" s="40"/>
      <c r="U527" s="40"/>
      <c r="V527" s="40"/>
      <c r="W527" s="40"/>
      <c r="X527" s="40"/>
      <c r="Y527" s="40"/>
      <c r="Z527" s="40"/>
      <c r="AA527" s="40"/>
      <c r="AB527" s="40"/>
      <c r="AC527" s="1443">
        <v>11</v>
      </c>
      <c r="AD527" s="1444"/>
      <c r="AE527" s="1444"/>
      <c r="AF527" s="1444"/>
      <c r="AG527" s="30" t="s">
        <v>1324</v>
      </c>
      <c r="AH527" s="1492">
        <v>2026</v>
      </c>
      <c r="AI527" s="1492"/>
      <c r="AJ527" s="1492"/>
      <c r="AK527" s="1493"/>
      <c r="BB527" s="3"/>
      <c r="BC527" s="3"/>
      <c r="BD527" s="3"/>
      <c r="BE527" s="3"/>
      <c r="BF527" s="3"/>
      <c r="BG527" s="3"/>
      <c r="BH527" s="3"/>
      <c r="BI527" s="3"/>
      <c r="BJ527" s="3"/>
      <c r="BK527" s="3"/>
      <c r="BL527" s="3"/>
      <c r="BM527" s="3"/>
      <c r="BN527" s="3" t="s">
        <v>1351</v>
      </c>
    </row>
    <row r="528" spans="2:66" ht="12.95" customHeight="1">
      <c r="B528" s="1622" t="s">
        <v>1352</v>
      </c>
      <c r="C528" s="1465"/>
      <c r="D528" s="1465"/>
      <c r="E528" s="1465"/>
      <c r="F528" s="1465"/>
      <c r="G528" s="1465"/>
      <c r="H528" s="1466"/>
      <c r="I528" s="33" t="s">
        <v>1353</v>
      </c>
      <c r="J528" s="34"/>
      <c r="K528" s="34"/>
      <c r="L528" s="34"/>
      <c r="M528" s="34"/>
      <c r="N528" s="34"/>
      <c r="O528" s="1710" t="s">
        <v>1354</v>
      </c>
      <c r="P528" s="1709"/>
      <c r="Q528" s="1709"/>
      <c r="R528" s="1709"/>
      <c r="S528" s="1709"/>
      <c r="T528" s="1709"/>
      <c r="U528" s="1709"/>
      <c r="V528" s="1709"/>
      <c r="W528" s="1709"/>
      <c r="X528" s="1709"/>
      <c r="Y528" s="1709"/>
      <c r="Z528" s="1709"/>
      <c r="AA528" s="1709"/>
      <c r="AB528" s="50"/>
      <c r="AC528" s="1377" t="s">
        <v>826</v>
      </c>
      <c r="AD528" s="1378"/>
      <c r="AE528" s="1378"/>
      <c r="AF528" s="1378"/>
      <c r="AG528" s="94" t="s">
        <v>1324</v>
      </c>
      <c r="AH528" s="1492"/>
      <c r="AI528" s="1492"/>
      <c r="AJ528" s="1492"/>
      <c r="AK528" s="1493"/>
      <c r="AZ528" s="3"/>
      <c r="BB528" s="3"/>
      <c r="BC528" s="3"/>
      <c r="BD528" s="3"/>
      <c r="BE528" s="3"/>
      <c r="BF528" s="3"/>
      <c r="BG528" s="3"/>
      <c r="BH528" s="3"/>
      <c r="BI528" s="3"/>
      <c r="BJ528" s="3"/>
      <c r="BK528" s="3"/>
      <c r="BL528" s="3"/>
      <c r="BM528" s="3"/>
      <c r="BN528" s="3" t="s">
        <v>1355</v>
      </c>
    </row>
    <row r="529" spans="2:66" ht="12.95" customHeight="1">
      <c r="B529" s="1623"/>
      <c r="C529" s="1467"/>
      <c r="D529" s="1467"/>
      <c r="E529" s="1467"/>
      <c r="F529" s="1467"/>
      <c r="G529" s="1467"/>
      <c r="H529" s="1468"/>
      <c r="I529" s="82" t="s">
        <v>44</v>
      </c>
      <c r="AB529" s="56"/>
      <c r="AC529" s="1443" t="s">
        <v>826</v>
      </c>
      <c r="AD529" s="1444"/>
      <c r="AE529" s="1444"/>
      <c r="AF529" s="1444"/>
      <c r="AG529" s="12" t="s">
        <v>1324</v>
      </c>
      <c r="AH529" s="1492"/>
      <c r="AI529" s="1492"/>
      <c r="AJ529" s="1492"/>
      <c r="AK529" s="1493"/>
      <c r="AZ529" s="3"/>
      <c r="BB529" s="3"/>
      <c r="BC529" s="3"/>
      <c r="BD529" s="3"/>
      <c r="BE529" s="3"/>
      <c r="BF529" s="3"/>
      <c r="BG529" s="3"/>
      <c r="BH529" s="3"/>
      <c r="BI529" s="3"/>
      <c r="BJ529" s="3"/>
      <c r="BK529" s="3"/>
      <c r="BL529" s="3"/>
      <c r="BM529" s="3"/>
      <c r="BN529" s="3" t="s">
        <v>1356</v>
      </c>
    </row>
    <row r="530" spans="2:66" ht="12.95" customHeight="1">
      <c r="B530" s="1623"/>
      <c r="C530" s="1467"/>
      <c r="D530" s="1467"/>
      <c r="E530" s="1467"/>
      <c r="F530" s="1467"/>
      <c r="G530" s="1467"/>
      <c r="H530" s="1468"/>
      <c r="I530" s="39" t="s">
        <v>1357</v>
      </c>
      <c r="J530" s="40"/>
      <c r="K530" s="40"/>
      <c r="L530" s="40"/>
      <c r="M530" s="40"/>
      <c r="N530" s="40"/>
      <c r="O530" s="40"/>
      <c r="P530" s="40"/>
      <c r="Q530" s="40"/>
      <c r="R530" s="40"/>
      <c r="S530" s="40"/>
      <c r="T530" s="40"/>
      <c r="U530" s="40"/>
      <c r="V530" s="40"/>
      <c r="W530" s="40"/>
      <c r="X530" s="40"/>
      <c r="Y530" s="40"/>
      <c r="Z530" s="40"/>
      <c r="AA530" s="40"/>
      <c r="AB530" s="41"/>
      <c r="AC530" s="1443">
        <v>11</v>
      </c>
      <c r="AD530" s="1444"/>
      <c r="AE530" s="1444"/>
      <c r="AF530" s="1444"/>
      <c r="AG530" s="30" t="s">
        <v>1324</v>
      </c>
      <c r="AH530" s="1492">
        <v>2026</v>
      </c>
      <c r="AI530" s="1492"/>
      <c r="AJ530" s="1492"/>
      <c r="AK530" s="1493"/>
      <c r="AZ530" s="3"/>
      <c r="BA530" s="3"/>
      <c r="BB530" s="3"/>
      <c r="BC530" s="3"/>
      <c r="BD530" s="3"/>
      <c r="BE530" s="3"/>
      <c r="BF530" s="3"/>
      <c r="BG530" s="3"/>
      <c r="BH530" s="3"/>
      <c r="BI530" s="3"/>
      <c r="BJ530" s="3"/>
      <c r="BK530" s="3"/>
      <c r="BL530" s="3"/>
      <c r="BM530" s="3"/>
      <c r="BN530" s="3" t="s">
        <v>1358</v>
      </c>
    </row>
    <row r="531" spans="2:66" ht="12.95" customHeight="1">
      <c r="B531" s="1623"/>
      <c r="C531" s="1467"/>
      <c r="D531" s="1467"/>
      <c r="E531" s="1467"/>
      <c r="F531" s="1467"/>
      <c r="G531" s="1467"/>
      <c r="H531" s="1468"/>
      <c r="I531" s="34" t="s">
        <v>1359</v>
      </c>
      <c r="J531" s="34"/>
      <c r="K531" s="34"/>
      <c r="L531" s="34"/>
      <c r="M531" s="34"/>
      <c r="N531" s="34"/>
      <c r="O531" s="1710" t="s">
        <v>1360</v>
      </c>
      <c r="P531" s="1709"/>
      <c r="Q531" s="1709"/>
      <c r="R531" s="1709"/>
      <c r="S531" s="1709"/>
      <c r="T531" s="1709"/>
      <c r="U531" s="1709"/>
      <c r="V531" s="1709"/>
      <c r="W531" s="1709"/>
      <c r="X531" s="1709"/>
      <c r="Y531" s="1709"/>
      <c r="Z531" s="1709"/>
      <c r="AA531" s="1709"/>
      <c r="AC531" s="1443" t="s">
        <v>826</v>
      </c>
      <c r="AD531" s="1444"/>
      <c r="AE531" s="1444"/>
      <c r="AF531" s="1444"/>
      <c r="AG531" s="12" t="s">
        <v>1324</v>
      </c>
      <c r="AH531" s="1492"/>
      <c r="AI531" s="1492"/>
      <c r="AJ531" s="1492"/>
      <c r="AK531" s="1493"/>
      <c r="AZ531" s="3"/>
      <c r="BA531" s="3"/>
      <c r="BB531" s="3"/>
      <c r="BC531" s="3"/>
      <c r="BD531" s="3"/>
      <c r="BE531" s="3"/>
      <c r="BF531" s="3"/>
      <c r="BG531" s="3"/>
      <c r="BH531" s="3"/>
      <c r="BI531" s="3"/>
      <c r="BJ531" s="3"/>
      <c r="BK531" s="3"/>
      <c r="BL531" s="3"/>
      <c r="BM531" s="3"/>
      <c r="BN531" s="3" t="s">
        <v>1361</v>
      </c>
    </row>
    <row r="532" spans="2:66" ht="12.95" customHeight="1">
      <c r="B532" s="1623"/>
      <c r="C532" s="1467"/>
      <c r="D532" s="1467"/>
      <c r="E532" s="1467"/>
      <c r="F532" s="1467"/>
      <c r="G532" s="1467"/>
      <c r="H532" s="1468"/>
      <c r="I532" t="s">
        <v>44</v>
      </c>
      <c r="AC532" s="1443">
        <v>1</v>
      </c>
      <c r="AD532" s="1444"/>
      <c r="AE532" s="1444"/>
      <c r="AF532" s="1444"/>
      <c r="AG532" s="12" t="s">
        <v>1324</v>
      </c>
      <c r="AH532" s="1492">
        <v>2026</v>
      </c>
      <c r="AI532" s="1492"/>
      <c r="AJ532" s="1492"/>
      <c r="AK532" s="1493"/>
      <c r="AZ532" s="3"/>
      <c r="BA532" s="3"/>
      <c r="BB532" s="3"/>
      <c r="BC532" s="3"/>
      <c r="BD532" s="3"/>
      <c r="BE532" s="3"/>
      <c r="BF532" s="3"/>
      <c r="BG532" s="3"/>
      <c r="BH532" s="3"/>
      <c r="BI532" s="3"/>
      <c r="BJ532" s="3"/>
      <c r="BK532" s="3"/>
      <c r="BL532" s="3"/>
      <c r="BM532" s="3"/>
      <c r="BN532" s="3" t="s">
        <v>1362</v>
      </c>
    </row>
    <row r="533" spans="2:66" ht="12.95" customHeight="1">
      <c r="B533" s="1623"/>
      <c r="C533" s="1467"/>
      <c r="D533" s="1467"/>
      <c r="E533" s="1467"/>
      <c r="F533" s="1467"/>
      <c r="G533" s="1467"/>
      <c r="H533" s="1468"/>
      <c r="I533" s="40" t="s">
        <v>1357</v>
      </c>
      <c r="J533" s="40"/>
      <c r="K533" s="40"/>
      <c r="L533" s="40"/>
      <c r="M533" s="40"/>
      <c r="N533" s="40"/>
      <c r="O533" s="40"/>
      <c r="P533" s="40"/>
      <c r="Q533" s="40"/>
      <c r="R533" s="40"/>
      <c r="S533" s="40"/>
      <c r="T533" s="40"/>
      <c r="U533" s="40"/>
      <c r="V533" s="40"/>
      <c r="W533" s="40"/>
      <c r="X533" s="40"/>
      <c r="Y533" s="40"/>
      <c r="Z533" s="40"/>
      <c r="AA533" s="40"/>
      <c r="AB533" s="40"/>
      <c r="AC533" s="1443">
        <v>11</v>
      </c>
      <c r="AD533" s="1444"/>
      <c r="AE533" s="1444"/>
      <c r="AF533" s="1444"/>
      <c r="AG533" s="30" t="s">
        <v>1324</v>
      </c>
      <c r="AH533" s="1492">
        <v>2026</v>
      </c>
      <c r="AI533" s="1492"/>
      <c r="AJ533" s="1492"/>
      <c r="AK533" s="1493"/>
      <c r="AZ533" s="3"/>
      <c r="BA533" s="3"/>
      <c r="BB533" s="3"/>
      <c r="BC533" s="3"/>
      <c r="BD533" s="3"/>
      <c r="BE533" s="3"/>
      <c r="BF533" s="3"/>
      <c r="BG533" s="3"/>
      <c r="BH533" s="3"/>
      <c r="BI533" s="3"/>
      <c r="BJ533" s="3"/>
      <c r="BK533" s="3"/>
      <c r="BL533" s="3"/>
      <c r="BM533" s="3"/>
      <c r="BN533" s="3" t="s">
        <v>1363</v>
      </c>
    </row>
    <row r="534" spans="2:66" ht="12.95" customHeight="1">
      <c r="B534" s="1623"/>
      <c r="C534" s="1467"/>
      <c r="D534" s="1467"/>
      <c r="E534" s="1467"/>
      <c r="F534" s="1467"/>
      <c r="G534" s="1467"/>
      <c r="H534" s="1468"/>
      <c r="I534" s="34" t="s">
        <v>1359</v>
      </c>
      <c r="J534" s="34"/>
      <c r="K534" s="34"/>
      <c r="L534" s="34"/>
      <c r="M534" s="34"/>
      <c r="N534" s="34"/>
      <c r="O534" s="1710" t="s">
        <v>1335</v>
      </c>
      <c r="P534" s="1709"/>
      <c r="Q534" s="1709"/>
      <c r="R534" s="1709"/>
      <c r="S534" s="1709"/>
      <c r="T534" s="1709"/>
      <c r="U534" s="1709"/>
      <c r="V534" s="1709"/>
      <c r="W534" s="1709"/>
      <c r="X534" s="1709"/>
      <c r="Y534" s="1709"/>
      <c r="Z534" s="1709"/>
      <c r="AA534" s="1709"/>
      <c r="AC534" s="1443" t="s">
        <v>826</v>
      </c>
      <c r="AD534" s="1444"/>
      <c r="AE534" s="1444"/>
      <c r="AF534" s="1444"/>
      <c r="AG534" s="12" t="s">
        <v>1324</v>
      </c>
      <c r="AH534" s="1492"/>
      <c r="AI534" s="1492"/>
      <c r="AJ534" s="1492"/>
      <c r="AK534" s="1493"/>
      <c r="AZ534" s="3"/>
      <c r="BA534" s="3"/>
      <c r="BB534" s="3"/>
      <c r="BC534" s="3"/>
      <c r="BD534" s="3"/>
      <c r="BE534" s="3"/>
      <c r="BF534" s="3"/>
      <c r="BG534" s="3"/>
      <c r="BH534" s="3"/>
      <c r="BI534" s="3"/>
      <c r="BJ534" s="3"/>
      <c r="BK534" s="3"/>
      <c r="BL534" s="3"/>
      <c r="BM534" s="3"/>
      <c r="BN534" s="3" t="s">
        <v>1364</v>
      </c>
    </row>
    <row r="535" spans="2:66" ht="12.95" customHeight="1">
      <c r="B535" s="1623"/>
      <c r="C535" s="1467"/>
      <c r="D535" s="1467"/>
      <c r="E535" s="1467"/>
      <c r="F535" s="1467"/>
      <c r="G535" s="1467"/>
      <c r="H535" s="1468"/>
      <c r="I535" t="s">
        <v>44</v>
      </c>
      <c r="AC535" s="1443" t="s">
        <v>826</v>
      </c>
      <c r="AD535" s="1444"/>
      <c r="AE535" s="1444"/>
      <c r="AF535" s="1444"/>
      <c r="AG535" s="12" t="s">
        <v>1324</v>
      </c>
      <c r="AH535" s="1492"/>
      <c r="AI535" s="1492"/>
      <c r="AJ535" s="1492"/>
      <c r="AK535" s="1493"/>
      <c r="AZ535" s="3"/>
      <c r="BA535" s="3"/>
      <c r="BB535" s="3"/>
      <c r="BC535" s="3"/>
      <c r="BD535" s="3"/>
      <c r="BE535" s="3"/>
      <c r="BF535" s="3"/>
      <c r="BG535" s="3"/>
      <c r="BH535" s="3"/>
      <c r="BI535" s="3"/>
      <c r="BJ535" s="3"/>
      <c r="BK535" s="3"/>
      <c r="BL535" s="3"/>
      <c r="BM535" s="3"/>
      <c r="BN535" s="3" t="s">
        <v>1365</v>
      </c>
    </row>
    <row r="536" spans="2:66" ht="12.95" customHeight="1">
      <c r="B536" s="1623"/>
      <c r="C536" s="1467"/>
      <c r="D536" s="1467"/>
      <c r="E536" s="1467"/>
      <c r="F536" s="1467"/>
      <c r="G536" s="1467"/>
      <c r="H536" s="1468"/>
      <c r="I536" s="40" t="s">
        <v>1357</v>
      </c>
      <c r="J536" s="40"/>
      <c r="K536" s="40"/>
      <c r="L536" s="40"/>
      <c r="M536" s="40"/>
      <c r="N536" s="40"/>
      <c r="O536" s="40"/>
      <c r="P536" s="40"/>
      <c r="Q536" s="40"/>
      <c r="R536" s="40"/>
      <c r="S536" s="40"/>
      <c r="T536" s="40"/>
      <c r="U536" s="40"/>
      <c r="V536" s="40"/>
      <c r="W536" s="40"/>
      <c r="X536" s="40"/>
      <c r="Y536" s="40"/>
      <c r="Z536" s="40"/>
      <c r="AA536" s="40"/>
      <c r="AB536" s="40"/>
      <c r="AC536" s="1443" t="s">
        <v>826</v>
      </c>
      <c r="AD536" s="1444"/>
      <c r="AE536" s="1444"/>
      <c r="AF536" s="1444"/>
      <c r="AG536" s="30" t="s">
        <v>1324</v>
      </c>
      <c r="AH536" s="1492"/>
      <c r="AI536" s="1492"/>
      <c r="AJ536" s="1492"/>
      <c r="AK536" s="1493"/>
      <c r="AZ536" s="3"/>
      <c r="BA536" s="3"/>
      <c r="BB536" s="3"/>
      <c r="BC536" s="3"/>
      <c r="BD536" s="3"/>
      <c r="BE536" s="3"/>
      <c r="BF536" s="3"/>
      <c r="BG536" s="3"/>
      <c r="BH536" s="3"/>
      <c r="BI536" s="3"/>
      <c r="BJ536" s="3"/>
      <c r="BK536" s="3"/>
      <c r="BL536" s="3"/>
      <c r="BM536" s="3"/>
      <c r="BN536" s="3" t="s">
        <v>1366</v>
      </c>
    </row>
    <row r="537" spans="2:66" ht="12.95" customHeight="1">
      <c r="B537" s="1623"/>
      <c r="C537" s="1467"/>
      <c r="D537" s="1467"/>
      <c r="E537" s="1467"/>
      <c r="F537" s="1467"/>
      <c r="G537" s="1467"/>
      <c r="H537" s="1468"/>
      <c r="I537" s="34" t="s">
        <v>1359</v>
      </c>
      <c r="J537" s="34"/>
      <c r="K537" s="34"/>
      <c r="L537" s="34"/>
      <c r="M537" s="34"/>
      <c r="N537" s="34"/>
      <c r="O537" s="1710" t="s">
        <v>1335</v>
      </c>
      <c r="P537" s="1709"/>
      <c r="Q537" s="1709"/>
      <c r="R537" s="1709"/>
      <c r="S537" s="1709"/>
      <c r="T537" s="1709"/>
      <c r="U537" s="1709"/>
      <c r="V537" s="1709"/>
      <c r="W537" s="1709"/>
      <c r="X537" s="1709"/>
      <c r="Y537" s="1709"/>
      <c r="Z537" s="1709"/>
      <c r="AA537" s="1709"/>
      <c r="AC537" s="1443" t="s">
        <v>826</v>
      </c>
      <c r="AD537" s="1444"/>
      <c r="AE537" s="1444"/>
      <c r="AF537" s="1444"/>
      <c r="AG537" s="12" t="s">
        <v>1324</v>
      </c>
      <c r="AH537" s="1492"/>
      <c r="AI537" s="1492"/>
      <c r="AJ537" s="1492"/>
      <c r="AK537" s="1493"/>
      <c r="AZ537" s="3"/>
      <c r="BA537" s="3"/>
      <c r="BB537" s="3"/>
      <c r="BC537" s="3"/>
      <c r="BD537" s="3"/>
      <c r="BE537" s="3"/>
      <c r="BF537" s="3"/>
      <c r="BG537" s="3"/>
      <c r="BH537" s="3"/>
      <c r="BI537" s="3"/>
      <c r="BJ537" s="3"/>
      <c r="BK537" s="3"/>
      <c r="BL537" s="3"/>
      <c r="BM537" s="3"/>
      <c r="BN537" s="3" t="s">
        <v>1367</v>
      </c>
    </row>
    <row r="538" spans="2:66" ht="12.95" customHeight="1">
      <c r="B538" s="1623"/>
      <c r="C538" s="1467"/>
      <c r="D538" s="1467"/>
      <c r="E538" s="1467"/>
      <c r="F538" s="1467"/>
      <c r="G538" s="1467"/>
      <c r="H538" s="1468"/>
      <c r="I538" t="s">
        <v>44</v>
      </c>
      <c r="AC538" s="1443" t="s">
        <v>826</v>
      </c>
      <c r="AD538" s="1444"/>
      <c r="AE538" s="1444"/>
      <c r="AF538" s="1444"/>
      <c r="AG538" s="12" t="s">
        <v>1324</v>
      </c>
      <c r="AH538" s="1492"/>
      <c r="AI538" s="1492"/>
      <c r="AJ538" s="1492"/>
      <c r="AK538" s="1493"/>
      <c r="AZ538" s="3"/>
      <c r="BA538" s="3"/>
      <c r="BB538" s="3"/>
      <c r="BC538" s="3"/>
      <c r="BD538" s="3"/>
      <c r="BE538" s="3"/>
      <c r="BF538" s="3"/>
      <c r="BG538" s="3"/>
      <c r="BH538" s="3"/>
      <c r="BI538" s="3"/>
      <c r="BJ538" s="3"/>
      <c r="BK538" s="3"/>
      <c r="BL538" s="3"/>
      <c r="BM538" s="3"/>
      <c r="BN538" s="3" t="s">
        <v>1368</v>
      </c>
    </row>
    <row r="539" spans="2:66" ht="12.95" customHeight="1">
      <c r="B539" s="1623"/>
      <c r="C539" s="1467"/>
      <c r="D539" s="1467"/>
      <c r="E539" s="1467"/>
      <c r="F539" s="1467"/>
      <c r="G539" s="1467"/>
      <c r="H539" s="1468"/>
      <c r="I539" s="40" t="s">
        <v>1357</v>
      </c>
      <c r="J539" s="40"/>
      <c r="K539" s="40"/>
      <c r="L539" s="40"/>
      <c r="M539" s="40"/>
      <c r="N539" s="40"/>
      <c r="O539" s="40"/>
      <c r="P539" s="40"/>
      <c r="Q539" s="40"/>
      <c r="R539" s="40"/>
      <c r="S539" s="40"/>
      <c r="T539" s="40"/>
      <c r="U539" s="40"/>
      <c r="V539" s="40"/>
      <c r="W539" s="40"/>
      <c r="X539" s="40"/>
      <c r="Y539" s="40"/>
      <c r="Z539" s="40"/>
      <c r="AA539" s="40"/>
      <c r="AB539" s="40"/>
      <c r="AC539" s="1443" t="s">
        <v>826</v>
      </c>
      <c r="AD539" s="1444"/>
      <c r="AE539" s="1444"/>
      <c r="AF539" s="1444"/>
      <c r="AG539" s="30" t="s">
        <v>1324</v>
      </c>
      <c r="AH539" s="1492"/>
      <c r="AI539" s="1492"/>
      <c r="AJ539" s="1492"/>
      <c r="AK539" s="1493"/>
      <c r="AZ539" s="3"/>
      <c r="BA539" s="3"/>
      <c r="BB539" s="3"/>
      <c r="BC539" s="3"/>
      <c r="BD539" s="3"/>
      <c r="BE539" s="3"/>
      <c r="BF539" s="3"/>
      <c r="BG539" s="3"/>
      <c r="BH539" s="3"/>
      <c r="BI539" s="3"/>
      <c r="BJ539" s="3"/>
      <c r="BK539" s="3"/>
      <c r="BL539" s="3"/>
      <c r="BM539" s="3"/>
      <c r="BN539" s="3" t="s">
        <v>1369</v>
      </c>
    </row>
    <row r="540" spans="2:66" ht="12.95" customHeight="1">
      <c r="B540" s="1623"/>
      <c r="C540" s="1467"/>
      <c r="D540" s="1467"/>
      <c r="E540" s="1467"/>
      <c r="F540" s="1467"/>
      <c r="G540" s="1467"/>
      <c r="H540" s="1468"/>
      <c r="I540" s="34" t="s">
        <v>1359</v>
      </c>
      <c r="J540" s="34"/>
      <c r="K540" s="34"/>
      <c r="L540" s="34"/>
      <c r="M540" s="34"/>
      <c r="N540" s="34"/>
      <c r="O540" s="1710" t="s">
        <v>1335</v>
      </c>
      <c r="P540" s="1709"/>
      <c r="Q540" s="1709"/>
      <c r="R540" s="1709"/>
      <c r="S540" s="1709"/>
      <c r="T540" s="1709"/>
      <c r="U540" s="1709"/>
      <c r="V540" s="1709"/>
      <c r="W540" s="1709"/>
      <c r="X540" s="1709"/>
      <c r="Y540" s="1709"/>
      <c r="Z540" s="1709"/>
      <c r="AA540" s="1709"/>
      <c r="AC540" s="1443" t="s">
        <v>826</v>
      </c>
      <c r="AD540" s="1444"/>
      <c r="AE540" s="1444"/>
      <c r="AF540" s="1444"/>
      <c r="AG540" s="12" t="s">
        <v>1324</v>
      </c>
      <c r="AH540" s="1492"/>
      <c r="AI540" s="1492"/>
      <c r="AJ540" s="1492"/>
      <c r="AK540" s="1493"/>
      <c r="AZ540" s="3"/>
      <c r="BA540" s="3"/>
      <c r="BB540" s="3"/>
      <c r="BC540" s="3"/>
      <c r="BD540" s="3"/>
      <c r="BE540" s="3"/>
      <c r="BF540" s="3"/>
      <c r="BG540" s="3"/>
      <c r="BH540" s="3"/>
      <c r="BI540" s="3"/>
      <c r="BJ540" s="3"/>
      <c r="BK540" s="3"/>
      <c r="BL540" s="3"/>
      <c r="BM540" s="3"/>
      <c r="BN540" s="3" t="s">
        <v>1370</v>
      </c>
    </row>
    <row r="541" spans="2:66" ht="12.95" customHeight="1">
      <c r="B541" s="1623"/>
      <c r="C541" s="1467"/>
      <c r="D541" s="1467"/>
      <c r="E541" s="1467"/>
      <c r="F541" s="1467"/>
      <c r="G541" s="1467"/>
      <c r="H541" s="1468"/>
      <c r="I541" t="s">
        <v>44</v>
      </c>
      <c r="AC541" s="1443" t="s">
        <v>826</v>
      </c>
      <c r="AD541" s="1444"/>
      <c r="AE541" s="1444"/>
      <c r="AF541" s="1444"/>
      <c r="AG541" s="30" t="s">
        <v>1324</v>
      </c>
      <c r="AH541" s="1492"/>
      <c r="AI541" s="1492"/>
      <c r="AJ541" s="1492"/>
      <c r="AK541" s="1493"/>
      <c r="AZ541" s="3"/>
      <c r="BA541" s="3"/>
      <c r="BB541" s="3"/>
      <c r="BC541" s="3"/>
      <c r="BD541" s="3"/>
      <c r="BE541" s="3"/>
      <c r="BF541" s="3"/>
      <c r="BG541" s="3"/>
      <c r="BH541" s="3"/>
      <c r="BI541" s="3"/>
      <c r="BJ541" s="3"/>
      <c r="BK541" s="3"/>
      <c r="BL541" s="3"/>
      <c r="BM541" s="3"/>
      <c r="BN541" s="3" t="s">
        <v>1371</v>
      </c>
    </row>
    <row r="542" spans="2:66" ht="12.95" customHeight="1">
      <c r="B542" s="1623"/>
      <c r="C542" s="1467"/>
      <c r="D542" s="1467"/>
      <c r="E542" s="1467"/>
      <c r="F542" s="1467"/>
      <c r="G542" s="1467"/>
      <c r="H542" s="1468"/>
      <c r="I542" s="40" t="s">
        <v>1357</v>
      </c>
      <c r="J542" s="40"/>
      <c r="K542" s="40"/>
      <c r="L542" s="40"/>
      <c r="M542" s="40"/>
      <c r="N542" s="40"/>
      <c r="O542" s="40"/>
      <c r="P542" s="40"/>
      <c r="Q542" s="40"/>
      <c r="R542" s="40"/>
      <c r="S542" s="40"/>
      <c r="T542" s="40"/>
      <c r="U542" s="40"/>
      <c r="V542" s="40"/>
      <c r="W542" s="40"/>
      <c r="X542" s="40"/>
      <c r="Y542" s="40"/>
      <c r="Z542" s="40"/>
      <c r="AA542" s="40"/>
      <c r="AB542" s="40"/>
      <c r="AC542" s="1443" t="s">
        <v>826</v>
      </c>
      <c r="AD542" s="1444"/>
      <c r="AE542" s="1444"/>
      <c r="AF542" s="1444"/>
      <c r="AG542" s="12" t="s">
        <v>1324</v>
      </c>
      <c r="AH542" s="1492"/>
      <c r="AI542" s="1492"/>
      <c r="AJ542" s="1492"/>
      <c r="AK542" s="1493"/>
      <c r="AZ542" s="3"/>
      <c r="BA542" s="3"/>
      <c r="BB542" s="3"/>
      <c r="BC542" s="3"/>
      <c r="BD542" s="3"/>
      <c r="BE542" s="3"/>
      <c r="BF542" s="3"/>
      <c r="BG542" s="3"/>
      <c r="BH542" s="3"/>
      <c r="BI542" s="3"/>
      <c r="BJ542" s="3"/>
      <c r="BK542" s="3"/>
      <c r="BL542" s="3"/>
      <c r="BM542" s="3"/>
      <c r="BN542" s="3" t="s">
        <v>1372</v>
      </c>
    </row>
    <row r="543" spans="2:66" ht="12.95" customHeight="1">
      <c r="B543" s="1623"/>
      <c r="C543" s="1467"/>
      <c r="D543" s="1467"/>
      <c r="E543" s="1467"/>
      <c r="F543" s="1467"/>
      <c r="G543" s="1467"/>
      <c r="H543" s="1468"/>
      <c r="I543" s="34" t="s">
        <v>1359</v>
      </c>
      <c r="J543" s="34"/>
      <c r="K543" s="34"/>
      <c r="L543" s="34"/>
      <c r="M543" s="34"/>
      <c r="N543" s="34"/>
      <c r="O543" s="1710" t="s">
        <v>1335</v>
      </c>
      <c r="P543" s="1709"/>
      <c r="Q543" s="1709"/>
      <c r="R543" s="1709"/>
      <c r="S543" s="1709"/>
      <c r="T543" s="1709"/>
      <c r="U543" s="1709"/>
      <c r="V543" s="1709"/>
      <c r="W543" s="1709"/>
      <c r="X543" s="1709"/>
      <c r="Y543" s="1709"/>
      <c r="Z543" s="1709"/>
      <c r="AA543" s="1709"/>
      <c r="AC543" s="1443" t="s">
        <v>826</v>
      </c>
      <c r="AD543" s="1444"/>
      <c r="AE543" s="1444"/>
      <c r="AF543" s="1444"/>
      <c r="AG543" s="30" t="s">
        <v>1324</v>
      </c>
      <c r="AH543" s="1492"/>
      <c r="AI543" s="1492"/>
      <c r="AJ543" s="1492"/>
      <c r="AK543" s="1493"/>
      <c r="AZ543" s="3"/>
      <c r="BA543" s="3"/>
      <c r="BB543" s="3"/>
      <c r="BC543" s="3"/>
      <c r="BD543" s="3"/>
      <c r="BE543" s="3"/>
      <c r="BF543" s="3"/>
      <c r="BG543" s="3"/>
      <c r="BH543" s="3"/>
      <c r="BI543" s="3"/>
      <c r="BJ543" s="3"/>
      <c r="BK543" s="3"/>
      <c r="BL543" s="3"/>
      <c r="BM543" s="3"/>
      <c r="BN543" s="3" t="s">
        <v>1373</v>
      </c>
    </row>
    <row r="544" spans="2:66" ht="12.95" customHeight="1">
      <c r="B544" s="1623"/>
      <c r="C544" s="1467"/>
      <c r="D544" s="1467"/>
      <c r="E544" s="1467"/>
      <c r="F544" s="1467"/>
      <c r="G544" s="1467"/>
      <c r="H544" s="1468"/>
      <c r="I544" t="s">
        <v>44</v>
      </c>
      <c r="AC544" s="1443" t="s">
        <v>826</v>
      </c>
      <c r="AD544" s="1444"/>
      <c r="AE544" s="1444"/>
      <c r="AF544" s="1444"/>
      <c r="AG544" s="12" t="s">
        <v>1324</v>
      </c>
      <c r="AH544" s="1492"/>
      <c r="AI544" s="1492"/>
      <c r="AJ544" s="1492"/>
      <c r="AK544" s="1493"/>
      <c r="AZ544" s="3"/>
      <c r="BA544" s="3"/>
      <c r="BB544" s="3"/>
      <c r="BC544" s="3"/>
      <c r="BD544" s="3"/>
      <c r="BE544" s="3"/>
      <c r="BF544" s="3"/>
      <c r="BG544" s="3"/>
      <c r="BH544" s="3"/>
      <c r="BI544" s="3"/>
      <c r="BJ544" s="3"/>
      <c r="BK544" s="3"/>
      <c r="BL544" s="3"/>
      <c r="BM544" s="3"/>
      <c r="BN544" s="3" t="s">
        <v>1374</v>
      </c>
    </row>
    <row r="545" spans="1:66" ht="12.95" customHeight="1">
      <c r="B545" s="1623"/>
      <c r="C545" s="1467"/>
      <c r="D545" s="1467"/>
      <c r="E545" s="1467"/>
      <c r="F545" s="1467"/>
      <c r="G545" s="1467"/>
      <c r="H545" s="1468"/>
      <c r="I545" s="40" t="s">
        <v>1357</v>
      </c>
      <c r="J545" s="40"/>
      <c r="K545" s="40"/>
      <c r="L545" s="40"/>
      <c r="M545" s="40"/>
      <c r="N545" s="40"/>
      <c r="O545" s="40"/>
      <c r="P545" s="40"/>
      <c r="Q545" s="40"/>
      <c r="R545" s="40"/>
      <c r="S545" s="40"/>
      <c r="T545" s="40"/>
      <c r="U545" s="40"/>
      <c r="V545" s="40"/>
      <c r="W545" s="40"/>
      <c r="X545" s="40"/>
      <c r="Y545" s="40"/>
      <c r="Z545" s="40"/>
      <c r="AA545" s="40"/>
      <c r="AB545" s="40"/>
      <c r="AC545" s="1443" t="s">
        <v>826</v>
      </c>
      <c r="AD545" s="1444"/>
      <c r="AE545" s="1444"/>
      <c r="AF545" s="1444"/>
      <c r="AG545" s="30" t="s">
        <v>1324</v>
      </c>
      <c r="AH545" s="1492"/>
      <c r="AI545" s="1492"/>
      <c r="AJ545" s="1492"/>
      <c r="AK545" s="1493"/>
      <c r="AZ545" s="3"/>
      <c r="BA545" s="3"/>
      <c r="BB545" s="3"/>
      <c r="BC545" s="3"/>
      <c r="BD545" s="3"/>
      <c r="BE545" s="3"/>
      <c r="BF545" s="3"/>
      <c r="BG545" s="3"/>
      <c r="BH545" s="3"/>
      <c r="BI545" s="3"/>
      <c r="BJ545" s="3"/>
      <c r="BK545" s="3"/>
      <c r="BL545" s="3"/>
      <c r="BM545" s="3"/>
      <c r="BN545" s="3" t="s">
        <v>1375</v>
      </c>
    </row>
    <row r="546" spans="1:66" ht="12.95" customHeight="1">
      <c r="B546" s="1623"/>
      <c r="C546" s="1467"/>
      <c r="D546" s="1467"/>
      <c r="E546" s="1467"/>
      <c r="F546" s="1467"/>
      <c r="G546" s="1467"/>
      <c r="H546" s="1468"/>
      <c r="I546" s="34" t="s">
        <v>1376</v>
      </c>
      <c r="J546" s="34"/>
      <c r="K546" s="34"/>
      <c r="L546" s="34"/>
      <c r="M546" s="34"/>
      <c r="N546" s="34"/>
      <c r="O546" s="34"/>
      <c r="P546" s="34"/>
      <c r="Q546" s="34"/>
      <c r="R546" s="34"/>
      <c r="S546" s="34"/>
      <c r="T546" s="34"/>
      <c r="U546" s="34"/>
      <c r="V546" s="34"/>
      <c r="W546" s="34"/>
      <c r="AC546" s="1443">
        <v>11</v>
      </c>
      <c r="AD546" s="1444"/>
      <c r="AE546" s="1444"/>
      <c r="AF546" s="1444"/>
      <c r="AG546" s="30" t="s">
        <v>1324</v>
      </c>
      <c r="AH546" s="1492">
        <v>2026</v>
      </c>
      <c r="AI546" s="1492"/>
      <c r="AJ546" s="1492"/>
      <c r="AK546" s="1493"/>
      <c r="AZ546" s="3"/>
      <c r="BA546" s="3"/>
      <c r="BB546" s="3"/>
      <c r="BC546" s="3"/>
      <c r="BD546" s="3"/>
      <c r="BE546" s="3"/>
      <c r="BF546" s="3"/>
      <c r="BG546" s="3"/>
      <c r="BH546" s="3"/>
      <c r="BI546" s="3"/>
      <c r="BJ546" s="3"/>
      <c r="BK546" s="3"/>
      <c r="BL546" s="3"/>
      <c r="BM546" s="3"/>
      <c r="BN546" s="3"/>
    </row>
    <row r="547" spans="1:66" ht="12.95" customHeight="1">
      <c r="B547" s="1623"/>
      <c r="C547" s="1467"/>
      <c r="D547" s="1467"/>
      <c r="E547" s="1467"/>
      <c r="F547" s="1467"/>
      <c r="G547" s="1467"/>
      <c r="H547" s="1468"/>
      <c r="I547" t="s">
        <v>1377</v>
      </c>
      <c r="AC547" s="1443">
        <v>11</v>
      </c>
      <c r="AD547" s="1444"/>
      <c r="AE547" s="1444"/>
      <c r="AF547" s="1444"/>
      <c r="AG547" s="12" t="s">
        <v>1324</v>
      </c>
      <c r="AH547" s="1492">
        <v>2026</v>
      </c>
      <c r="AI547" s="1492"/>
      <c r="AJ547" s="1492"/>
      <c r="AK547" s="1493"/>
      <c r="AZ547" s="3"/>
      <c r="BA547" s="3"/>
      <c r="BB547" s="3"/>
      <c r="BC547" s="3"/>
      <c r="BD547" s="3"/>
      <c r="BE547" s="3"/>
      <c r="BF547" s="3"/>
      <c r="BG547" s="3"/>
      <c r="BH547" s="3"/>
      <c r="BI547" s="3"/>
      <c r="BJ547" s="3"/>
      <c r="BK547" s="3"/>
      <c r="BL547" s="3"/>
      <c r="BM547" s="3"/>
      <c r="BN547" s="3"/>
    </row>
    <row r="548" spans="1:66" ht="12.95" customHeight="1">
      <c r="B548" s="1623"/>
      <c r="C548" s="1467"/>
      <c r="D548" s="1467"/>
      <c r="E548" s="1467"/>
      <c r="F548" s="1467"/>
      <c r="G548" s="1467"/>
      <c r="H548" s="1468"/>
      <c r="I548" t="s">
        <v>1378</v>
      </c>
      <c r="AC548" s="1443">
        <v>11</v>
      </c>
      <c r="AD548" s="1444"/>
      <c r="AE548" s="1444"/>
      <c r="AF548" s="1444"/>
      <c r="AG548" s="30" t="s">
        <v>1324</v>
      </c>
      <c r="AH548" s="1492">
        <v>2027</v>
      </c>
      <c r="AI548" s="1492"/>
      <c r="AJ548" s="1492"/>
      <c r="AK548" s="1493"/>
      <c r="AZ548" s="3"/>
      <c r="BA548" s="3"/>
      <c r="BB548" s="3"/>
      <c r="BC548" s="3"/>
      <c r="BD548" s="3"/>
      <c r="BE548" s="3"/>
      <c r="BF548" s="3"/>
      <c r="BG548" s="3"/>
      <c r="BH548" s="3"/>
      <c r="BI548" s="3"/>
      <c r="BJ548" s="3"/>
      <c r="BK548" s="3"/>
      <c r="BL548" s="3"/>
      <c r="BM548" s="3"/>
      <c r="BN548" s="3"/>
    </row>
    <row r="549" spans="1:66" ht="12.95" customHeight="1">
      <c r="B549" s="1623"/>
      <c r="C549" s="1467"/>
      <c r="D549" s="1467"/>
      <c r="E549" s="1467"/>
      <c r="F549" s="1467"/>
      <c r="G549" s="1467"/>
      <c r="H549" s="1468"/>
      <c r="I549" t="s">
        <v>1379</v>
      </c>
      <c r="AC549" s="1443">
        <v>11</v>
      </c>
      <c r="AD549" s="1444"/>
      <c r="AE549" s="1444"/>
      <c r="AF549" s="1444"/>
      <c r="AG549" s="30" t="s">
        <v>1324</v>
      </c>
      <c r="AH549" s="1492">
        <v>2027</v>
      </c>
      <c r="AI549" s="1492"/>
      <c r="AJ549" s="1492"/>
      <c r="AK549" s="1493"/>
      <c r="AZ549" s="3"/>
      <c r="BA549" s="3"/>
      <c r="BB549" s="3"/>
      <c r="BC549" s="3"/>
      <c r="BD549" s="3"/>
      <c r="BE549" s="3"/>
      <c r="BF549" s="3"/>
      <c r="BG549" s="3"/>
      <c r="BH549" s="3"/>
      <c r="BI549" s="3"/>
      <c r="BJ549" s="3"/>
      <c r="BK549" s="3"/>
      <c r="BL549" s="3"/>
      <c r="BM549" s="3"/>
      <c r="BN549" s="3"/>
    </row>
    <row r="550" spans="1:66" ht="12.95" customHeight="1">
      <c r="B550" s="1624"/>
      <c r="C550" s="1469"/>
      <c r="D550" s="1469"/>
      <c r="E550" s="1469"/>
      <c r="F550" s="1469"/>
      <c r="G550" s="1469"/>
      <c r="H550" s="1470"/>
      <c r="I550" s="40" t="s">
        <v>1380</v>
      </c>
      <c r="J550" s="40"/>
      <c r="K550" s="40"/>
      <c r="L550" s="40"/>
      <c r="M550" s="40"/>
      <c r="N550" s="40"/>
      <c r="O550" s="40"/>
      <c r="P550" s="40"/>
      <c r="Q550" s="40"/>
      <c r="R550" s="40"/>
      <c r="S550" s="40"/>
      <c r="T550" s="40"/>
      <c r="U550" s="40"/>
      <c r="V550" s="40"/>
      <c r="W550" s="40"/>
      <c r="X550" s="40"/>
      <c r="Y550" s="40"/>
      <c r="Z550" s="40"/>
      <c r="AA550" s="40"/>
      <c r="AB550" s="40"/>
      <c r="AC550" s="1443">
        <v>12</v>
      </c>
      <c r="AD550" s="1444"/>
      <c r="AE550" s="1444"/>
      <c r="AF550" s="1444"/>
      <c r="AG550" s="30" t="s">
        <v>1324</v>
      </c>
      <c r="AH550" s="1492">
        <v>2027</v>
      </c>
      <c r="AI550" s="1492"/>
      <c r="AJ550" s="1492"/>
      <c r="AK550" s="1493"/>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28" t="s">
        <v>1381</v>
      </c>
      <c r="B552" s="1228"/>
      <c r="C552" s="1228"/>
      <c r="D552" s="1228"/>
      <c r="E552" s="1228"/>
      <c r="F552" s="1228"/>
      <c r="G552" s="1228"/>
      <c r="H552" s="1228"/>
      <c r="I552" s="1228"/>
      <c r="J552" s="1228"/>
      <c r="K552" s="1228"/>
      <c r="L552" s="1228"/>
      <c r="M552" s="1228"/>
      <c r="N552" s="1228"/>
      <c r="O552" s="1228"/>
      <c r="P552" s="1228"/>
      <c r="Q552" s="1228"/>
      <c r="R552" s="1228"/>
      <c r="S552" s="1228"/>
      <c r="T552" s="1228"/>
      <c r="U552" s="1228"/>
      <c r="V552" s="1228"/>
      <c r="W552" s="1228"/>
      <c r="X552" s="1228"/>
      <c r="Y552" s="1228"/>
      <c r="Z552" s="1228"/>
      <c r="AA552" s="1228"/>
      <c r="AB552" s="1228"/>
      <c r="AC552" s="1228"/>
      <c r="AD552" s="1228"/>
      <c r="AE552" s="1228"/>
      <c r="AF552" s="1228"/>
      <c r="AG552" s="1228"/>
      <c r="AH552" s="1228"/>
      <c r="AI552" s="1228"/>
      <c r="AJ552" s="1228"/>
      <c r="AK552" s="1228"/>
      <c r="AL552" s="1228"/>
      <c r="AM552" s="1228"/>
      <c r="AN552" s="1228"/>
      <c r="AO552" s="1228"/>
      <c r="AP552" s="1228"/>
      <c r="AQ552" s="1228"/>
      <c r="AR552" s="1228"/>
      <c r="AS552" s="1228"/>
      <c r="AT552" s="1228"/>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28"/>
      <c r="B553" s="1228"/>
      <c r="C553" s="1228"/>
      <c r="D553" s="1228"/>
      <c r="E553" s="1228"/>
      <c r="F553" s="1228"/>
      <c r="G553" s="1228"/>
      <c r="H553" s="1228"/>
      <c r="I553" s="1228"/>
      <c r="J553" s="1228"/>
      <c r="K553" s="1228"/>
      <c r="L553" s="1228"/>
      <c r="M553" s="1228"/>
      <c r="N553" s="1228"/>
      <c r="O553" s="1228"/>
      <c r="P553" s="1228"/>
      <c r="Q553" s="1228"/>
      <c r="R553" s="1228"/>
      <c r="S553" s="1228"/>
      <c r="T553" s="1228"/>
      <c r="U553" s="1228"/>
      <c r="V553" s="1228"/>
      <c r="W553" s="1228"/>
      <c r="X553" s="1228"/>
      <c r="Y553" s="1228"/>
      <c r="Z553" s="1228"/>
      <c r="AA553" s="1228"/>
      <c r="AB553" s="1228"/>
      <c r="AC553" s="1228"/>
      <c r="AD553" s="1228"/>
      <c r="AE553" s="1228"/>
      <c r="AF553" s="1228"/>
      <c r="AG553" s="1228"/>
      <c r="AH553" s="1228"/>
      <c r="AI553" s="1228"/>
      <c r="AJ553" s="1228"/>
      <c r="AK553" s="1228"/>
      <c r="AL553" s="1228"/>
      <c r="AM553" s="1228"/>
      <c r="AN553" s="1228"/>
      <c r="AO553" s="1228"/>
      <c r="AP553" s="1228"/>
      <c r="AQ553" s="1228"/>
      <c r="AR553" s="1228"/>
      <c r="AS553" s="1228"/>
      <c r="AT553" s="122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885</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1382</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622" t="s">
        <v>1383</v>
      </c>
      <c r="C559" s="1465"/>
      <c r="D559" s="1465"/>
      <c r="E559" s="1465"/>
      <c r="F559" s="1465"/>
      <c r="G559" s="1465"/>
      <c r="H559" s="1465"/>
      <c r="I559" s="1465"/>
      <c r="J559" s="1465"/>
      <c r="K559" s="1465"/>
      <c r="L559" s="1466"/>
      <c r="M559" s="1622" t="s">
        <v>1384</v>
      </c>
      <c r="N559" s="1465"/>
      <c r="O559" s="1465"/>
      <c r="P559" s="1466"/>
      <c r="Q559" s="1622" t="s">
        <v>1385</v>
      </c>
      <c r="R559" s="1465"/>
      <c r="S559" s="1466"/>
      <c r="T559" s="1622" t="s">
        <v>1386</v>
      </c>
      <c r="U559" s="1465"/>
      <c r="V559" s="1466"/>
      <c r="W559" s="1622" t="s">
        <v>1387</v>
      </c>
      <c r="X559" s="1465"/>
      <c r="Y559" s="1466"/>
      <c r="Z559" s="1622" t="s">
        <v>1388</v>
      </c>
      <c r="AA559" s="1465"/>
      <c r="AB559" s="1465"/>
      <c r="AC559" s="1465"/>
      <c r="AD559" s="1466"/>
      <c r="AE559" s="1622" t="s">
        <v>1389</v>
      </c>
      <c r="AF559" s="1465"/>
      <c r="AG559" s="1465"/>
      <c r="AH559" s="1466"/>
      <c r="AI559" s="1622" t="s">
        <v>1390</v>
      </c>
      <c r="AJ559" s="1465"/>
      <c r="AK559" s="1465"/>
      <c r="AL559" s="1466"/>
      <c r="AM559" s="1622" t="s">
        <v>1391</v>
      </c>
      <c r="AN559" s="1465"/>
      <c r="AO559" s="1465"/>
      <c r="AP559" s="1465"/>
      <c r="AQ559" s="1465"/>
      <c r="AR559" s="1465"/>
      <c r="AS559" s="1466"/>
      <c r="BB559" s="3"/>
      <c r="BC559" s="3"/>
      <c r="BD559" s="3"/>
      <c r="BE559" s="3"/>
      <c r="BF559" s="3"/>
      <c r="BG559" s="3"/>
      <c r="BH559" s="3" t="s">
        <v>82</v>
      </c>
      <c r="BI559" s="3" t="str">
        <f>AG665</f>
        <v>Yes</v>
      </c>
    </row>
    <row r="560" spans="1:66" ht="12.95" customHeight="1">
      <c r="B560" s="1623"/>
      <c r="C560" s="1467"/>
      <c r="D560" s="1467"/>
      <c r="E560" s="1467"/>
      <c r="F560" s="1467"/>
      <c r="G560" s="1467"/>
      <c r="H560" s="1467"/>
      <c r="I560" s="1467"/>
      <c r="J560" s="1467"/>
      <c r="K560" s="1467"/>
      <c r="L560" s="1468"/>
      <c r="M560" s="1623"/>
      <c r="N560" s="1467"/>
      <c r="O560" s="1467"/>
      <c r="P560" s="1468"/>
      <c r="Q560" s="1623"/>
      <c r="R560" s="1467"/>
      <c r="S560" s="1468"/>
      <c r="T560" s="1623"/>
      <c r="U560" s="1467"/>
      <c r="V560" s="1468"/>
      <c r="W560" s="1623"/>
      <c r="X560" s="1467"/>
      <c r="Y560" s="1468"/>
      <c r="Z560" s="1623"/>
      <c r="AA560" s="1467"/>
      <c r="AB560" s="1467"/>
      <c r="AC560" s="1467"/>
      <c r="AD560" s="1468"/>
      <c r="AE560" s="1623"/>
      <c r="AF560" s="1467"/>
      <c r="AG560" s="1467"/>
      <c r="AH560" s="1468"/>
      <c r="AI560" s="1623"/>
      <c r="AJ560" s="1467"/>
      <c r="AK560" s="1467"/>
      <c r="AL560" s="1468"/>
      <c r="AM560" s="1623"/>
      <c r="AN560" s="1467"/>
      <c r="AO560" s="1467"/>
      <c r="AP560" s="1467"/>
      <c r="AQ560" s="1467"/>
      <c r="AR560" s="1467"/>
      <c r="AS560" s="1468"/>
      <c r="AU560" s="1030"/>
      <c r="BB560" s="3"/>
      <c r="BC560" s="3"/>
      <c r="BD560" s="3"/>
      <c r="BE560" s="3"/>
      <c r="BF560" s="3"/>
      <c r="BG560" s="3"/>
      <c r="BH560" s="3"/>
      <c r="BI560" s="3"/>
    </row>
    <row r="561" spans="1:61" ht="12.95" customHeight="1">
      <c r="B561" s="1624"/>
      <c r="C561" s="1469"/>
      <c r="D561" s="1469"/>
      <c r="E561" s="1469"/>
      <c r="F561" s="1469"/>
      <c r="G561" s="1469"/>
      <c r="H561" s="1469"/>
      <c r="I561" s="1469"/>
      <c r="J561" s="1469"/>
      <c r="K561" s="1469"/>
      <c r="L561" s="1470"/>
      <c r="M561" s="1624"/>
      <c r="N561" s="1469"/>
      <c r="O561" s="1469"/>
      <c r="P561" s="1470"/>
      <c r="Q561" s="1624"/>
      <c r="R561" s="1469"/>
      <c r="S561" s="1470"/>
      <c r="T561" s="1624"/>
      <c r="U561" s="1469"/>
      <c r="V561" s="1470"/>
      <c r="W561" s="1624"/>
      <c r="X561" s="1469"/>
      <c r="Y561" s="1470"/>
      <c r="Z561" s="1624"/>
      <c r="AA561" s="1469"/>
      <c r="AB561" s="1469"/>
      <c r="AC561" s="1469"/>
      <c r="AD561" s="1470"/>
      <c r="AE561" s="1624"/>
      <c r="AF561" s="1469"/>
      <c r="AG561" s="1469"/>
      <c r="AH561" s="1470"/>
      <c r="AI561" s="1624"/>
      <c r="AJ561" s="1469"/>
      <c r="AK561" s="1469"/>
      <c r="AL561" s="1470"/>
      <c r="AM561" s="1624"/>
      <c r="AN561" s="1469"/>
      <c r="AO561" s="1469"/>
      <c r="AP561" s="1469"/>
      <c r="AQ561" s="1469"/>
      <c r="AR561" s="1469"/>
      <c r="AS561" s="1470"/>
      <c r="AU561" s="1030"/>
      <c r="BB561" s="3"/>
      <c r="BC561" s="3"/>
      <c r="BD561" s="3"/>
      <c r="BE561" s="3"/>
      <c r="BF561" s="3"/>
      <c r="BG561" s="3"/>
      <c r="BH561" s="3"/>
      <c r="BI561" s="3"/>
    </row>
    <row r="562" spans="1:61" ht="12.95" customHeight="1">
      <c r="B562" s="43" t="s">
        <v>18</v>
      </c>
      <c r="C562" s="1419" t="s">
        <v>1392</v>
      </c>
      <c r="D562" s="1419"/>
      <c r="E562" s="1419"/>
      <c r="F562" s="1419"/>
      <c r="G562" s="1419"/>
      <c r="H562" s="1419"/>
      <c r="I562" s="1419"/>
      <c r="J562" s="1419"/>
      <c r="K562" s="1419"/>
      <c r="L562" s="1419"/>
      <c r="M562" s="1419" t="s">
        <v>1366</v>
      </c>
      <c r="N562" s="1419"/>
      <c r="O562" s="1419"/>
      <c r="P562" s="1419"/>
      <c r="Q562" s="1453">
        <v>24</v>
      </c>
      <c r="R562" s="1453"/>
      <c r="S562" s="1454"/>
      <c r="T562" s="1452">
        <v>24</v>
      </c>
      <c r="U562" s="1453"/>
      <c r="V562" s="1454"/>
      <c r="W562" s="1445">
        <v>5.7000000000000002E-2</v>
      </c>
      <c r="X562" s="1446"/>
      <c r="Y562" s="1447"/>
      <c r="Z562" s="1451" t="s">
        <v>1393</v>
      </c>
      <c r="AA562" s="1451"/>
      <c r="AB562" s="1451"/>
      <c r="AC562" s="1451"/>
      <c r="AD562" s="1451"/>
      <c r="AE562" s="1440">
        <v>1</v>
      </c>
      <c r="AF562" s="1441"/>
      <c r="AG562" s="1441"/>
      <c r="AH562" s="1442"/>
      <c r="AI562" s="1436"/>
      <c r="AJ562" s="1437"/>
      <c r="AK562" s="1437"/>
      <c r="AL562" s="1438"/>
      <c r="AM562" s="1480">
        <v>5000000</v>
      </c>
      <c r="AN562" s="1481"/>
      <c r="AO562" s="1481"/>
      <c r="AP562" s="1481"/>
      <c r="AQ562" s="1481"/>
      <c r="AR562" s="1481"/>
      <c r="AS562" s="1482"/>
      <c r="AT562" s="1031"/>
      <c r="AU562" s="1030"/>
      <c r="BB562" s="3"/>
      <c r="BC562" s="3"/>
      <c r="BD562" s="3"/>
      <c r="BE562" s="3"/>
      <c r="BF562" s="3"/>
      <c r="BG562" s="3"/>
      <c r="BH562" s="3"/>
      <c r="BI562" s="3"/>
    </row>
    <row r="563" spans="1:61" ht="12.95" customHeight="1">
      <c r="B563" s="44" t="s">
        <v>31</v>
      </c>
      <c r="C563" s="1448" t="s">
        <v>1394</v>
      </c>
      <c r="D563" s="1448"/>
      <c r="E563" s="1448"/>
      <c r="F563" s="1448"/>
      <c r="G563" s="1448"/>
      <c r="H563" s="1448"/>
      <c r="I563" s="1448"/>
      <c r="J563" s="1448"/>
      <c r="K563" s="1448"/>
      <c r="L563" s="1448"/>
      <c r="M563" s="1419" t="s">
        <v>1365</v>
      </c>
      <c r="N563" s="1419"/>
      <c r="O563" s="1419"/>
      <c r="P563" s="1419"/>
      <c r="Q563" s="1452">
        <v>24</v>
      </c>
      <c r="R563" s="1453"/>
      <c r="S563" s="1454"/>
      <c r="T563" s="1452">
        <v>24</v>
      </c>
      <c r="U563" s="1453"/>
      <c r="V563" s="1454"/>
      <c r="W563" s="1445">
        <v>5.9499999999999997E-2</v>
      </c>
      <c r="X563" s="1446"/>
      <c r="Y563" s="1447"/>
      <c r="Z563" s="1451" t="s">
        <v>1393</v>
      </c>
      <c r="AA563" s="1451"/>
      <c r="AB563" s="1451"/>
      <c r="AC563" s="1451"/>
      <c r="AD563" s="1451"/>
      <c r="AE563" s="1440">
        <v>2</v>
      </c>
      <c r="AF563" s="1441"/>
      <c r="AG563" s="1441"/>
      <c r="AH563" s="1442"/>
      <c r="AI563" s="1436"/>
      <c r="AJ563" s="1437"/>
      <c r="AK563" s="1437"/>
      <c r="AL563" s="1438"/>
      <c r="AM563" s="1480">
        <v>2000000</v>
      </c>
      <c r="AN563" s="1481"/>
      <c r="AO563" s="1481"/>
      <c r="AP563" s="1481"/>
      <c r="AQ563" s="1481"/>
      <c r="AR563" s="1481"/>
      <c r="AS563" s="1482"/>
      <c r="AT563" s="1031" t="str">
        <f>IF(AND(NOT(C562=""),C563="",NOT(C564="")),"!","")</f>
        <v/>
      </c>
      <c r="AU563" s="1030"/>
      <c r="BB563" s="3"/>
      <c r="BC563" s="3"/>
      <c r="BD563" s="3"/>
      <c r="BE563" s="3"/>
      <c r="BF563" s="3"/>
      <c r="BG563" s="3"/>
      <c r="BH563" s="3"/>
      <c r="BI563" s="3"/>
    </row>
    <row r="564" spans="1:61" ht="12.95" customHeight="1">
      <c r="B564" s="44" t="s">
        <v>39</v>
      </c>
      <c r="C564" s="1448" t="s">
        <v>673</v>
      </c>
      <c r="D564" s="1448"/>
      <c r="E564" s="1448"/>
      <c r="F564" s="1448"/>
      <c r="G564" s="1448"/>
      <c r="H564" s="1448"/>
      <c r="I564" s="1448"/>
      <c r="J564" s="1448"/>
      <c r="K564" s="1448"/>
      <c r="L564" s="1448"/>
      <c r="M564" s="1419" t="s">
        <v>1363</v>
      </c>
      <c r="N564" s="1419"/>
      <c r="O564" s="1419"/>
      <c r="P564" s="1419"/>
      <c r="Q564" s="1452">
        <v>660</v>
      </c>
      <c r="R564" s="1453"/>
      <c r="S564" s="1454"/>
      <c r="T564" s="1452">
        <v>660</v>
      </c>
      <c r="U564" s="1453"/>
      <c r="V564" s="1454"/>
      <c r="W564" s="1445">
        <v>0.03</v>
      </c>
      <c r="X564" s="1446"/>
      <c r="Y564" s="1447"/>
      <c r="Z564" s="1451" t="s">
        <v>1393</v>
      </c>
      <c r="AA564" s="1451"/>
      <c r="AB564" s="1451"/>
      <c r="AC564" s="1451"/>
      <c r="AD564" s="1451"/>
      <c r="AE564" s="1440">
        <v>3</v>
      </c>
      <c r="AF564" s="1441"/>
      <c r="AG564" s="1441"/>
      <c r="AH564" s="1442"/>
      <c r="AI564" s="1436"/>
      <c r="AJ564" s="1437"/>
      <c r="AK564" s="1437"/>
      <c r="AL564" s="1438"/>
      <c r="AM564" s="1480">
        <v>8410000</v>
      </c>
      <c r="AN564" s="1481"/>
      <c r="AO564" s="1481"/>
      <c r="AP564" s="1481"/>
      <c r="AQ564" s="1481"/>
      <c r="AR564" s="1481"/>
      <c r="AS564" s="1482"/>
      <c r="AT564" s="1031" t="str">
        <f>IF(AND(NOT(C563=""),C564="",NOT(C565="")),"!","")</f>
        <v/>
      </c>
      <c r="AU564" s="1030"/>
      <c r="BB564" s="3"/>
      <c r="BC564" s="3"/>
      <c r="BD564" s="3"/>
      <c r="BE564" s="3"/>
      <c r="BF564" s="3"/>
      <c r="BG564" s="3"/>
      <c r="BH564" s="3"/>
      <c r="BI564" s="3"/>
    </row>
    <row r="565" spans="1:61" ht="12.95" customHeight="1">
      <c r="B565" s="44" t="s">
        <v>82</v>
      </c>
      <c r="C565" s="1448" t="s">
        <v>1395</v>
      </c>
      <c r="D565" s="1448"/>
      <c r="E565" s="1448"/>
      <c r="F565" s="1448"/>
      <c r="G565" s="1448"/>
      <c r="H565" s="1448"/>
      <c r="I565" s="1448"/>
      <c r="J565" s="1448"/>
      <c r="K565" s="1448"/>
      <c r="L565" s="1448"/>
      <c r="M565" s="1419" t="s">
        <v>1343</v>
      </c>
      <c r="N565" s="1419"/>
      <c r="O565" s="1419"/>
      <c r="P565" s="1419"/>
      <c r="Q565" s="1452"/>
      <c r="R565" s="1453"/>
      <c r="S565" s="1454"/>
      <c r="T565" s="1452"/>
      <c r="U565" s="1453"/>
      <c r="V565" s="1454"/>
      <c r="W565" s="1445">
        <v>0</v>
      </c>
      <c r="X565" s="1446"/>
      <c r="Y565" s="1447"/>
      <c r="Z565" s="1451" t="s">
        <v>826</v>
      </c>
      <c r="AA565" s="1451"/>
      <c r="AB565" s="1451"/>
      <c r="AC565" s="1451"/>
      <c r="AD565" s="1451"/>
      <c r="AE565" s="1440"/>
      <c r="AF565" s="1441"/>
      <c r="AG565" s="1441"/>
      <c r="AH565" s="1442"/>
      <c r="AI565" s="1436"/>
      <c r="AJ565" s="1437"/>
      <c r="AK565" s="1437"/>
      <c r="AL565" s="1438"/>
      <c r="AM565" s="1480">
        <v>1932740</v>
      </c>
      <c r="AN565" s="1481"/>
      <c r="AO565" s="1481"/>
      <c r="AP565" s="1481"/>
      <c r="AQ565" s="1481"/>
      <c r="AR565" s="1481"/>
      <c r="AS565" s="1482"/>
      <c r="AT565" s="1031" t="str">
        <f>IF(AND(NOT(C564=""),C565="",NOT(C566="")),"!","")</f>
        <v/>
      </c>
      <c r="AU565" s="1030"/>
      <c r="BB565" s="3"/>
      <c r="BC565" s="3"/>
      <c r="BD565" s="3"/>
      <c r="BE565" s="3"/>
      <c r="BF565" s="3"/>
      <c r="BG565" s="3"/>
      <c r="BH565" s="3"/>
      <c r="BI565" s="3"/>
    </row>
    <row r="566" spans="1:61" ht="12.95" customHeight="1">
      <c r="B566" s="44" t="s">
        <v>86</v>
      </c>
      <c r="C566" s="1448" t="s">
        <v>1396</v>
      </c>
      <c r="D566" s="1448"/>
      <c r="E566" s="1448"/>
      <c r="F566" s="1448"/>
      <c r="G566" s="1448"/>
      <c r="H566" s="1448"/>
      <c r="I566" s="1448"/>
      <c r="J566" s="1448"/>
      <c r="K566" s="1448"/>
      <c r="L566" s="1448"/>
      <c r="M566" s="1419" t="s">
        <v>1351</v>
      </c>
      <c r="N566" s="1419"/>
      <c r="O566" s="1419"/>
      <c r="P566" s="1419"/>
      <c r="Q566" s="1452"/>
      <c r="R566" s="1453"/>
      <c r="S566" s="1454"/>
      <c r="T566" s="1452"/>
      <c r="U566" s="1453"/>
      <c r="V566" s="1454"/>
      <c r="W566" s="1445">
        <v>0</v>
      </c>
      <c r="X566" s="1446"/>
      <c r="Y566" s="1447"/>
      <c r="Z566" s="1451" t="s">
        <v>826</v>
      </c>
      <c r="AA566" s="1451"/>
      <c r="AB566" s="1451"/>
      <c r="AC566" s="1451"/>
      <c r="AD566" s="1451"/>
      <c r="AE566" s="1440"/>
      <c r="AF566" s="1441"/>
      <c r="AG566" s="1441"/>
      <c r="AH566" s="1442"/>
      <c r="AI566" s="1436"/>
      <c r="AJ566" s="1437"/>
      <c r="AK566" s="1437"/>
      <c r="AL566" s="1438"/>
      <c r="AM566" s="1480">
        <v>1217917</v>
      </c>
      <c r="AN566" s="1481"/>
      <c r="AO566" s="1481"/>
      <c r="AP566" s="1481"/>
      <c r="AQ566" s="1481"/>
      <c r="AR566" s="1481"/>
      <c r="AS566" s="1482"/>
      <c r="AT566" s="1031" t="str">
        <f t="shared" ref="AT566:AT573" si="2">IF(AND(NOT(C565=""),C566="",NOT(C567="")),"!","")</f>
        <v/>
      </c>
      <c r="AU566" s="1030"/>
      <c r="BB566" s="3"/>
      <c r="BC566" s="3"/>
      <c r="BD566" s="3"/>
      <c r="BE566" s="3"/>
      <c r="BF566" s="3"/>
      <c r="BG566" s="3"/>
      <c r="BH566" s="3" t="s">
        <v>86</v>
      </c>
      <c r="BI566" s="3" t="str">
        <f>N673</f>
        <v>No</v>
      </c>
    </row>
    <row r="567" spans="1:61" ht="12.95" customHeight="1">
      <c r="B567" s="44" t="s">
        <v>1397</v>
      </c>
      <c r="C567" s="1448"/>
      <c r="D567" s="1448"/>
      <c r="E567" s="1448"/>
      <c r="F567" s="1448"/>
      <c r="G567" s="1448"/>
      <c r="H567" s="1448"/>
      <c r="I567" s="1448"/>
      <c r="J567" s="1448"/>
      <c r="K567" s="1448"/>
      <c r="L567" s="1448"/>
      <c r="M567" s="1419" t="s">
        <v>1016</v>
      </c>
      <c r="N567" s="1419"/>
      <c r="O567" s="1419"/>
      <c r="P567" s="1419"/>
      <c r="Q567" s="1452"/>
      <c r="R567" s="1453"/>
      <c r="S567" s="1454"/>
      <c r="T567" s="1452"/>
      <c r="U567" s="1453"/>
      <c r="V567" s="1454"/>
      <c r="W567" s="1445"/>
      <c r="X567" s="1446"/>
      <c r="Y567" s="1447"/>
      <c r="Z567" s="1451" t="s">
        <v>1016</v>
      </c>
      <c r="AA567" s="1451"/>
      <c r="AB567" s="1451"/>
      <c r="AC567" s="1451"/>
      <c r="AD567" s="1451"/>
      <c r="AE567" s="1440"/>
      <c r="AF567" s="1441"/>
      <c r="AG567" s="1441"/>
      <c r="AH567" s="1442"/>
      <c r="AI567" s="1436"/>
      <c r="AJ567" s="1437"/>
      <c r="AK567" s="1437"/>
      <c r="AL567" s="1438"/>
      <c r="AM567" s="1480"/>
      <c r="AN567" s="1481"/>
      <c r="AO567" s="1481"/>
      <c r="AP567" s="1481"/>
      <c r="AQ567" s="1481"/>
      <c r="AR567" s="1481"/>
      <c r="AS567" s="1482"/>
      <c r="AT567" s="1031" t="str">
        <f t="shared" si="2"/>
        <v/>
      </c>
      <c r="AU567" s="1030"/>
      <c r="BB567" s="3"/>
      <c r="BC567" s="3"/>
      <c r="BD567" s="3"/>
      <c r="BE567" s="3"/>
      <c r="BF567" s="3"/>
      <c r="BG567" s="3"/>
      <c r="BH567" s="3" t="s">
        <v>1397</v>
      </c>
      <c r="BI567" s="3" t="str">
        <f>AG673</f>
        <v>No</v>
      </c>
    </row>
    <row r="568" spans="1:61" ht="12.95" customHeight="1">
      <c r="B568" s="44" t="s">
        <v>1398</v>
      </c>
      <c r="C568" s="1448"/>
      <c r="D568" s="1448"/>
      <c r="E568" s="1448"/>
      <c r="F568" s="1448"/>
      <c r="G568" s="1448"/>
      <c r="H568" s="1448"/>
      <c r="I568" s="1448"/>
      <c r="J568" s="1448"/>
      <c r="K568" s="1448"/>
      <c r="L568" s="1448"/>
      <c r="M568" s="1419" t="s">
        <v>1016</v>
      </c>
      <c r="N568" s="1419"/>
      <c r="O568" s="1419"/>
      <c r="P568" s="1419"/>
      <c r="Q568" s="1452"/>
      <c r="R568" s="1453"/>
      <c r="S568" s="1454"/>
      <c r="T568" s="1452"/>
      <c r="U568" s="1453"/>
      <c r="V568" s="1454"/>
      <c r="W568" s="1445"/>
      <c r="X568" s="1446"/>
      <c r="Y568" s="1447"/>
      <c r="Z568" s="1451" t="s">
        <v>1016</v>
      </c>
      <c r="AA568" s="1451"/>
      <c r="AB568" s="1451"/>
      <c r="AC568" s="1451"/>
      <c r="AD568" s="1451"/>
      <c r="AE568" s="1440"/>
      <c r="AF568" s="1441"/>
      <c r="AG568" s="1441"/>
      <c r="AH568" s="1442"/>
      <c r="AI568" s="1436"/>
      <c r="AJ568" s="1437"/>
      <c r="AK568" s="1437"/>
      <c r="AL568" s="1438"/>
      <c r="AM568" s="1480"/>
      <c r="AN568" s="1481"/>
      <c r="AO568" s="1481"/>
      <c r="AP568" s="1481"/>
      <c r="AQ568" s="1481"/>
      <c r="AR568" s="1481"/>
      <c r="AS568" s="1482"/>
      <c r="AT568" s="1031" t="str">
        <f t="shared" si="2"/>
        <v/>
      </c>
      <c r="AU568" s="1030"/>
      <c r="BB568" s="3"/>
      <c r="BC568" s="3"/>
      <c r="BD568" s="3"/>
      <c r="BE568" s="3"/>
      <c r="BF568" s="3"/>
      <c r="BG568" s="3"/>
      <c r="BH568" s="3"/>
      <c r="BI568" s="3"/>
    </row>
    <row r="569" spans="1:61" ht="12.95" customHeight="1">
      <c r="B569" s="44" t="s">
        <v>1399</v>
      </c>
      <c r="C569" s="1448"/>
      <c r="D569" s="1448"/>
      <c r="E569" s="1448"/>
      <c r="F569" s="1448"/>
      <c r="G569" s="1448"/>
      <c r="H569" s="1448"/>
      <c r="I569" s="1448"/>
      <c r="J569" s="1448"/>
      <c r="K569" s="1448"/>
      <c r="L569" s="1448"/>
      <c r="M569" s="1419" t="s">
        <v>1016</v>
      </c>
      <c r="N569" s="1419"/>
      <c r="O569" s="1419"/>
      <c r="P569" s="1419"/>
      <c r="Q569" s="1452"/>
      <c r="R569" s="1453"/>
      <c r="S569" s="1454"/>
      <c r="T569" s="1452"/>
      <c r="U569" s="1453"/>
      <c r="V569" s="1454"/>
      <c r="W569" s="1445"/>
      <c r="X569" s="1446"/>
      <c r="Y569" s="1447"/>
      <c r="Z569" s="1451" t="s">
        <v>1016</v>
      </c>
      <c r="AA569" s="1451"/>
      <c r="AB569" s="1451"/>
      <c r="AC569" s="1451"/>
      <c r="AD569" s="1451"/>
      <c r="AE569" s="1440"/>
      <c r="AF569" s="1441"/>
      <c r="AG569" s="1441"/>
      <c r="AH569" s="1442"/>
      <c r="AI569" s="1436"/>
      <c r="AJ569" s="1437"/>
      <c r="AK569" s="1437"/>
      <c r="AL569" s="1438"/>
      <c r="AM569" s="1480"/>
      <c r="AN569" s="1481"/>
      <c r="AO569" s="1481"/>
      <c r="AP569" s="1481"/>
      <c r="AQ569" s="1481"/>
      <c r="AR569" s="1481"/>
      <c r="AS569" s="1482"/>
      <c r="AT569" s="1031" t="str">
        <f t="shared" si="2"/>
        <v/>
      </c>
      <c r="AU569" s="1030"/>
      <c r="BB569" s="3"/>
      <c r="BC569" s="3"/>
      <c r="BD569" s="3"/>
      <c r="BE569" s="3"/>
      <c r="BF569" s="3"/>
      <c r="BG569" s="3"/>
      <c r="BH569" s="3"/>
      <c r="BI569" s="3"/>
    </row>
    <row r="570" spans="1:61" ht="12.95" customHeight="1">
      <c r="B570" s="44" t="s">
        <v>1400</v>
      </c>
      <c r="C570" s="1448"/>
      <c r="D570" s="1448"/>
      <c r="E570" s="1448"/>
      <c r="F570" s="1448"/>
      <c r="G570" s="1448"/>
      <c r="H570" s="1448"/>
      <c r="I570" s="1448"/>
      <c r="J570" s="1448"/>
      <c r="K570" s="1448"/>
      <c r="L570" s="1448"/>
      <c r="M570" s="1419" t="s">
        <v>1016</v>
      </c>
      <c r="N570" s="1419"/>
      <c r="O570" s="1419"/>
      <c r="P570" s="1419"/>
      <c r="Q570" s="1452"/>
      <c r="R570" s="1453"/>
      <c r="S570" s="1454"/>
      <c r="T570" s="1452"/>
      <c r="U570" s="1453"/>
      <c r="V570" s="1454"/>
      <c r="W570" s="1445"/>
      <c r="X570" s="1446"/>
      <c r="Y570" s="1447"/>
      <c r="Z570" s="1451" t="s">
        <v>1016</v>
      </c>
      <c r="AA570" s="1451"/>
      <c r="AB570" s="1451"/>
      <c r="AC570" s="1451"/>
      <c r="AD570" s="1451"/>
      <c r="AE570" s="1440"/>
      <c r="AF570" s="1441"/>
      <c r="AG570" s="1441"/>
      <c r="AH570" s="1442"/>
      <c r="AI570" s="1436"/>
      <c r="AJ570" s="1437"/>
      <c r="AK570" s="1437"/>
      <c r="AL570" s="1438"/>
      <c r="AM570" s="1480"/>
      <c r="AN570" s="1481"/>
      <c r="AO570" s="1481"/>
      <c r="AP570" s="1481"/>
      <c r="AQ570" s="1481"/>
      <c r="AR570" s="1481"/>
      <c r="AS570" s="1482"/>
      <c r="AT570" s="1031" t="str">
        <f t="shared" si="2"/>
        <v/>
      </c>
      <c r="AU570" s="1030"/>
      <c r="BB570" s="3"/>
      <c r="BC570" s="3"/>
      <c r="BD570" s="3"/>
      <c r="BE570" s="3"/>
      <c r="BF570" s="3"/>
      <c r="BG570" s="3"/>
      <c r="BH570" s="3"/>
      <c r="BI570" s="3"/>
    </row>
    <row r="571" spans="1:61" ht="12.95" customHeight="1">
      <c r="B571" s="44" t="s">
        <v>1401</v>
      </c>
      <c r="C571" s="1448"/>
      <c r="D571" s="1448"/>
      <c r="E571" s="1448"/>
      <c r="F571" s="1448"/>
      <c r="G571" s="1448"/>
      <c r="H571" s="1448"/>
      <c r="I571" s="1448"/>
      <c r="J571" s="1448"/>
      <c r="K571" s="1448"/>
      <c r="L571" s="1448"/>
      <c r="M571" s="1419" t="s">
        <v>1016</v>
      </c>
      <c r="N571" s="1419"/>
      <c r="O571" s="1419"/>
      <c r="P571" s="1419"/>
      <c r="Q571" s="1452"/>
      <c r="R571" s="1453"/>
      <c r="S571" s="1454"/>
      <c r="T571" s="1452"/>
      <c r="U571" s="1453"/>
      <c r="V571" s="1454"/>
      <c r="W571" s="1445"/>
      <c r="X571" s="1446"/>
      <c r="Y571" s="1447"/>
      <c r="Z571" s="1451" t="s">
        <v>1016</v>
      </c>
      <c r="AA571" s="1451"/>
      <c r="AB571" s="1451"/>
      <c r="AC571" s="1451"/>
      <c r="AD571" s="1451"/>
      <c r="AE571" s="1440"/>
      <c r="AF571" s="1441"/>
      <c r="AG571" s="1441"/>
      <c r="AH571" s="1442"/>
      <c r="AI571" s="1436"/>
      <c r="AJ571" s="1437"/>
      <c r="AK571" s="1437"/>
      <c r="AL571" s="1438"/>
      <c r="AM571" s="1480"/>
      <c r="AN571" s="1481"/>
      <c r="AO571" s="1481"/>
      <c r="AP571" s="1481"/>
      <c r="AQ571" s="1481"/>
      <c r="AR571" s="1481"/>
      <c r="AS571" s="1482"/>
      <c r="AT571" s="1031" t="str">
        <f t="shared" si="2"/>
        <v/>
      </c>
      <c r="BB571" s="3"/>
      <c r="BC571" s="3"/>
      <c r="BD571" s="3"/>
      <c r="BE571" s="3"/>
      <c r="BF571" s="3"/>
      <c r="BG571" s="3"/>
      <c r="BH571" s="3"/>
      <c r="BI571" s="3"/>
    </row>
    <row r="572" spans="1:61" ht="12.95" customHeight="1">
      <c r="B572" s="44" t="s">
        <v>1402</v>
      </c>
      <c r="C572" s="1448"/>
      <c r="D572" s="1448"/>
      <c r="E572" s="1448"/>
      <c r="F572" s="1448"/>
      <c r="G572" s="1448"/>
      <c r="H572" s="1448"/>
      <c r="I572" s="1448"/>
      <c r="J572" s="1448"/>
      <c r="K572" s="1448"/>
      <c r="L572" s="1448"/>
      <c r="M572" s="1419" t="s">
        <v>1016</v>
      </c>
      <c r="N572" s="1419"/>
      <c r="O572" s="1419"/>
      <c r="P572" s="1419"/>
      <c r="Q572" s="1452"/>
      <c r="R572" s="1453"/>
      <c r="S572" s="1454"/>
      <c r="T572" s="1452"/>
      <c r="U572" s="1453"/>
      <c r="V572" s="1454"/>
      <c r="W572" s="1445"/>
      <c r="X572" s="1446"/>
      <c r="Y572" s="1447"/>
      <c r="Z572" s="1451" t="s">
        <v>1016</v>
      </c>
      <c r="AA572" s="1451"/>
      <c r="AB572" s="1451"/>
      <c r="AC572" s="1451"/>
      <c r="AD572" s="1451"/>
      <c r="AE572" s="1440"/>
      <c r="AF572" s="1441"/>
      <c r="AG572" s="1441"/>
      <c r="AH572" s="1442"/>
      <c r="AI572" s="1436"/>
      <c r="AJ572" s="1437"/>
      <c r="AK572" s="1437"/>
      <c r="AL572" s="1438"/>
      <c r="AM572" s="1480"/>
      <c r="AN572" s="1481"/>
      <c r="AO572" s="1481"/>
      <c r="AP572" s="1481"/>
      <c r="AQ572" s="1481"/>
      <c r="AR572" s="1481"/>
      <c r="AS572" s="1482"/>
      <c r="AT572" s="1031" t="str">
        <f t="shared" si="2"/>
        <v/>
      </c>
      <c r="BB572" s="3"/>
      <c r="BC572" s="3"/>
      <c r="BD572" s="3"/>
      <c r="BE572" s="3"/>
      <c r="BF572" s="3"/>
      <c r="BG572" s="3"/>
      <c r="BH572" s="3"/>
      <c r="BI572" s="3"/>
    </row>
    <row r="573" spans="1:61" ht="12.95" customHeight="1">
      <c r="B573" s="44" t="s">
        <v>1403</v>
      </c>
      <c r="C573" s="1448"/>
      <c r="D573" s="1448"/>
      <c r="E573" s="1448"/>
      <c r="F573" s="1448"/>
      <c r="G573" s="1448"/>
      <c r="H573" s="1448"/>
      <c r="I573" s="1448"/>
      <c r="J573" s="1448"/>
      <c r="K573" s="1448"/>
      <c r="L573" s="1448"/>
      <c r="M573" s="1419" t="s">
        <v>1016</v>
      </c>
      <c r="N573" s="1419"/>
      <c r="O573" s="1419"/>
      <c r="P573" s="1419"/>
      <c r="Q573" s="1452"/>
      <c r="R573" s="1453"/>
      <c r="S573" s="1454"/>
      <c r="T573" s="1452"/>
      <c r="U573" s="1453"/>
      <c r="V573" s="1454"/>
      <c r="W573" s="1445"/>
      <c r="X573" s="1446"/>
      <c r="Y573" s="1447"/>
      <c r="Z573" s="1451" t="s">
        <v>1016</v>
      </c>
      <c r="AA573" s="1451"/>
      <c r="AB573" s="1451"/>
      <c r="AC573" s="1451"/>
      <c r="AD573" s="1451"/>
      <c r="AE573" s="1440"/>
      <c r="AF573" s="1441"/>
      <c r="AG573" s="1441"/>
      <c r="AH573" s="1442"/>
      <c r="AI573" s="1436"/>
      <c r="AJ573" s="1437"/>
      <c r="AK573" s="1437"/>
      <c r="AL573" s="1438"/>
      <c r="AM573" s="1480"/>
      <c r="AN573" s="1481"/>
      <c r="AO573" s="1481"/>
      <c r="AP573" s="1481"/>
      <c r="AQ573" s="1481"/>
      <c r="AR573" s="1481"/>
      <c r="AS573" s="1482"/>
      <c r="AT573" s="1031" t="str">
        <f t="shared" si="2"/>
        <v/>
      </c>
      <c r="BB573" s="3"/>
      <c r="BC573" s="3"/>
      <c r="BD573" s="3"/>
      <c r="BE573" s="3"/>
      <c r="BF573" s="3"/>
      <c r="BG573" s="3"/>
      <c r="BH573" s="3"/>
      <c r="BI573" s="3"/>
    </row>
    <row r="574" spans="1:61" ht="12.95" customHeight="1">
      <c r="B574" s="1487" t="s">
        <v>1404</v>
      </c>
      <c r="C574" s="1488"/>
      <c r="D574" s="1488"/>
      <c r="E574" s="1488"/>
      <c r="F574" s="1488"/>
      <c r="G574" s="1488"/>
      <c r="H574" s="1488"/>
      <c r="I574" s="1488"/>
      <c r="J574" s="1488"/>
      <c r="K574" s="1488"/>
      <c r="L574" s="1488"/>
      <c r="M574" s="1488"/>
      <c r="N574" s="1488"/>
      <c r="O574" s="1488"/>
      <c r="P574" s="1488"/>
      <c r="Q574" s="1488"/>
      <c r="R574" s="1488"/>
      <c r="S574" s="1488"/>
      <c r="T574" s="1488"/>
      <c r="U574" s="1626"/>
      <c r="V574" s="1488"/>
      <c r="W574" s="1488"/>
      <c r="X574" s="1488"/>
      <c r="Y574" s="1488"/>
      <c r="Z574" s="1488"/>
      <c r="AA574" s="1488"/>
      <c r="AB574" s="1488"/>
      <c r="AC574" s="1488"/>
      <c r="AD574" s="1488"/>
      <c r="AE574" s="1488"/>
      <c r="AF574" s="1488"/>
      <c r="AG574" s="1488"/>
      <c r="AH574" s="1488"/>
      <c r="AI574" s="1488"/>
      <c r="AJ574" s="1488"/>
      <c r="AK574" s="1488"/>
      <c r="AL574" s="1489"/>
      <c r="AM574" s="1604">
        <f>SUM(AM562:AS573)</f>
        <v>18560657</v>
      </c>
      <c r="AN574" s="1605"/>
      <c r="AO574" s="1605"/>
      <c r="AP574" s="1605"/>
      <c r="AQ574" s="1605"/>
      <c r="AR574" s="1605"/>
      <c r="AS574" s="1606"/>
      <c r="BB574" s="3"/>
      <c r="BC574" s="3"/>
      <c r="BD574" s="3"/>
      <c r="BE574" s="3"/>
      <c r="BF574" s="3"/>
      <c r="BG574" s="3"/>
      <c r="BH574" s="3" t="s">
        <v>1398</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1399</v>
      </c>
      <c r="BI575" s="3" t="str">
        <f>AG681</f>
        <v>No</v>
      </c>
    </row>
    <row r="576" spans="1:61" ht="12.95" customHeight="1">
      <c r="A576" s="47" t="s">
        <v>18</v>
      </c>
      <c r="B576" t="s">
        <v>1405</v>
      </c>
      <c r="G576" s="1423" t="str">
        <f>C562</f>
        <v>Banc of California</v>
      </c>
      <c r="H576" s="1423"/>
      <c r="I576" s="1423"/>
      <c r="J576" s="1423"/>
      <c r="K576" s="1423"/>
      <c r="L576" s="1423"/>
      <c r="M576" s="1423"/>
      <c r="N576" s="1423"/>
      <c r="O576" s="1423"/>
      <c r="P576" s="1423"/>
      <c r="Q576" s="1423"/>
      <c r="R576" s="1423"/>
      <c r="S576" s="7"/>
      <c r="T576" s="47" t="s">
        <v>31</v>
      </c>
      <c r="U576" t="s">
        <v>1405</v>
      </c>
      <c r="Z576" s="1423" t="str">
        <f>C563</f>
        <v>Banc of Californa</v>
      </c>
      <c r="AA576" s="1423"/>
      <c r="AB576" s="1423"/>
      <c r="AC576" s="1423"/>
      <c r="AD576" s="1423"/>
      <c r="AE576" s="1423"/>
      <c r="AF576" s="1423"/>
      <c r="AG576" s="1423"/>
      <c r="AH576" s="1423"/>
      <c r="AI576" s="1423"/>
      <c r="AJ576" s="1423"/>
      <c r="AK576" s="1423"/>
      <c r="BB576" s="3"/>
      <c r="BC576" s="3"/>
      <c r="BD576" s="3"/>
      <c r="BE576" s="3"/>
      <c r="BF576" s="3"/>
      <c r="BG576" s="3"/>
      <c r="BH576" s="3"/>
      <c r="BI576" s="3"/>
    </row>
    <row r="577" spans="1:61" ht="12.95" customHeight="1">
      <c r="A577" s="19"/>
      <c r="B577" t="s">
        <v>1081</v>
      </c>
      <c r="G577" s="1428" t="s">
        <v>1406</v>
      </c>
      <c r="H577" s="1428"/>
      <c r="I577" s="1428"/>
      <c r="J577" s="1428"/>
      <c r="K577" s="1428"/>
      <c r="L577" s="1428"/>
      <c r="M577" s="1428"/>
      <c r="N577" s="1428"/>
      <c r="O577" s="1428"/>
      <c r="P577" s="1428"/>
      <c r="Q577" s="1428"/>
      <c r="R577" s="1428"/>
      <c r="S577" s="7"/>
      <c r="T577" s="19"/>
      <c r="U577" t="s">
        <v>1081</v>
      </c>
      <c r="Z577" s="1428" t="s">
        <v>1406</v>
      </c>
      <c r="AA577" s="1428"/>
      <c r="AB577" s="1428"/>
      <c r="AC577" s="1428"/>
      <c r="AD577" s="1428"/>
      <c r="AE577" s="1428"/>
      <c r="AF577" s="1428"/>
      <c r="AG577" s="1428"/>
      <c r="AH577" s="1428"/>
      <c r="AI577" s="1428"/>
      <c r="AJ577" s="1428"/>
      <c r="AK577" s="1428"/>
      <c r="BB577" s="3"/>
      <c r="BC577" s="3"/>
      <c r="BD577" s="3"/>
      <c r="BE577" s="3"/>
      <c r="BF577" s="3"/>
      <c r="BG577" s="3"/>
      <c r="BH577" s="3"/>
      <c r="BI577" s="3"/>
    </row>
    <row r="578" spans="1:61" ht="12.95" customHeight="1">
      <c r="A578" s="19"/>
      <c r="B578" t="s">
        <v>946</v>
      </c>
      <c r="G578" s="1428" t="s">
        <v>1407</v>
      </c>
      <c r="H578" s="1428"/>
      <c r="I578" s="1428"/>
      <c r="J578" s="1428"/>
      <c r="K578" s="1428"/>
      <c r="L578" s="1428"/>
      <c r="M578" s="1428"/>
      <c r="N578" s="1428"/>
      <c r="O578" s="1428"/>
      <c r="P578" s="1428"/>
      <c r="Q578" s="1428"/>
      <c r="R578" s="1428"/>
      <c r="T578" s="19"/>
      <c r="U578" t="s">
        <v>946</v>
      </c>
      <c r="Z578" s="1439" t="s">
        <v>1407</v>
      </c>
      <c r="AA578" s="1439"/>
      <c r="AB578" s="1439"/>
      <c r="AC578" s="1439"/>
      <c r="AD578" s="1439"/>
      <c r="AE578" s="1439"/>
      <c r="AF578" s="1439"/>
      <c r="AG578" s="1439"/>
      <c r="AH578" s="1439"/>
      <c r="AI578" s="1439"/>
      <c r="AJ578" s="1439"/>
      <c r="AK578" s="1439"/>
      <c r="BB578" s="3"/>
      <c r="BC578" s="3"/>
      <c r="BD578" s="3"/>
      <c r="BE578" s="3"/>
      <c r="BF578" s="3"/>
      <c r="BG578" s="3"/>
      <c r="BH578" s="3"/>
      <c r="BI578" s="3"/>
    </row>
    <row r="579" spans="1:61" ht="12.95" customHeight="1">
      <c r="A579" s="19"/>
      <c r="B579" t="s">
        <v>1408</v>
      </c>
      <c r="G579" s="1428" t="s">
        <v>1409</v>
      </c>
      <c r="H579" s="1428"/>
      <c r="I579" s="1428"/>
      <c r="J579" s="1428"/>
      <c r="K579" s="1428"/>
      <c r="L579" s="1428"/>
      <c r="M579" s="1428"/>
      <c r="N579" s="1428"/>
      <c r="O579" s="1428"/>
      <c r="P579" s="1428"/>
      <c r="Q579" s="1428"/>
      <c r="R579" s="1428"/>
      <c r="S579" s="7"/>
      <c r="T579" s="19"/>
      <c r="U579" t="s">
        <v>1408</v>
      </c>
      <c r="Z579" s="1439" t="s">
        <v>1409</v>
      </c>
      <c r="AA579" s="1439"/>
      <c r="AB579" s="1439"/>
      <c r="AC579" s="1439"/>
      <c r="AD579" s="1439"/>
      <c r="AE579" s="1439"/>
      <c r="AF579" s="1439"/>
      <c r="AG579" s="1439"/>
      <c r="AH579" s="1439"/>
      <c r="AI579" s="1439"/>
      <c r="AJ579" s="1439"/>
      <c r="AK579" s="1439"/>
      <c r="BB579" s="3"/>
      <c r="BC579" s="3"/>
      <c r="BD579" s="3"/>
      <c r="BE579" s="3"/>
      <c r="BF579" s="3"/>
      <c r="BG579" s="3"/>
      <c r="BH579" s="3"/>
      <c r="BI579" s="3"/>
    </row>
    <row r="580" spans="1:61" ht="12.95" customHeight="1">
      <c r="A580" s="19"/>
      <c r="B580" t="s">
        <v>839</v>
      </c>
      <c r="G580" s="1427" t="s">
        <v>1410</v>
      </c>
      <c r="H580" s="1427"/>
      <c r="I580" s="1427"/>
      <c r="J580" s="1427"/>
      <c r="K580" s="1427"/>
      <c r="L580" s="1427"/>
      <c r="O580" s="918" t="s">
        <v>1088</v>
      </c>
      <c r="P580" s="1381"/>
      <c r="Q580" s="1381"/>
      <c r="R580" s="1381"/>
      <c r="S580" s="9"/>
      <c r="T580" s="19"/>
      <c r="U580" t="s">
        <v>839</v>
      </c>
      <c r="Z580" s="1427" t="s">
        <v>1410</v>
      </c>
      <c r="AA580" s="1427"/>
      <c r="AB580" s="1427"/>
      <c r="AC580" s="1427"/>
      <c r="AD580" s="1427"/>
      <c r="AE580" s="1427"/>
      <c r="AH580" s="918" t="s">
        <v>1088</v>
      </c>
      <c r="AI580" s="1381"/>
      <c r="AJ580" s="1381"/>
      <c r="AK580" s="1381"/>
      <c r="BB580" s="3"/>
      <c r="BC580" s="3"/>
      <c r="BD580" s="3"/>
      <c r="BE580" s="3"/>
      <c r="BF580" s="3"/>
      <c r="BG580" s="3"/>
      <c r="BH580" s="3"/>
      <c r="BI580" s="3"/>
    </row>
    <row r="581" spans="1:61" ht="12.95" customHeight="1">
      <c r="A581" s="19"/>
      <c r="B581" t="s">
        <v>1411</v>
      </c>
      <c r="H581" s="1428" t="s">
        <v>1412</v>
      </c>
      <c r="I581" s="1428"/>
      <c r="J581" s="1428"/>
      <c r="K581" s="1428"/>
      <c r="L581" s="1428"/>
      <c r="M581" s="1428"/>
      <c r="N581" s="1428"/>
      <c r="O581" s="1428"/>
      <c r="P581" s="1428"/>
      <c r="Q581" s="1428"/>
      <c r="R581" s="1428"/>
      <c r="S581" s="7"/>
      <c r="T581" s="19"/>
      <c r="U581" t="s">
        <v>1411</v>
      </c>
      <c r="AA581" s="1428" t="s">
        <v>1413</v>
      </c>
      <c r="AB581" s="1428"/>
      <c r="AC581" s="1428"/>
      <c r="AD581" s="1428"/>
      <c r="AE581" s="1428"/>
      <c r="AF581" s="1428"/>
      <c r="AG581" s="1428"/>
      <c r="AH581" s="1428"/>
      <c r="AI581" s="1428"/>
      <c r="AJ581" s="1428"/>
      <c r="AK581" s="1428"/>
      <c r="BB581" s="3"/>
      <c r="BC581" s="3"/>
      <c r="BD581" s="3"/>
      <c r="BE581" s="3"/>
      <c r="BF581" s="3"/>
      <c r="BG581" s="3"/>
      <c r="BH581" s="3"/>
      <c r="BI581" s="3"/>
    </row>
    <row r="582" spans="1:61" ht="12.95" customHeight="1">
      <c r="A582" s="19"/>
      <c r="B582" s="225" t="s">
        <v>1414</v>
      </c>
      <c r="H582" s="7"/>
      <c r="I582" s="7"/>
      <c r="J582" s="7"/>
      <c r="K582" s="7"/>
      <c r="L582" s="7"/>
      <c r="M582" s="1648" t="s">
        <v>1415</v>
      </c>
      <c r="N582" s="1648"/>
      <c r="O582" s="1648"/>
      <c r="P582" s="1648"/>
      <c r="Q582" s="1648"/>
      <c r="R582" s="1648"/>
      <c r="S582" s="7"/>
      <c r="T582" s="19"/>
      <c r="U582" s="225" t="s">
        <v>1414</v>
      </c>
      <c r="AA582" s="7"/>
      <c r="AB582" s="7"/>
      <c r="AC582" s="7"/>
      <c r="AD582" s="7"/>
      <c r="AE582" s="7"/>
      <c r="AF582" s="1648" t="s">
        <v>1416</v>
      </c>
      <c r="AG582" s="1648"/>
      <c r="AH582" s="1648"/>
      <c r="AI582" s="1648"/>
      <c r="AJ582" s="1648"/>
      <c r="AK582" s="1648"/>
      <c r="BB582" s="3"/>
      <c r="BC582" s="3"/>
      <c r="BD582" s="3"/>
      <c r="BE582" s="3"/>
      <c r="BF582" s="3"/>
      <c r="BG582" s="3"/>
      <c r="BH582" s="3"/>
      <c r="BI582" s="3"/>
    </row>
    <row r="583" spans="1:61" ht="12.95" customHeight="1">
      <c r="A583" s="19"/>
      <c r="B583" t="s">
        <v>1417</v>
      </c>
      <c r="N583" s="1308" t="s">
        <v>860</v>
      </c>
      <c r="O583" s="1308"/>
      <c r="T583" s="19"/>
      <c r="U583" t="s">
        <v>1417</v>
      </c>
      <c r="AG583" s="1308" t="s">
        <v>860</v>
      </c>
      <c r="AH583" s="1308"/>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1405</v>
      </c>
      <c r="G585" s="1423" t="str">
        <f>C564</f>
        <v>Housing Authority of the County of Kern</v>
      </c>
      <c r="H585" s="1423"/>
      <c r="I585" s="1423"/>
      <c r="J585" s="1423"/>
      <c r="K585" s="1423"/>
      <c r="L585" s="1423"/>
      <c r="M585" s="1423"/>
      <c r="N585" s="1423"/>
      <c r="O585" s="1423"/>
      <c r="P585" s="1423"/>
      <c r="Q585" s="1423"/>
      <c r="R585" s="1423"/>
      <c r="T585" s="47" t="s">
        <v>82</v>
      </c>
      <c r="U585" t="s">
        <v>1405</v>
      </c>
      <c r="Z585" s="1423" t="str">
        <f>C565</f>
        <v>Deferred Costs</v>
      </c>
      <c r="AA585" s="1423"/>
      <c r="AB585" s="1423"/>
      <c r="AC585" s="1423"/>
      <c r="AD585" s="1423"/>
      <c r="AE585" s="1423"/>
      <c r="AF585" s="1423"/>
      <c r="AG585" s="1423"/>
      <c r="AH585" s="1423"/>
      <c r="AI585" s="1423"/>
      <c r="AJ585" s="1423"/>
      <c r="AK585" s="1423"/>
      <c r="BB585" s="3"/>
      <c r="BC585" s="3"/>
    </row>
    <row r="586" spans="1:61" ht="12.95" customHeight="1">
      <c r="A586" s="19"/>
      <c r="B586" t="s">
        <v>1081</v>
      </c>
      <c r="G586" s="1428" t="s">
        <v>1082</v>
      </c>
      <c r="H586" s="1428"/>
      <c r="I586" s="1428"/>
      <c r="J586" s="1428"/>
      <c r="K586" s="1428"/>
      <c r="L586" s="1428"/>
      <c r="M586" s="1428"/>
      <c r="N586" s="1428"/>
      <c r="O586" s="1428"/>
      <c r="P586" s="1428"/>
      <c r="Q586" s="1428"/>
      <c r="R586" s="1428"/>
      <c r="T586" s="19"/>
      <c r="U586" t="s">
        <v>1081</v>
      </c>
      <c r="Z586" s="1428" t="s">
        <v>1082</v>
      </c>
      <c r="AA586" s="1428"/>
      <c r="AB586" s="1428"/>
      <c r="AC586" s="1428"/>
      <c r="AD586" s="1428"/>
      <c r="AE586" s="1428"/>
      <c r="AF586" s="1428"/>
      <c r="AG586" s="1428"/>
      <c r="AH586" s="1428"/>
      <c r="AI586" s="1428"/>
      <c r="AJ586" s="1428"/>
      <c r="AK586" s="1428"/>
      <c r="BB586" s="3"/>
      <c r="BC586" s="3"/>
    </row>
    <row r="587" spans="1:61" ht="12.95" customHeight="1">
      <c r="A587" s="19"/>
      <c r="B587" t="s">
        <v>946</v>
      </c>
      <c r="G587" s="1439" t="s">
        <v>1134</v>
      </c>
      <c r="H587" s="1439"/>
      <c r="I587" s="1439"/>
      <c r="J587" s="1439"/>
      <c r="K587" s="1439"/>
      <c r="L587" s="1439"/>
      <c r="M587" s="1439"/>
      <c r="N587" s="1439"/>
      <c r="O587" s="1439"/>
      <c r="P587" s="1439"/>
      <c r="Q587" s="1439"/>
      <c r="R587" s="1439"/>
      <c r="T587" s="19"/>
      <c r="U587" t="s">
        <v>946</v>
      </c>
      <c r="Z587" s="1439" t="s">
        <v>1134</v>
      </c>
      <c r="AA587" s="1439"/>
      <c r="AB587" s="1439"/>
      <c r="AC587" s="1439"/>
      <c r="AD587" s="1439"/>
      <c r="AE587" s="1439"/>
      <c r="AF587" s="1439"/>
      <c r="AG587" s="1439"/>
      <c r="AH587" s="1439"/>
      <c r="AI587" s="1439"/>
      <c r="AJ587" s="1439"/>
      <c r="AK587" s="1439"/>
      <c r="BB587" s="3"/>
      <c r="BC587" s="3"/>
    </row>
    <row r="588" spans="1:61" ht="12.95" customHeight="1">
      <c r="A588" s="19"/>
      <c r="B588" t="s">
        <v>1408</v>
      </c>
      <c r="G588" s="1439" t="s">
        <v>805</v>
      </c>
      <c r="H588" s="1439"/>
      <c r="I588" s="1439"/>
      <c r="J588" s="1439"/>
      <c r="K588" s="1439"/>
      <c r="L588" s="1439"/>
      <c r="M588" s="1439"/>
      <c r="N588" s="1439"/>
      <c r="O588" s="1439"/>
      <c r="P588" s="1439"/>
      <c r="Q588" s="1439"/>
      <c r="R588" s="1439"/>
      <c r="T588" s="19"/>
      <c r="U588" t="s">
        <v>1408</v>
      </c>
      <c r="Z588" s="1439" t="s">
        <v>805</v>
      </c>
      <c r="AA588" s="1439"/>
      <c r="AB588" s="1439"/>
      <c r="AC588" s="1439"/>
      <c r="AD588" s="1439"/>
      <c r="AE588" s="1439"/>
      <c r="AF588" s="1439"/>
      <c r="AG588" s="1439"/>
      <c r="AH588" s="1439"/>
      <c r="AI588" s="1439"/>
      <c r="AJ588" s="1439"/>
      <c r="AK588" s="1439"/>
      <c r="BB588" s="3"/>
      <c r="BC588" s="3"/>
    </row>
    <row r="589" spans="1:61" ht="12.95" customHeight="1">
      <c r="A589" s="19"/>
      <c r="B589" t="s">
        <v>839</v>
      </c>
      <c r="G589" s="1427" t="s">
        <v>1087</v>
      </c>
      <c r="H589" s="1427"/>
      <c r="I589" s="1427"/>
      <c r="J589" s="1427"/>
      <c r="K589" s="1427"/>
      <c r="L589" s="1427"/>
      <c r="O589" s="918" t="s">
        <v>1088</v>
      </c>
      <c r="P589" s="1381">
        <v>2005</v>
      </c>
      <c r="Q589" s="1381"/>
      <c r="R589" s="1381"/>
      <c r="T589" s="19"/>
      <c r="U589" t="s">
        <v>839</v>
      </c>
      <c r="Z589" s="1427" t="s">
        <v>1087</v>
      </c>
      <c r="AA589" s="1427"/>
      <c r="AB589" s="1427"/>
      <c r="AC589" s="1427"/>
      <c r="AD589" s="1427"/>
      <c r="AE589" s="1427"/>
      <c r="AH589" s="918" t="s">
        <v>1088</v>
      </c>
      <c r="AI589" s="1381">
        <v>2005</v>
      </c>
      <c r="AJ589" s="1381"/>
      <c r="AK589" s="1381"/>
      <c r="BB589" s="3"/>
      <c r="BC589" s="3"/>
    </row>
    <row r="590" spans="1:61" ht="12.95" customHeight="1">
      <c r="A590" s="19"/>
      <c r="B590" t="s">
        <v>1411</v>
      </c>
      <c r="H590" s="1428" t="s">
        <v>1418</v>
      </c>
      <c r="I590" s="1428"/>
      <c r="J590" s="1428"/>
      <c r="K590" s="1428"/>
      <c r="L590" s="1428"/>
      <c r="M590" s="1428"/>
      <c r="N590" s="1428"/>
      <c r="O590" s="1428"/>
      <c r="P590" s="1428"/>
      <c r="Q590" s="1428"/>
      <c r="R590" s="1428"/>
      <c r="T590" s="19"/>
      <c r="U590" t="s">
        <v>1411</v>
      </c>
      <c r="AA590" s="1428" t="s">
        <v>1395</v>
      </c>
      <c r="AB590" s="1428"/>
      <c r="AC590" s="1428"/>
      <c r="AD590" s="1428"/>
      <c r="AE590" s="1428"/>
      <c r="AF590" s="1428"/>
      <c r="AG590" s="1428"/>
      <c r="AH590" s="1428"/>
      <c r="AI590" s="1428"/>
      <c r="AJ590" s="1428"/>
      <c r="AK590" s="1428"/>
      <c r="BB590" s="3"/>
      <c r="BC590" s="3"/>
    </row>
    <row r="591" spans="1:61" ht="12.95" customHeight="1">
      <c r="A591" s="19"/>
      <c r="B591" t="s">
        <v>1417</v>
      </c>
      <c r="N591" s="1308" t="s">
        <v>860</v>
      </c>
      <c r="O591" s="1308"/>
      <c r="T591" s="19"/>
      <c r="U591" t="s">
        <v>1417</v>
      </c>
      <c r="AG591" s="1308" t="s">
        <v>860</v>
      </c>
      <c r="AH591" s="1308"/>
      <c r="BB591" s="3"/>
      <c r="BC591" s="3"/>
    </row>
    <row r="592" spans="1:61" ht="12.95" customHeight="1">
      <c r="A592" s="19"/>
      <c r="T592" s="19"/>
      <c r="BB592" s="3"/>
      <c r="BC592" s="3"/>
    </row>
    <row r="593" spans="1:55" ht="12.95" customHeight="1">
      <c r="A593" s="47" t="s">
        <v>86</v>
      </c>
      <c r="B593" t="s">
        <v>1405</v>
      </c>
      <c r="G593" s="1423" t="str">
        <f>C566</f>
        <v>PNC</v>
      </c>
      <c r="H593" s="1423"/>
      <c r="I593" s="1423"/>
      <c r="J593" s="1423"/>
      <c r="K593" s="1423"/>
      <c r="L593" s="1423"/>
      <c r="M593" s="1423"/>
      <c r="N593" s="1423"/>
      <c r="O593" s="1423"/>
      <c r="P593" s="1423"/>
      <c r="Q593" s="1423"/>
      <c r="R593" s="1423"/>
      <c r="T593" s="47" t="s">
        <v>1397</v>
      </c>
      <c r="U593" t="s">
        <v>1405</v>
      </c>
      <c r="Z593" s="1423">
        <f>C567</f>
        <v>0</v>
      </c>
      <c r="AA593" s="1423"/>
      <c r="AB593" s="1423"/>
      <c r="AC593" s="1423"/>
      <c r="AD593" s="1423"/>
      <c r="AE593" s="1423"/>
      <c r="AF593" s="1423"/>
      <c r="AG593" s="1423"/>
      <c r="AH593" s="1423"/>
      <c r="AI593" s="1423"/>
      <c r="AJ593" s="1423"/>
      <c r="AK593" s="1423"/>
      <c r="BB593" s="3"/>
      <c r="BC593" s="3"/>
    </row>
    <row r="594" spans="1:55" ht="12.95" customHeight="1">
      <c r="A594" s="19"/>
      <c r="B594" t="s">
        <v>1081</v>
      </c>
      <c r="G594" s="1428" t="s">
        <v>1161</v>
      </c>
      <c r="H594" s="1428"/>
      <c r="I594" s="1428"/>
      <c r="J594" s="1428"/>
      <c r="K594" s="1428"/>
      <c r="L594" s="1428"/>
      <c r="M594" s="1428"/>
      <c r="N594" s="1428"/>
      <c r="O594" s="1428"/>
      <c r="P594" s="1428"/>
      <c r="Q594" s="1428"/>
      <c r="R594" s="1428"/>
      <c r="T594" s="19"/>
      <c r="U594" t="s">
        <v>1081</v>
      </c>
      <c r="Z594" s="1428"/>
      <c r="AA594" s="1428"/>
      <c r="AB594" s="1428"/>
      <c r="AC594" s="1428"/>
      <c r="AD594" s="1428"/>
      <c r="AE594" s="1428"/>
      <c r="AF594" s="1428"/>
      <c r="AG594" s="1428"/>
      <c r="AH594" s="1428"/>
      <c r="AI594" s="1428"/>
      <c r="AJ594" s="1428"/>
      <c r="AK594" s="1428"/>
      <c r="BB594" s="3"/>
      <c r="BC594" s="3"/>
    </row>
    <row r="595" spans="1:55" ht="12.95" customHeight="1">
      <c r="A595" s="19"/>
      <c r="B595" t="s">
        <v>946</v>
      </c>
      <c r="G595" s="1428" t="s">
        <v>1419</v>
      </c>
      <c r="H595" s="1428"/>
      <c r="I595" s="1428"/>
      <c r="J595" s="1428"/>
      <c r="K595" s="1428"/>
      <c r="L595" s="1428"/>
      <c r="M595" s="1428"/>
      <c r="N595" s="1428"/>
      <c r="O595" s="1428"/>
      <c r="P595" s="1428"/>
      <c r="Q595" s="1428"/>
      <c r="R595" s="1428"/>
      <c r="T595" s="19"/>
      <c r="U595" t="s">
        <v>946</v>
      </c>
      <c r="Z595" s="1439"/>
      <c r="AA595" s="1439"/>
      <c r="AB595" s="1439"/>
      <c r="AC595" s="1439"/>
      <c r="AD595" s="1439"/>
      <c r="AE595" s="1439"/>
      <c r="AF595" s="1439"/>
      <c r="AG595" s="1439"/>
      <c r="AH595" s="1439"/>
      <c r="AI595" s="1439"/>
      <c r="AJ595" s="1439"/>
      <c r="AK595" s="1439"/>
      <c r="BB595" s="3"/>
      <c r="BC595" s="3"/>
    </row>
    <row r="596" spans="1:55" ht="12.95" customHeight="1">
      <c r="A596" s="19"/>
      <c r="B596" t="s">
        <v>1408</v>
      </c>
      <c r="G596" s="1428" t="s">
        <v>1165</v>
      </c>
      <c r="H596" s="1428"/>
      <c r="I596" s="1428"/>
      <c r="J596" s="1428"/>
      <c r="K596" s="1428"/>
      <c r="L596" s="1428"/>
      <c r="M596" s="1428"/>
      <c r="N596" s="1428"/>
      <c r="O596" s="1428"/>
      <c r="P596" s="1428"/>
      <c r="Q596" s="1428"/>
      <c r="R596" s="1428"/>
      <c r="T596" s="19"/>
      <c r="U596" t="s">
        <v>1408</v>
      </c>
      <c r="Z596" s="1439"/>
      <c r="AA596" s="1439"/>
      <c r="AB596" s="1439"/>
      <c r="AC596" s="1439"/>
      <c r="AD596" s="1439"/>
      <c r="AE596" s="1439"/>
      <c r="AF596" s="1439"/>
      <c r="AG596" s="1439"/>
      <c r="AH596" s="1439"/>
      <c r="AI596" s="1439"/>
      <c r="AJ596" s="1439"/>
      <c r="AK596" s="1439"/>
    </row>
    <row r="597" spans="1:55" ht="12.95" customHeight="1">
      <c r="A597" s="19"/>
      <c r="B597" t="s">
        <v>839</v>
      </c>
      <c r="G597" s="1427" t="s">
        <v>1420</v>
      </c>
      <c r="H597" s="1427"/>
      <c r="I597" s="1427"/>
      <c r="J597" s="1427"/>
      <c r="K597" s="1427"/>
      <c r="L597" s="1427"/>
      <c r="O597" s="918" t="s">
        <v>1088</v>
      </c>
      <c r="P597" s="1381"/>
      <c r="Q597" s="1381"/>
      <c r="R597" s="1381"/>
      <c r="T597" s="19"/>
      <c r="U597" t="s">
        <v>839</v>
      </c>
      <c r="Z597" s="1427"/>
      <c r="AA597" s="1427"/>
      <c r="AB597" s="1427"/>
      <c r="AC597" s="1427"/>
      <c r="AD597" s="1427"/>
      <c r="AE597" s="1427"/>
      <c r="AH597" s="918" t="s">
        <v>1088</v>
      </c>
      <c r="AI597" s="1381"/>
      <c r="AJ597" s="1381"/>
      <c r="AK597" s="1381"/>
      <c r="AZ597" s="3"/>
      <c r="BA597" s="3"/>
      <c r="BB597" s="3"/>
      <c r="BC597" s="3"/>
    </row>
    <row r="598" spans="1:55" ht="12.95" customHeight="1">
      <c r="A598" s="19"/>
      <c r="B598" t="s">
        <v>1411</v>
      </c>
      <c r="H598" s="1428" t="s">
        <v>1421</v>
      </c>
      <c r="I598" s="1428"/>
      <c r="J598" s="1428"/>
      <c r="K598" s="1428"/>
      <c r="L598" s="1428"/>
      <c r="M598" s="1428"/>
      <c r="N598" s="1428"/>
      <c r="O598" s="1428"/>
      <c r="P598" s="1428"/>
      <c r="Q598" s="1428"/>
      <c r="R598" s="1428"/>
      <c r="T598" s="19"/>
      <c r="U598" t="s">
        <v>1411</v>
      </c>
      <c r="AA598" s="1428"/>
      <c r="AB598" s="1428"/>
      <c r="AC598" s="1428"/>
      <c r="AD598" s="1428"/>
      <c r="AE598" s="1428"/>
      <c r="AF598" s="1428"/>
      <c r="AG598" s="1428"/>
      <c r="AH598" s="1428"/>
      <c r="AI598" s="1428"/>
      <c r="AJ598" s="1428"/>
      <c r="AK598" s="1428"/>
      <c r="AZ598" s="3"/>
      <c r="BA598" s="3"/>
      <c r="BB598" s="3"/>
      <c r="BC598" s="3"/>
    </row>
    <row r="599" spans="1:55" ht="12.95" customHeight="1">
      <c r="A599" s="19"/>
      <c r="B599" t="s">
        <v>1417</v>
      </c>
      <c r="N599" s="1308" t="s">
        <v>860</v>
      </c>
      <c r="O599" s="1308"/>
      <c r="T599" s="19"/>
      <c r="U599" t="s">
        <v>1417</v>
      </c>
      <c r="AG599" s="1308" t="s">
        <v>700</v>
      </c>
      <c r="AH599" s="1308"/>
      <c r="AZ599" s="3"/>
      <c r="BA599" s="3"/>
      <c r="BB599" s="3"/>
      <c r="BC599" s="3"/>
    </row>
    <row r="600" spans="1:55" ht="12.95" customHeight="1">
      <c r="A600" s="19"/>
      <c r="T600" s="19"/>
      <c r="AZ600" s="3"/>
      <c r="BA600" s="3"/>
      <c r="BB600" s="3"/>
      <c r="BC600" s="3"/>
    </row>
    <row r="601" spans="1:55" ht="12.95" customHeight="1">
      <c r="A601" s="47" t="s">
        <v>1398</v>
      </c>
      <c r="B601" t="s">
        <v>1405</v>
      </c>
      <c r="G601" s="1423">
        <f>C568</f>
        <v>0</v>
      </c>
      <c r="H601" s="1423"/>
      <c r="I601" s="1423"/>
      <c r="J601" s="1423"/>
      <c r="K601" s="1423"/>
      <c r="L601" s="1423"/>
      <c r="M601" s="1423"/>
      <c r="N601" s="1423"/>
      <c r="O601" s="1423"/>
      <c r="P601" s="1423"/>
      <c r="Q601" s="1423"/>
      <c r="R601" s="1423"/>
      <c r="T601" s="47" t="s">
        <v>1399</v>
      </c>
      <c r="U601" t="s">
        <v>1405</v>
      </c>
      <c r="Z601" s="1423">
        <f>C569</f>
        <v>0</v>
      </c>
      <c r="AA601" s="1423"/>
      <c r="AB601" s="1423"/>
      <c r="AC601" s="1423"/>
      <c r="AD601" s="1423"/>
      <c r="AE601" s="1423"/>
      <c r="AF601" s="1423"/>
      <c r="AG601" s="1423"/>
      <c r="AH601" s="1423"/>
      <c r="AI601" s="1423"/>
      <c r="AJ601" s="1423"/>
      <c r="AK601" s="1423"/>
      <c r="AZ601" s="3"/>
      <c r="BA601" s="3"/>
      <c r="BB601" s="3"/>
      <c r="BC601" s="3"/>
    </row>
    <row r="602" spans="1:55" s="4" customFormat="1" ht="12.95" customHeight="1">
      <c r="A602" s="19"/>
      <c r="B602" t="s">
        <v>1081</v>
      </c>
      <c r="C602"/>
      <c r="D602"/>
      <c r="E602"/>
      <c r="F602"/>
      <c r="G602" s="1428"/>
      <c r="H602" s="1428"/>
      <c r="I602" s="1428"/>
      <c r="J602" s="1428"/>
      <c r="K602" s="1428"/>
      <c r="L602" s="1428"/>
      <c r="M602" s="1428"/>
      <c r="N602" s="1428"/>
      <c r="O602" s="1428"/>
      <c r="P602" s="1428"/>
      <c r="Q602" s="1428"/>
      <c r="R602" s="1428"/>
      <c r="S602"/>
      <c r="T602" s="19"/>
      <c r="U602" t="s">
        <v>1081</v>
      </c>
      <c r="V602"/>
      <c r="W602"/>
      <c r="X602"/>
      <c r="Y602"/>
      <c r="Z602" s="1428"/>
      <c r="AA602" s="1428"/>
      <c r="AB602" s="1428"/>
      <c r="AC602" s="1428"/>
      <c r="AD602" s="1428"/>
      <c r="AE602" s="1428"/>
      <c r="AF602" s="1428"/>
      <c r="AG602" s="1428"/>
      <c r="AH602" s="1428"/>
      <c r="AI602" s="1428"/>
      <c r="AJ602" s="1428"/>
      <c r="AK602" s="1428"/>
      <c r="AL602"/>
      <c r="AM602"/>
      <c r="AN602"/>
      <c r="AO602"/>
      <c r="AP602"/>
      <c r="AQ602"/>
      <c r="AR602"/>
      <c r="AS602"/>
      <c r="AT602"/>
      <c r="AU602"/>
      <c r="AV602"/>
      <c r="AW602"/>
      <c r="AX602"/>
      <c r="AY602"/>
      <c r="AZ602" s="3"/>
      <c r="BA602" s="3"/>
      <c r="BB602" s="3"/>
      <c r="BC602" s="3"/>
    </row>
    <row r="603" spans="1:55" s="4" customFormat="1" ht="12.95" customHeight="1">
      <c r="A603" s="19"/>
      <c r="B603" t="s">
        <v>946</v>
      </c>
      <c r="C603"/>
      <c r="D603"/>
      <c r="E603"/>
      <c r="F603"/>
      <c r="G603" s="1428"/>
      <c r="H603" s="1428"/>
      <c r="I603" s="1428"/>
      <c r="J603" s="1428"/>
      <c r="K603" s="1428"/>
      <c r="L603" s="1428"/>
      <c r="M603" s="1428"/>
      <c r="N603" s="1428"/>
      <c r="O603" s="1428"/>
      <c r="P603" s="1428"/>
      <c r="Q603" s="1428"/>
      <c r="R603" s="1428"/>
      <c r="S603"/>
      <c r="T603" s="19"/>
      <c r="U603" t="s">
        <v>946</v>
      </c>
      <c r="V603"/>
      <c r="W603"/>
      <c r="X603"/>
      <c r="Y603"/>
      <c r="Z603" s="1439"/>
      <c r="AA603" s="1439"/>
      <c r="AB603" s="1439"/>
      <c r="AC603" s="1439"/>
      <c r="AD603" s="1439"/>
      <c r="AE603" s="1439"/>
      <c r="AF603" s="1439"/>
      <c r="AG603" s="1439"/>
      <c r="AH603" s="1439"/>
      <c r="AI603" s="1439"/>
      <c r="AJ603" s="1439"/>
      <c r="AK603" s="1439"/>
      <c r="AL603"/>
      <c r="AM603"/>
      <c r="AN603"/>
      <c r="AO603"/>
      <c r="AP603"/>
      <c r="AQ603"/>
      <c r="AR603"/>
      <c r="AS603"/>
      <c r="AT603"/>
      <c r="AU603"/>
      <c r="AV603"/>
      <c r="AW603"/>
      <c r="AX603"/>
      <c r="AY603"/>
      <c r="AZ603" s="3"/>
      <c r="BA603" s="3"/>
      <c r="BB603" s="3"/>
      <c r="BC603" s="3"/>
    </row>
    <row r="604" spans="1:55" s="4" customFormat="1" ht="12.95" customHeight="1">
      <c r="A604" s="19"/>
      <c r="B604" t="s">
        <v>1408</v>
      </c>
      <c r="C604"/>
      <c r="D604"/>
      <c r="E604"/>
      <c r="F604"/>
      <c r="G604" s="1428"/>
      <c r="H604" s="1428"/>
      <c r="I604" s="1428"/>
      <c r="J604" s="1428"/>
      <c r="K604" s="1428"/>
      <c r="L604" s="1428"/>
      <c r="M604" s="1428"/>
      <c r="N604" s="1428"/>
      <c r="O604" s="1428"/>
      <c r="P604" s="1428"/>
      <c r="Q604" s="1428"/>
      <c r="R604" s="1428"/>
      <c r="S604"/>
      <c r="T604" s="19"/>
      <c r="U604" t="s">
        <v>1408</v>
      </c>
      <c r="V604"/>
      <c r="W604"/>
      <c r="X604"/>
      <c r="Y604"/>
      <c r="Z604" s="1439"/>
      <c r="AA604" s="1439"/>
      <c r="AB604" s="1439"/>
      <c r="AC604" s="1439"/>
      <c r="AD604" s="1439"/>
      <c r="AE604" s="1439"/>
      <c r="AF604" s="1439"/>
      <c r="AG604" s="1439"/>
      <c r="AH604" s="1439"/>
      <c r="AI604" s="1439"/>
      <c r="AJ604" s="1439"/>
      <c r="AK604" s="1439"/>
      <c r="AL604"/>
      <c r="AM604"/>
      <c r="AN604"/>
      <c r="AO604"/>
      <c r="AP604"/>
      <c r="AQ604"/>
      <c r="AR604"/>
      <c r="AS604"/>
      <c r="AT604"/>
      <c r="AU604"/>
      <c r="AV604"/>
      <c r="AW604"/>
      <c r="AX604"/>
      <c r="AY604"/>
      <c r="AZ604" s="3"/>
      <c r="BA604" s="3"/>
      <c r="BB604" s="3"/>
      <c r="BC604" s="3"/>
    </row>
    <row r="605" spans="1:55" s="4" customFormat="1" ht="12.95" customHeight="1">
      <c r="A605" s="19"/>
      <c r="B605" t="s">
        <v>839</v>
      </c>
      <c r="C605"/>
      <c r="D605"/>
      <c r="E605"/>
      <c r="F605"/>
      <c r="G605" s="1427"/>
      <c r="H605" s="1427"/>
      <c r="I605" s="1427"/>
      <c r="J605" s="1427"/>
      <c r="K605" s="1427"/>
      <c r="L605" s="1427"/>
      <c r="M605"/>
      <c r="N605"/>
      <c r="O605" s="918" t="s">
        <v>1088</v>
      </c>
      <c r="P605" s="1381"/>
      <c r="Q605" s="1381"/>
      <c r="R605" s="1381"/>
      <c r="S605"/>
      <c r="T605" s="19"/>
      <c r="U605" t="s">
        <v>839</v>
      </c>
      <c r="V605"/>
      <c r="W605"/>
      <c r="X605"/>
      <c r="Y605"/>
      <c r="Z605" s="1427"/>
      <c r="AA605" s="1427"/>
      <c r="AB605" s="1427"/>
      <c r="AC605" s="1427"/>
      <c r="AD605" s="1427"/>
      <c r="AE605" s="1427"/>
      <c r="AF605"/>
      <c r="AG605"/>
      <c r="AH605" s="918" t="s">
        <v>1088</v>
      </c>
      <c r="AI605" s="1381"/>
      <c r="AJ605" s="1381"/>
      <c r="AK605" s="1381"/>
      <c r="AL605"/>
      <c r="AM605"/>
      <c r="AN605"/>
      <c r="AO605"/>
      <c r="AP605"/>
      <c r="AQ605"/>
      <c r="AR605"/>
      <c r="AS605"/>
      <c r="AT605"/>
      <c r="AU605"/>
      <c r="AV605"/>
      <c r="AW605"/>
      <c r="AX605"/>
      <c r="AY605"/>
      <c r="AZ605" s="3"/>
      <c r="BA605" s="3"/>
      <c r="BB605" s="3"/>
      <c r="BC605" s="3"/>
    </row>
    <row r="606" spans="1:55" s="4" customFormat="1" ht="12.95" customHeight="1">
      <c r="A606" s="19"/>
      <c r="B606" t="s">
        <v>1411</v>
      </c>
      <c r="C606"/>
      <c r="D606"/>
      <c r="E606"/>
      <c r="F606"/>
      <c r="G606"/>
      <c r="H606" s="1428"/>
      <c r="I606" s="1428"/>
      <c r="J606" s="1428"/>
      <c r="K606" s="1428"/>
      <c r="L606" s="1428"/>
      <c r="M606" s="1428"/>
      <c r="N606" s="1428"/>
      <c r="O606" s="1428"/>
      <c r="P606" s="1428"/>
      <c r="Q606" s="1428"/>
      <c r="R606" s="1428"/>
      <c r="S606"/>
      <c r="T606" s="19"/>
      <c r="U606" t="s">
        <v>1411</v>
      </c>
      <c r="V606"/>
      <c r="W606"/>
      <c r="X606"/>
      <c r="Y606"/>
      <c r="Z606"/>
      <c r="AA606" s="1428"/>
      <c r="AB606" s="1428"/>
      <c r="AC606" s="1428"/>
      <c r="AD606" s="1428"/>
      <c r="AE606" s="1428"/>
      <c r="AF606" s="1428"/>
      <c r="AG606" s="1428"/>
      <c r="AH606" s="1428"/>
      <c r="AI606" s="1428"/>
      <c r="AJ606" s="1428"/>
      <c r="AK606" s="1428"/>
      <c r="AL606"/>
      <c r="AM606"/>
      <c r="AN606"/>
      <c r="AO606"/>
      <c r="AP606"/>
      <c r="AQ606"/>
      <c r="AR606"/>
      <c r="AS606"/>
      <c r="AT606"/>
      <c r="AU606"/>
      <c r="AV606"/>
      <c r="AW606"/>
      <c r="AX606"/>
      <c r="AY606"/>
      <c r="AZ606" s="3"/>
      <c r="BA606" s="3"/>
      <c r="BB606" s="3"/>
      <c r="BC606" s="3"/>
    </row>
    <row r="607" spans="1:55" ht="12.95" customHeight="1">
      <c r="A607" s="19"/>
      <c r="B607" t="s">
        <v>1417</v>
      </c>
      <c r="N607" s="1308" t="s">
        <v>700</v>
      </c>
      <c r="O607" s="1308"/>
      <c r="T607" s="19"/>
      <c r="U607" t="s">
        <v>1417</v>
      </c>
      <c r="AG607" s="1308" t="s">
        <v>700</v>
      </c>
      <c r="AH607" s="1308"/>
      <c r="BB607" s="3"/>
      <c r="BC607" s="3"/>
    </row>
    <row r="608" spans="1:55" ht="12.95" customHeight="1">
      <c r="A608" s="19"/>
      <c r="T608" s="19"/>
      <c r="BB608" s="3"/>
      <c r="BC608" s="3"/>
    </row>
    <row r="609" spans="1:55" ht="12.95" customHeight="1">
      <c r="A609" s="47" t="s">
        <v>1400</v>
      </c>
      <c r="B609" t="s">
        <v>1405</v>
      </c>
      <c r="G609" s="1423">
        <f>C570</f>
        <v>0</v>
      </c>
      <c r="H609" s="1423"/>
      <c r="I609" s="1423"/>
      <c r="J609" s="1423"/>
      <c r="K609" s="1423"/>
      <c r="L609" s="1423"/>
      <c r="M609" s="1423"/>
      <c r="N609" s="1423"/>
      <c r="O609" s="1423"/>
      <c r="P609" s="1423"/>
      <c r="Q609" s="1423"/>
      <c r="R609" s="1423"/>
      <c r="T609" s="47" t="s">
        <v>1401</v>
      </c>
      <c r="U609" t="s">
        <v>1405</v>
      </c>
      <c r="Z609" s="1423">
        <f>C571</f>
        <v>0</v>
      </c>
      <c r="AA609" s="1423"/>
      <c r="AB609" s="1423"/>
      <c r="AC609" s="1423"/>
      <c r="AD609" s="1423"/>
      <c r="AE609" s="1423"/>
      <c r="AF609" s="1423"/>
      <c r="AG609" s="1423"/>
      <c r="AH609" s="1423"/>
      <c r="AI609" s="1423"/>
      <c r="AJ609" s="1423"/>
      <c r="AK609" s="1423"/>
      <c r="BB609" s="3"/>
      <c r="BC609" s="3"/>
    </row>
    <row r="610" spans="1:55" ht="12.95" customHeight="1">
      <c r="A610" s="19"/>
      <c r="B610" t="s">
        <v>1081</v>
      </c>
      <c r="G610" s="1428"/>
      <c r="H610" s="1428"/>
      <c r="I610" s="1428"/>
      <c r="J610" s="1428"/>
      <c r="K610" s="1428"/>
      <c r="L610" s="1428"/>
      <c r="M610" s="1428"/>
      <c r="N610" s="1428"/>
      <c r="O610" s="1428"/>
      <c r="P610" s="1428"/>
      <c r="Q610" s="1428"/>
      <c r="R610" s="1428"/>
      <c r="T610" s="19"/>
      <c r="U610" t="s">
        <v>1081</v>
      </c>
      <c r="Z610" s="1428"/>
      <c r="AA610" s="1428"/>
      <c r="AB610" s="1428"/>
      <c r="AC610" s="1428"/>
      <c r="AD610" s="1428"/>
      <c r="AE610" s="1428"/>
      <c r="AF610" s="1428"/>
      <c r="AG610" s="1428"/>
      <c r="AH610" s="1428"/>
      <c r="AI610" s="1428"/>
      <c r="AJ610" s="1428"/>
      <c r="AK610" s="1428"/>
      <c r="AZ610" s="3"/>
      <c r="BA610" s="3"/>
      <c r="BB610" s="3"/>
      <c r="BC610" s="3"/>
    </row>
    <row r="611" spans="1:55" ht="12.95" customHeight="1">
      <c r="A611" s="19"/>
      <c r="B611" t="s">
        <v>946</v>
      </c>
      <c r="G611" s="1428"/>
      <c r="H611" s="1428"/>
      <c r="I611" s="1428"/>
      <c r="J611" s="1428"/>
      <c r="K611" s="1428"/>
      <c r="L611" s="1428"/>
      <c r="M611" s="1428"/>
      <c r="N611" s="1428"/>
      <c r="O611" s="1428"/>
      <c r="P611" s="1428"/>
      <c r="Q611" s="1428"/>
      <c r="R611" s="1428"/>
      <c r="T611" s="19"/>
      <c r="U611" t="s">
        <v>946</v>
      </c>
      <c r="Z611" s="1439"/>
      <c r="AA611" s="1439"/>
      <c r="AB611" s="1439"/>
      <c r="AC611" s="1439"/>
      <c r="AD611" s="1439"/>
      <c r="AE611" s="1439"/>
      <c r="AF611" s="1439"/>
      <c r="AG611" s="1439"/>
      <c r="AH611" s="1439"/>
      <c r="AI611" s="1439"/>
      <c r="AJ611" s="1439"/>
      <c r="AK611" s="1439"/>
      <c r="AZ611" s="3"/>
      <c r="BA611" s="3"/>
      <c r="BB611" s="3"/>
      <c r="BC611" s="3"/>
    </row>
    <row r="612" spans="1:55" ht="12.95" customHeight="1">
      <c r="A612" s="19"/>
      <c r="B612" t="s">
        <v>1408</v>
      </c>
      <c r="G612" s="1428"/>
      <c r="H612" s="1428"/>
      <c r="I612" s="1428"/>
      <c r="J612" s="1428"/>
      <c r="K612" s="1428"/>
      <c r="L612" s="1428"/>
      <c r="M612" s="1428"/>
      <c r="N612" s="1428"/>
      <c r="O612" s="1428"/>
      <c r="P612" s="1428"/>
      <c r="Q612" s="1428"/>
      <c r="R612" s="1428"/>
      <c r="T612" s="19"/>
      <c r="U612" t="s">
        <v>1408</v>
      </c>
      <c r="Z612" s="1439"/>
      <c r="AA612" s="1439"/>
      <c r="AB612" s="1439"/>
      <c r="AC612" s="1439"/>
      <c r="AD612" s="1439"/>
      <c r="AE612" s="1439"/>
      <c r="AF612" s="1439"/>
      <c r="AG612" s="1439"/>
      <c r="AH612" s="1439"/>
      <c r="AI612" s="1439"/>
      <c r="AJ612" s="1439"/>
      <c r="AK612" s="1439"/>
      <c r="AZ612" s="3"/>
      <c r="BA612" s="3"/>
      <c r="BB612" s="3"/>
      <c r="BC612" s="3"/>
    </row>
    <row r="613" spans="1:55" s="4" customFormat="1" ht="12.95" customHeight="1">
      <c r="A613" s="19"/>
      <c r="B613" t="s">
        <v>839</v>
      </c>
      <c r="C613"/>
      <c r="D613"/>
      <c r="E613"/>
      <c r="F613"/>
      <c r="G613" s="1427"/>
      <c r="H613" s="1427"/>
      <c r="I613" s="1427"/>
      <c r="J613" s="1427"/>
      <c r="K613" s="1427"/>
      <c r="L613" s="1427"/>
      <c r="M613"/>
      <c r="N613"/>
      <c r="O613" s="918" t="s">
        <v>1088</v>
      </c>
      <c r="P613" s="1381"/>
      <c r="Q613" s="1381"/>
      <c r="R613" s="1381"/>
      <c r="S613"/>
      <c r="T613" s="19"/>
      <c r="U613" t="s">
        <v>839</v>
      </c>
      <c r="V613"/>
      <c r="W613"/>
      <c r="X613"/>
      <c r="Y613"/>
      <c r="Z613" s="1427"/>
      <c r="AA613" s="1427"/>
      <c r="AB613" s="1427"/>
      <c r="AC613" s="1427"/>
      <c r="AD613" s="1427"/>
      <c r="AE613" s="1427"/>
      <c r="AF613"/>
      <c r="AG613"/>
      <c r="AH613" s="918" t="s">
        <v>1088</v>
      </c>
      <c r="AI613" s="1381"/>
      <c r="AJ613" s="1381"/>
      <c r="AK613" s="1381"/>
      <c r="AL613"/>
      <c r="AM613"/>
      <c r="AN613"/>
      <c r="AO613"/>
      <c r="AP613"/>
      <c r="AQ613"/>
      <c r="AR613"/>
      <c r="AS613"/>
      <c r="AT613"/>
      <c r="AU613"/>
      <c r="AV613"/>
      <c r="AW613"/>
      <c r="AX613"/>
      <c r="AY613"/>
      <c r="AZ613" s="3"/>
      <c r="BA613" s="3"/>
      <c r="BB613" s="3"/>
      <c r="BC613" s="3"/>
    </row>
    <row r="614" spans="1:55" s="4" customFormat="1" ht="12.95" customHeight="1">
      <c r="A614" s="19"/>
      <c r="B614" t="s">
        <v>1411</v>
      </c>
      <c r="C614"/>
      <c r="D614"/>
      <c r="E614"/>
      <c r="F614"/>
      <c r="G614"/>
      <c r="H614" s="1428"/>
      <c r="I614" s="1428"/>
      <c r="J614" s="1428"/>
      <c r="K614" s="1428"/>
      <c r="L614" s="1428"/>
      <c r="M614" s="1428"/>
      <c r="N614" s="1428"/>
      <c r="O614" s="1428"/>
      <c r="P614" s="1428"/>
      <c r="Q614" s="1428"/>
      <c r="R614" s="1428"/>
      <c r="S614"/>
      <c r="T614" s="19"/>
      <c r="U614" t="s">
        <v>1411</v>
      </c>
      <c r="V614"/>
      <c r="W614"/>
      <c r="X614"/>
      <c r="Y614"/>
      <c r="Z614"/>
      <c r="AA614" s="1428"/>
      <c r="AB614" s="1428"/>
      <c r="AC614" s="1428"/>
      <c r="AD614" s="1428"/>
      <c r="AE614" s="1428"/>
      <c r="AF614" s="1428"/>
      <c r="AG614" s="1428"/>
      <c r="AH614" s="1428"/>
      <c r="AI614" s="1428"/>
      <c r="AJ614" s="1428"/>
      <c r="AK614" s="1428"/>
      <c r="AL614"/>
      <c r="AM614"/>
      <c r="AN614"/>
      <c r="AO614"/>
      <c r="AP614"/>
      <c r="AQ614"/>
      <c r="AR614"/>
      <c r="AS614"/>
      <c r="AT614"/>
      <c r="AU614"/>
      <c r="AV614"/>
      <c r="AW614"/>
      <c r="AX614"/>
      <c r="AY614"/>
      <c r="AZ614" s="3"/>
      <c r="BA614" s="3"/>
      <c r="BB614" s="3"/>
      <c r="BC614" s="3"/>
    </row>
    <row r="615" spans="1:55" s="4" customFormat="1" ht="12.95" customHeight="1">
      <c r="A615" s="19"/>
      <c r="B615" t="s">
        <v>1417</v>
      </c>
      <c r="C615"/>
      <c r="D615"/>
      <c r="E615"/>
      <c r="F615"/>
      <c r="G615"/>
      <c r="H615"/>
      <c r="I615"/>
      <c r="J615"/>
      <c r="K615"/>
      <c r="L615"/>
      <c r="M615"/>
      <c r="N615" s="1308" t="s">
        <v>700</v>
      </c>
      <c r="O615" s="1308"/>
      <c r="P615"/>
      <c r="Q615"/>
      <c r="R615"/>
      <c r="S615"/>
      <c r="T615" s="19"/>
      <c r="U615" t="s">
        <v>1417</v>
      </c>
      <c r="V615"/>
      <c r="W615"/>
      <c r="X615"/>
      <c r="Y615"/>
      <c r="Z615"/>
      <c r="AA615"/>
      <c r="AB615"/>
      <c r="AC615"/>
      <c r="AD615"/>
      <c r="AE615"/>
      <c r="AF615"/>
      <c r="AG615" s="1308" t="s">
        <v>700</v>
      </c>
      <c r="AH615" s="1308"/>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1402</v>
      </c>
      <c r="B617" t="s">
        <v>1405</v>
      </c>
      <c r="G617" s="1423">
        <f>C572</f>
        <v>0</v>
      </c>
      <c r="H617" s="1423"/>
      <c r="I617" s="1423"/>
      <c r="J617" s="1423"/>
      <c r="K617" s="1423"/>
      <c r="L617" s="1423"/>
      <c r="M617" s="1423"/>
      <c r="N617" s="1423"/>
      <c r="O617" s="1423"/>
      <c r="P617" s="1423"/>
      <c r="Q617" s="1423"/>
      <c r="R617" s="1423"/>
      <c r="T617" s="47" t="s">
        <v>1403</v>
      </c>
      <c r="U617" t="s">
        <v>1405</v>
      </c>
      <c r="Z617" s="1423">
        <f>C573</f>
        <v>0</v>
      </c>
      <c r="AA617" s="1423"/>
      <c r="AB617" s="1423"/>
      <c r="AC617" s="1423"/>
      <c r="AD617" s="1423"/>
      <c r="AE617" s="1423"/>
      <c r="AF617" s="1423"/>
      <c r="AG617" s="1423"/>
      <c r="AH617" s="1423"/>
      <c r="AI617" s="1423"/>
      <c r="AJ617" s="1423"/>
      <c r="AK617" s="1423"/>
      <c r="AZ617" s="3"/>
      <c r="BA617" s="3"/>
      <c r="BB617" s="3"/>
      <c r="BC617" s="3"/>
    </row>
    <row r="618" spans="1:55" ht="12.95" customHeight="1">
      <c r="B618" t="s">
        <v>1081</v>
      </c>
      <c r="G618" s="1428"/>
      <c r="H618" s="1428"/>
      <c r="I618" s="1428"/>
      <c r="J618" s="1428"/>
      <c r="K618" s="1428"/>
      <c r="L618" s="1428"/>
      <c r="M618" s="1428"/>
      <c r="N618" s="1428"/>
      <c r="O618" s="1428"/>
      <c r="P618" s="1428"/>
      <c r="Q618" s="1428"/>
      <c r="R618" s="1428"/>
      <c r="U618" t="s">
        <v>1081</v>
      </c>
      <c r="Z618" s="1428"/>
      <c r="AA618" s="1428"/>
      <c r="AB618" s="1428"/>
      <c r="AC618" s="1428"/>
      <c r="AD618" s="1428"/>
      <c r="AE618" s="1428"/>
      <c r="AF618" s="1428"/>
      <c r="AG618" s="1428"/>
      <c r="AH618" s="1428"/>
      <c r="AI618" s="1428"/>
      <c r="AJ618" s="1428"/>
      <c r="AK618" s="1428"/>
      <c r="AZ618" s="3"/>
      <c r="BA618" s="3"/>
      <c r="BB618" s="3"/>
      <c r="BC618" s="3"/>
    </row>
    <row r="619" spans="1:55" ht="12.95" customHeight="1">
      <c r="B619" t="s">
        <v>946</v>
      </c>
      <c r="G619" s="1428"/>
      <c r="H619" s="1428"/>
      <c r="I619" s="1428"/>
      <c r="J619" s="1428"/>
      <c r="K619" s="1428"/>
      <c r="L619" s="1428"/>
      <c r="M619" s="1428"/>
      <c r="N619" s="1428"/>
      <c r="O619" s="1428"/>
      <c r="P619" s="1428"/>
      <c r="Q619" s="1428"/>
      <c r="R619" s="1428"/>
      <c r="U619" t="s">
        <v>946</v>
      </c>
      <c r="Z619" s="1439"/>
      <c r="AA619" s="1439"/>
      <c r="AB619" s="1439"/>
      <c r="AC619" s="1439"/>
      <c r="AD619" s="1439"/>
      <c r="AE619" s="1439"/>
      <c r="AF619" s="1439"/>
      <c r="AG619" s="1439"/>
      <c r="AH619" s="1439"/>
      <c r="AI619" s="1439"/>
      <c r="AJ619" s="1439"/>
      <c r="AK619" s="1439"/>
      <c r="AZ619" s="3"/>
      <c r="BA619" s="3"/>
      <c r="BB619" s="3"/>
      <c r="BC619" s="3"/>
    </row>
    <row r="620" spans="1:55" ht="12.95" customHeight="1">
      <c r="B620" t="s">
        <v>1408</v>
      </c>
      <c r="G620" s="1428"/>
      <c r="H620" s="1428"/>
      <c r="I620" s="1428"/>
      <c r="J620" s="1428"/>
      <c r="K620" s="1428"/>
      <c r="L620" s="1428"/>
      <c r="M620" s="1428"/>
      <c r="N620" s="1428"/>
      <c r="O620" s="1428"/>
      <c r="P620" s="1428"/>
      <c r="Q620" s="1428"/>
      <c r="R620" s="1428"/>
      <c r="U620" t="s">
        <v>1408</v>
      </c>
      <c r="Z620" s="1439"/>
      <c r="AA620" s="1439"/>
      <c r="AB620" s="1439"/>
      <c r="AC620" s="1439"/>
      <c r="AD620" s="1439"/>
      <c r="AE620" s="1439"/>
      <c r="AF620" s="1439"/>
      <c r="AG620" s="1439"/>
      <c r="AH620" s="1439"/>
      <c r="AI620" s="1439"/>
      <c r="AJ620" s="1439"/>
      <c r="AK620" s="1439"/>
      <c r="AZ620" s="3"/>
      <c r="BA620" s="3"/>
      <c r="BB620" s="3"/>
      <c r="BC620" s="3"/>
    </row>
    <row r="621" spans="1:55" ht="12.95" customHeight="1">
      <c r="B621" t="s">
        <v>839</v>
      </c>
      <c r="G621" s="1427"/>
      <c r="H621" s="1427"/>
      <c r="I621" s="1427"/>
      <c r="J621" s="1427"/>
      <c r="K621" s="1427"/>
      <c r="L621" s="1427"/>
      <c r="O621" s="918" t="s">
        <v>1088</v>
      </c>
      <c r="P621" s="1381"/>
      <c r="Q621" s="1381"/>
      <c r="R621" s="1381"/>
      <c r="U621" t="s">
        <v>839</v>
      </c>
      <c r="Z621" s="1427"/>
      <c r="AA621" s="1427"/>
      <c r="AB621" s="1427"/>
      <c r="AC621" s="1427"/>
      <c r="AD621" s="1427"/>
      <c r="AE621" s="1427"/>
      <c r="AH621" s="918" t="s">
        <v>1088</v>
      </c>
      <c r="AI621" s="1381"/>
      <c r="AJ621" s="1381"/>
      <c r="AK621" s="1381"/>
      <c r="AZ621" s="3"/>
      <c r="BA621" s="3"/>
      <c r="BB621" s="3"/>
      <c r="BC621" s="3"/>
    </row>
    <row r="622" spans="1:55" ht="12.95" customHeight="1">
      <c r="B622" t="s">
        <v>1411</v>
      </c>
      <c r="H622" s="1428"/>
      <c r="I622" s="1428"/>
      <c r="J622" s="1428"/>
      <c r="K622" s="1428"/>
      <c r="L622" s="1428"/>
      <c r="M622" s="1428"/>
      <c r="N622" s="1428"/>
      <c r="O622" s="1428"/>
      <c r="P622" s="1428"/>
      <c r="Q622" s="1428"/>
      <c r="R622" s="1428"/>
      <c r="U622" t="s">
        <v>1411</v>
      </c>
      <c r="AA622" s="1428"/>
      <c r="AB622" s="1428"/>
      <c r="AC622" s="1428"/>
      <c r="AD622" s="1428"/>
      <c r="AE622" s="1428"/>
      <c r="AF622" s="1428"/>
      <c r="AG622" s="1428"/>
      <c r="AH622" s="1428"/>
      <c r="AI622" s="1428"/>
      <c r="AJ622" s="1428"/>
      <c r="AK622" s="1428"/>
      <c r="AU622" s="791"/>
      <c r="AV622" s="791"/>
      <c r="AW622" s="791"/>
      <c r="AX622" s="791"/>
      <c r="AY622" s="791"/>
      <c r="AZ622" s="3"/>
      <c r="BA622" s="3"/>
      <c r="BB622" s="3"/>
      <c r="BC622" s="3"/>
    </row>
    <row r="623" spans="1:55" ht="12.95" customHeight="1">
      <c r="B623" t="s">
        <v>1417</v>
      </c>
      <c r="N623" s="1308" t="s">
        <v>700</v>
      </c>
      <c r="O623" s="1308"/>
      <c r="U623" t="s">
        <v>1417</v>
      </c>
      <c r="AG623" s="1308" t="s">
        <v>700</v>
      </c>
      <c r="AH623" s="1308"/>
      <c r="AU623" s="791"/>
      <c r="AV623" s="791"/>
      <c r="AW623" s="791"/>
      <c r="AX623" s="791"/>
      <c r="AY623" s="791"/>
      <c r="AZ623" s="3"/>
      <c r="BA623" s="3"/>
      <c r="BB623" s="3"/>
      <c r="BC623" s="3"/>
    </row>
    <row r="624" spans="1:55" ht="12.95" customHeight="1">
      <c r="AZ624" s="3"/>
      <c r="BA624" s="3"/>
      <c r="BB624" s="3"/>
      <c r="BC624" s="3"/>
    </row>
    <row r="625" spans="1:56" ht="12.95" customHeight="1">
      <c r="A625" s="1228" t="s">
        <v>1422</v>
      </c>
      <c r="B625" s="1228"/>
      <c r="C625" s="1228"/>
      <c r="D625" s="1228"/>
      <c r="E625" s="1228"/>
      <c r="F625" s="1228"/>
      <c r="G625" s="1228"/>
      <c r="H625" s="1228"/>
      <c r="I625" s="1228"/>
      <c r="J625" s="1228"/>
      <c r="K625" s="1228"/>
      <c r="L625" s="1228"/>
      <c r="M625" s="1228"/>
      <c r="N625" s="1228"/>
      <c r="O625" s="1228"/>
      <c r="P625" s="1228"/>
      <c r="Q625" s="1228"/>
      <c r="R625" s="1228"/>
      <c r="S625" s="1228"/>
      <c r="T625" s="1228"/>
      <c r="U625" s="1228"/>
      <c r="V625" s="1228"/>
      <c r="W625" s="1228"/>
      <c r="X625" s="1228"/>
      <c r="Y625" s="1228"/>
      <c r="Z625" s="1228"/>
      <c r="AA625" s="1228"/>
      <c r="AB625" s="1228"/>
      <c r="AC625" s="1228"/>
      <c r="AD625" s="1228"/>
      <c r="AE625" s="1228"/>
      <c r="AF625" s="1228"/>
      <c r="AG625" s="1228"/>
      <c r="AH625" s="1228"/>
      <c r="AI625" s="1228"/>
      <c r="AJ625" s="1228"/>
      <c r="AK625" s="1228"/>
      <c r="AL625" s="1228"/>
      <c r="AM625" s="1228"/>
      <c r="AN625" s="1228"/>
      <c r="AO625" s="1228"/>
      <c r="AP625" s="1228"/>
      <c r="AQ625" s="1228"/>
      <c r="AR625" s="1228"/>
      <c r="AS625" s="1228"/>
      <c r="AT625" s="1228"/>
      <c r="AZ625" s="3"/>
      <c r="BA625" s="3"/>
      <c r="BB625" s="3"/>
      <c r="BC625" s="3"/>
    </row>
    <row r="626" spans="1:56" ht="12.95" customHeight="1">
      <c r="A626" s="1228"/>
      <c r="B626" s="1228"/>
      <c r="C626" s="1228"/>
      <c r="D626" s="1228"/>
      <c r="E626" s="1228"/>
      <c r="F626" s="1228"/>
      <c r="G626" s="1228"/>
      <c r="H626" s="1228"/>
      <c r="I626" s="1228"/>
      <c r="J626" s="1228"/>
      <c r="K626" s="1228"/>
      <c r="L626" s="1228"/>
      <c r="M626" s="1228"/>
      <c r="N626" s="1228"/>
      <c r="O626" s="1228"/>
      <c r="P626" s="1228"/>
      <c r="Q626" s="1228"/>
      <c r="R626" s="1228"/>
      <c r="S626" s="1228"/>
      <c r="T626" s="1228"/>
      <c r="U626" s="1228"/>
      <c r="V626" s="1228"/>
      <c r="W626" s="1228"/>
      <c r="X626" s="1228"/>
      <c r="Y626" s="1228"/>
      <c r="Z626" s="1228"/>
      <c r="AA626" s="1228"/>
      <c r="AB626" s="1228"/>
      <c r="AC626" s="1228"/>
      <c r="AD626" s="1228"/>
      <c r="AE626" s="1228"/>
      <c r="AF626" s="1228"/>
      <c r="AG626" s="1228"/>
      <c r="AH626" s="1228"/>
      <c r="AI626" s="1228"/>
      <c r="AJ626" s="1228"/>
      <c r="AK626" s="1228"/>
      <c r="AL626" s="1228"/>
      <c r="AM626" s="1228"/>
      <c r="AN626" s="1228"/>
      <c r="AO626" s="1228"/>
      <c r="AP626" s="1228"/>
      <c r="AQ626" s="1228"/>
      <c r="AR626" s="1228"/>
      <c r="AS626" s="1228"/>
      <c r="AT626" s="1228"/>
      <c r="AZ626" s="3"/>
      <c r="BA626" s="3"/>
      <c r="BB626" s="3"/>
      <c r="BC626" s="3"/>
    </row>
    <row r="627" spans="1:56" ht="12.95" customHeight="1">
      <c r="AZ627" s="3"/>
      <c r="BA627" s="3"/>
      <c r="BB627" s="3"/>
      <c r="BC627" s="3"/>
    </row>
    <row r="628" spans="1:56" ht="12.95" customHeight="1">
      <c r="A628" s="2" t="s">
        <v>885</v>
      </c>
      <c r="B628" s="2"/>
      <c r="C628" s="2" t="s">
        <v>175</v>
      </c>
      <c r="AZ628" s="3"/>
      <c r="BA628" s="3"/>
      <c r="BB628" s="3"/>
      <c r="BC628" s="3"/>
    </row>
    <row r="629" spans="1:56" ht="12.95" customHeight="1">
      <c r="A629" s="2"/>
      <c r="B629" s="2"/>
      <c r="C629" s="2"/>
      <c r="AZ629" s="3"/>
      <c r="BA629" s="3"/>
      <c r="BB629" s="3"/>
      <c r="BC629" s="3"/>
    </row>
    <row r="630" spans="1:56" ht="12.95" customHeight="1">
      <c r="C630" s="2" t="s">
        <v>1382</v>
      </c>
      <c r="AZ630" s="3"/>
      <c r="BA630" s="3"/>
      <c r="BB630" s="3"/>
      <c r="BC630" s="3"/>
    </row>
    <row r="631" spans="1:56" ht="12.95" customHeight="1">
      <c r="B631" s="412"/>
      <c r="C631" s="2"/>
      <c r="AU631" s="3"/>
      <c r="AZ631" s="3"/>
      <c r="BA631" s="3"/>
      <c r="BB631" s="3"/>
      <c r="BC631" s="3"/>
    </row>
    <row r="632" spans="1:56" ht="12.95" customHeight="1">
      <c r="B632" s="1449" t="s">
        <v>1383</v>
      </c>
      <c r="C632" s="1449"/>
      <c r="D632" s="1449"/>
      <c r="E632" s="1449"/>
      <c r="F632" s="1449"/>
      <c r="G632" s="1449"/>
      <c r="H632" s="1449"/>
      <c r="I632" s="1449"/>
      <c r="J632" s="1449"/>
      <c r="K632" s="1449"/>
      <c r="L632" s="1449"/>
      <c r="M632" s="1418" t="s">
        <v>1384</v>
      </c>
      <c r="N632" s="1418"/>
      <c r="O632" s="1418"/>
      <c r="P632" s="1418"/>
      <c r="Q632" s="1418" t="s">
        <v>1423</v>
      </c>
      <c r="R632" s="1418"/>
      <c r="S632" s="1418"/>
      <c r="T632" s="1418" t="s">
        <v>1424</v>
      </c>
      <c r="U632" s="1418"/>
      <c r="V632" s="1418"/>
      <c r="W632" s="1652" t="s">
        <v>1387</v>
      </c>
      <c r="X632" s="1652"/>
      <c r="Y632" s="1652"/>
      <c r="Z632" s="1465" t="s">
        <v>1425</v>
      </c>
      <c r="AA632" s="1465"/>
      <c r="AB632" s="1466"/>
      <c r="AC632" s="1638" t="s">
        <v>1389</v>
      </c>
      <c r="AD632" s="1639"/>
      <c r="AE632" s="1640"/>
      <c r="AF632" s="1622" t="s">
        <v>1426</v>
      </c>
      <c r="AG632" s="1465"/>
      <c r="AH632" s="1465"/>
      <c r="AI632" s="1465"/>
      <c r="AJ632" s="1466"/>
      <c r="AK632" s="1653" t="s">
        <v>1427</v>
      </c>
      <c r="AL632" s="1654"/>
      <c r="AM632" s="1654"/>
      <c r="AN632" s="1655"/>
      <c r="AO632" s="1418" t="s">
        <v>1391</v>
      </c>
      <c r="AP632" s="1418"/>
      <c r="AQ632" s="1418"/>
      <c r="AR632" s="1418"/>
      <c r="AS632" s="1418"/>
      <c r="AU632" s="3"/>
      <c r="AZ632" s="3"/>
      <c r="BA632" s="3"/>
      <c r="BB632" s="3"/>
      <c r="BC632" s="3"/>
    </row>
    <row r="633" spans="1:56" ht="12.95" customHeight="1">
      <c r="B633" s="1449"/>
      <c r="C633" s="1449"/>
      <c r="D633" s="1449"/>
      <c r="E633" s="1449"/>
      <c r="F633" s="1449"/>
      <c r="G633" s="1449"/>
      <c r="H633" s="1449"/>
      <c r="I633" s="1449"/>
      <c r="J633" s="1449"/>
      <c r="K633" s="1449"/>
      <c r="L633" s="1449"/>
      <c r="M633" s="1418"/>
      <c r="N633" s="1418"/>
      <c r="O633" s="1418"/>
      <c r="P633" s="1418"/>
      <c r="Q633" s="1418"/>
      <c r="R633" s="1418"/>
      <c r="S633" s="1418"/>
      <c r="T633" s="1418"/>
      <c r="U633" s="1418"/>
      <c r="V633" s="1418"/>
      <c r="W633" s="1652"/>
      <c r="X633" s="1652"/>
      <c r="Y633" s="1652"/>
      <c r="Z633" s="1467"/>
      <c r="AA633" s="1467"/>
      <c r="AB633" s="1468"/>
      <c r="AC633" s="1641"/>
      <c r="AD633" s="1642"/>
      <c r="AE633" s="1643"/>
      <c r="AF633" s="1623"/>
      <c r="AG633" s="1467"/>
      <c r="AH633" s="1467"/>
      <c r="AI633" s="1467"/>
      <c r="AJ633" s="1468"/>
      <c r="AK633" s="1656"/>
      <c r="AL633" s="1657"/>
      <c r="AM633" s="1657"/>
      <c r="AN633" s="1658"/>
      <c r="AO633" s="1418"/>
      <c r="AP633" s="1418"/>
      <c r="AQ633" s="1418"/>
      <c r="AR633" s="1418"/>
      <c r="AS633" s="1418"/>
      <c r="AU633" s="3"/>
      <c r="AZ633" s="3"/>
      <c r="BA633" s="3"/>
      <c r="BB633" s="3"/>
      <c r="BC633" s="3"/>
      <c r="BD633" s="3"/>
    </row>
    <row r="634" spans="1:56" ht="12.95" customHeight="1">
      <c r="B634" s="1449"/>
      <c r="C634" s="1449"/>
      <c r="D634" s="1449"/>
      <c r="E634" s="1449"/>
      <c r="F634" s="1449"/>
      <c r="G634" s="1449"/>
      <c r="H634" s="1449"/>
      <c r="I634" s="1449"/>
      <c r="J634" s="1449"/>
      <c r="K634" s="1449"/>
      <c r="L634" s="1449"/>
      <c r="M634" s="1418"/>
      <c r="N634" s="1418"/>
      <c r="O634" s="1418"/>
      <c r="P634" s="1418"/>
      <c r="Q634" s="1418"/>
      <c r="R634" s="1418"/>
      <c r="S634" s="1418"/>
      <c r="T634" s="1418"/>
      <c r="U634" s="1418"/>
      <c r="V634" s="1418"/>
      <c r="W634" s="1652"/>
      <c r="X634" s="1652"/>
      <c r="Y634" s="1652"/>
      <c r="Z634" s="1469"/>
      <c r="AA634" s="1469"/>
      <c r="AB634" s="1470"/>
      <c r="AC634" s="1644"/>
      <c r="AD634" s="1645"/>
      <c r="AE634" s="1646"/>
      <c r="AF634" s="1624"/>
      <c r="AG634" s="1469"/>
      <c r="AH634" s="1469"/>
      <c r="AI634" s="1469"/>
      <c r="AJ634" s="1470"/>
      <c r="AK634" s="1659"/>
      <c r="AL634" s="1660"/>
      <c r="AM634" s="1660"/>
      <c r="AN634" s="1661"/>
      <c r="AO634" s="1418"/>
      <c r="AP634" s="1418"/>
      <c r="AQ634" s="1418"/>
      <c r="AR634" s="1418"/>
      <c r="AS634" s="1418"/>
      <c r="AT634" s="3"/>
      <c r="AU634" s="3"/>
      <c r="AZ634" s="3"/>
      <c r="BA634" s="3"/>
      <c r="BB634" s="3"/>
      <c r="BC634" s="3"/>
      <c r="BD634" s="3"/>
    </row>
    <row r="635" spans="1:56" ht="12.95" customHeight="1">
      <c r="B635" s="43" t="s">
        <v>18</v>
      </c>
      <c r="C635" s="1432" t="s">
        <v>1392</v>
      </c>
      <c r="D635" s="1432"/>
      <c r="E635" s="1432"/>
      <c r="F635" s="1432"/>
      <c r="G635" s="1432"/>
      <c r="H635" s="1432"/>
      <c r="I635" s="1432"/>
      <c r="J635" s="1432"/>
      <c r="K635" s="1432"/>
      <c r="L635" s="1432"/>
      <c r="M635" s="1628" t="s">
        <v>1366</v>
      </c>
      <c r="N635" s="1628"/>
      <c r="O635" s="1628"/>
      <c r="P635" s="1628"/>
      <c r="Q635" s="1416">
        <v>204</v>
      </c>
      <c r="R635" s="1416"/>
      <c r="S635" s="1417"/>
      <c r="T635" s="1415">
        <v>360</v>
      </c>
      <c r="U635" s="1416"/>
      <c r="V635" s="1417"/>
      <c r="W635" s="1471">
        <v>6.3899999999999998E-2</v>
      </c>
      <c r="X635" s="1472"/>
      <c r="Y635" s="1473"/>
      <c r="Z635" s="1474" t="s">
        <v>1428</v>
      </c>
      <c r="AA635" s="1475"/>
      <c r="AB635" s="1476"/>
      <c r="AC635" s="1483">
        <v>1</v>
      </c>
      <c r="AD635" s="1484"/>
      <c r="AE635" s="1485"/>
      <c r="AF635" s="1504">
        <v>256845</v>
      </c>
      <c r="AG635" s="1505"/>
      <c r="AH635" s="1505"/>
      <c r="AI635" s="1505"/>
      <c r="AJ635" s="1506"/>
      <c r="AK635" s="1424">
        <v>0</v>
      </c>
      <c r="AL635" s="1425"/>
      <c r="AM635" s="1425"/>
      <c r="AN635" s="1426"/>
      <c r="AO635" s="1507">
        <v>3300000</v>
      </c>
      <c r="AP635" s="1507"/>
      <c r="AQ635" s="1507"/>
      <c r="AR635" s="1507"/>
      <c r="AS635" s="1507"/>
      <c r="AT635" s="3"/>
      <c r="AU635" s="3"/>
      <c r="AZ635" s="3"/>
      <c r="BA635" s="3"/>
      <c r="BB635" s="3"/>
      <c r="BC635" s="3"/>
      <c r="BD635" s="3"/>
    </row>
    <row r="636" spans="1:56" ht="12.95" customHeight="1">
      <c r="B636" s="44" t="s">
        <v>31</v>
      </c>
      <c r="C636" s="1432" t="s">
        <v>673</v>
      </c>
      <c r="D636" s="1432"/>
      <c r="E636" s="1432"/>
      <c r="F636" s="1432"/>
      <c r="G636" s="1432"/>
      <c r="H636" s="1432"/>
      <c r="I636" s="1432"/>
      <c r="J636" s="1432"/>
      <c r="K636" s="1432"/>
      <c r="L636" s="1432"/>
      <c r="M636" s="1628" t="s">
        <v>1363</v>
      </c>
      <c r="N636" s="1628"/>
      <c r="O636" s="1628"/>
      <c r="P636" s="1628"/>
      <c r="Q636" s="1415">
        <v>660</v>
      </c>
      <c r="R636" s="1416"/>
      <c r="S636" s="1417"/>
      <c r="T636" s="1415">
        <v>660</v>
      </c>
      <c r="U636" s="1416"/>
      <c r="V636" s="1417"/>
      <c r="W636" s="1471">
        <v>0.03</v>
      </c>
      <c r="X636" s="1472"/>
      <c r="Y636" s="1473"/>
      <c r="Z636" s="1474" t="s">
        <v>1429</v>
      </c>
      <c r="AA636" s="1475"/>
      <c r="AB636" s="1476"/>
      <c r="AC636" s="1483">
        <v>2</v>
      </c>
      <c r="AD636" s="1484"/>
      <c r="AE636" s="1485"/>
      <c r="AF636" s="1504">
        <v>0</v>
      </c>
      <c r="AG636" s="1505"/>
      <c r="AH636" s="1505"/>
      <c r="AI636" s="1505"/>
      <c r="AJ636" s="1506"/>
      <c r="AK636" s="1424">
        <v>0</v>
      </c>
      <c r="AL636" s="1425"/>
      <c r="AM636" s="1425"/>
      <c r="AN636" s="1426"/>
      <c r="AO636" s="1420">
        <v>8410000</v>
      </c>
      <c r="AP636" s="1421"/>
      <c r="AQ636" s="1421"/>
      <c r="AR636" s="1421"/>
      <c r="AS636" s="1422"/>
      <c r="AT636" s="1031" t="str">
        <f>IF(AND(NOT(C635=""),C636="",NOT(C637="")),"!","")</f>
        <v/>
      </c>
      <c r="AU636" s="3"/>
      <c r="AZ636" s="3"/>
      <c r="BA636" s="3"/>
      <c r="BB636" s="3"/>
      <c r="BC636" s="3"/>
      <c r="BD636" s="3"/>
    </row>
    <row r="637" spans="1:56" ht="12.95" customHeight="1">
      <c r="B637" s="44" t="s">
        <v>39</v>
      </c>
      <c r="C637" s="1432" t="s">
        <v>1430</v>
      </c>
      <c r="D637" s="1432"/>
      <c r="E637" s="1432"/>
      <c r="F637" s="1432"/>
      <c r="G637" s="1432"/>
      <c r="H637" s="1432"/>
      <c r="I637" s="1432"/>
      <c r="J637" s="1432"/>
      <c r="K637" s="1432"/>
      <c r="L637" s="1432"/>
      <c r="M637" s="1628" t="s">
        <v>1345</v>
      </c>
      <c r="N637" s="1628"/>
      <c r="O637" s="1628"/>
      <c r="P637" s="1628"/>
      <c r="Q637" s="1415"/>
      <c r="R637" s="1416"/>
      <c r="S637" s="1417"/>
      <c r="T637" s="1415"/>
      <c r="U637" s="1416"/>
      <c r="V637" s="1417"/>
      <c r="W637" s="1471"/>
      <c r="X637" s="1472"/>
      <c r="Y637" s="1473"/>
      <c r="Z637" s="1474" t="s">
        <v>1431</v>
      </c>
      <c r="AA637" s="1475"/>
      <c r="AB637" s="1476"/>
      <c r="AC637" s="1483"/>
      <c r="AD637" s="1484"/>
      <c r="AE637" s="1485"/>
      <c r="AF637" s="1504">
        <v>0</v>
      </c>
      <c r="AG637" s="1505"/>
      <c r="AH637" s="1505"/>
      <c r="AI637" s="1505"/>
      <c r="AJ637" s="1506"/>
      <c r="AK637" s="1424">
        <v>0</v>
      </c>
      <c r="AL637" s="1425"/>
      <c r="AM637" s="1425"/>
      <c r="AN637" s="1426"/>
      <c r="AO637" s="1420">
        <v>760973</v>
      </c>
      <c r="AP637" s="1421"/>
      <c r="AQ637" s="1421"/>
      <c r="AR637" s="1421"/>
      <c r="AS637" s="1422"/>
      <c r="AT637" s="1031" t="str">
        <f t="shared" ref="AT637:AT646" si="3">IF(AND(NOT(C636=""),C637="",NOT(C638="")),"!","")</f>
        <v/>
      </c>
      <c r="AU637" s="3"/>
      <c r="AZ637" s="3"/>
      <c r="BA637" s="3"/>
      <c r="BB637" s="3"/>
      <c r="BC637" s="3"/>
      <c r="BD637" s="3"/>
    </row>
    <row r="638" spans="1:56" ht="12.95" customHeight="1">
      <c r="B638" s="44" t="s">
        <v>82</v>
      </c>
      <c r="C638" s="1432" t="s">
        <v>1101</v>
      </c>
      <c r="D638" s="1432"/>
      <c r="E638" s="1432"/>
      <c r="F638" s="1432"/>
      <c r="G638" s="1432"/>
      <c r="H638" s="1432"/>
      <c r="I638" s="1432"/>
      <c r="J638" s="1432"/>
      <c r="K638" s="1432"/>
      <c r="L638" s="1432"/>
      <c r="M638" s="1628" t="s">
        <v>1350</v>
      </c>
      <c r="N638" s="1628"/>
      <c r="O638" s="1628"/>
      <c r="P638" s="1628"/>
      <c r="Q638" s="1415"/>
      <c r="R638" s="1416"/>
      <c r="S638" s="1417"/>
      <c r="T638" s="1415"/>
      <c r="U638" s="1416"/>
      <c r="V638" s="1417"/>
      <c r="W638" s="1471"/>
      <c r="X638" s="1472"/>
      <c r="Y638" s="1473"/>
      <c r="Z638" s="1474" t="s">
        <v>1068</v>
      </c>
      <c r="AA638" s="1475"/>
      <c r="AB638" s="1476"/>
      <c r="AC638" s="1483"/>
      <c r="AD638" s="1484"/>
      <c r="AE638" s="1485"/>
      <c r="AF638" s="1504">
        <v>0</v>
      </c>
      <c r="AG638" s="1505"/>
      <c r="AH638" s="1505"/>
      <c r="AI638" s="1505"/>
      <c r="AJ638" s="1506"/>
      <c r="AK638" s="1424">
        <v>0</v>
      </c>
      <c r="AL638" s="1425"/>
      <c r="AM638" s="1425"/>
      <c r="AN638" s="1426"/>
      <c r="AO638" s="1420">
        <v>100</v>
      </c>
      <c r="AP638" s="1421"/>
      <c r="AQ638" s="1421"/>
      <c r="AR638" s="1421"/>
      <c r="AS638" s="1422"/>
      <c r="AT638" s="1031" t="str">
        <f t="shared" si="3"/>
        <v/>
      </c>
      <c r="AU638" s="3"/>
      <c r="AZ638" s="3"/>
      <c r="BA638" s="3"/>
      <c r="BB638" s="3"/>
      <c r="BC638" s="3"/>
      <c r="BD638" s="3"/>
    </row>
    <row r="639" spans="1:56" ht="12.95" customHeight="1">
      <c r="B639" s="44" t="s">
        <v>86</v>
      </c>
      <c r="C639" s="1432"/>
      <c r="D639" s="1432"/>
      <c r="E639" s="1432"/>
      <c r="F639" s="1432"/>
      <c r="G639" s="1432"/>
      <c r="H639" s="1432"/>
      <c r="I639" s="1432"/>
      <c r="J639" s="1432"/>
      <c r="K639" s="1432"/>
      <c r="L639" s="1432"/>
      <c r="M639" s="1628" t="s">
        <v>1016</v>
      </c>
      <c r="N639" s="1628"/>
      <c r="O639" s="1628"/>
      <c r="P639" s="1628"/>
      <c r="Q639" s="1415"/>
      <c r="R639" s="1416"/>
      <c r="S639" s="1417"/>
      <c r="T639" s="1415"/>
      <c r="U639" s="1416"/>
      <c r="V639" s="1417"/>
      <c r="W639" s="1471"/>
      <c r="X639" s="1472"/>
      <c r="Y639" s="1473"/>
      <c r="Z639" s="1474" t="s">
        <v>1016</v>
      </c>
      <c r="AA639" s="1475"/>
      <c r="AB639" s="1476"/>
      <c r="AC639" s="1483"/>
      <c r="AD639" s="1484"/>
      <c r="AE639" s="1485"/>
      <c r="AF639" s="1504"/>
      <c r="AG639" s="1505"/>
      <c r="AH639" s="1505"/>
      <c r="AI639" s="1505"/>
      <c r="AJ639" s="1506"/>
      <c r="AK639" s="1424"/>
      <c r="AL639" s="1425"/>
      <c r="AM639" s="1425"/>
      <c r="AN639" s="1426"/>
      <c r="AO639" s="1420"/>
      <c r="AP639" s="1421"/>
      <c r="AQ639" s="1421"/>
      <c r="AR639" s="1421"/>
      <c r="AS639" s="1422"/>
      <c r="AT639" s="1031" t="str">
        <f t="shared" si="3"/>
        <v/>
      </c>
      <c r="AU639" s="3"/>
      <c r="AZ639" s="3"/>
      <c r="BA639" s="3"/>
      <c r="BB639" s="3"/>
      <c r="BC639" s="3"/>
      <c r="BD639" s="3"/>
    </row>
    <row r="640" spans="1:56" ht="12.95" customHeight="1">
      <c r="B640" s="44" t="s">
        <v>1397</v>
      </c>
      <c r="C640" s="1432"/>
      <c r="D640" s="1432"/>
      <c r="E640" s="1432"/>
      <c r="F640" s="1432"/>
      <c r="G640" s="1432"/>
      <c r="H640" s="1432"/>
      <c r="I640" s="1432"/>
      <c r="J640" s="1432"/>
      <c r="K640" s="1432"/>
      <c r="L640" s="1432"/>
      <c r="M640" s="1628" t="s">
        <v>1016</v>
      </c>
      <c r="N640" s="1628"/>
      <c r="O640" s="1628"/>
      <c r="P640" s="1628"/>
      <c r="Q640" s="1415"/>
      <c r="R640" s="1416"/>
      <c r="S640" s="1417"/>
      <c r="T640" s="1415"/>
      <c r="U640" s="1416"/>
      <c r="V640" s="1417"/>
      <c r="W640" s="1471"/>
      <c r="X640" s="1472"/>
      <c r="Y640" s="1473"/>
      <c r="Z640" s="1474" t="s">
        <v>1016</v>
      </c>
      <c r="AA640" s="1475"/>
      <c r="AB640" s="1476"/>
      <c r="AC640" s="1483"/>
      <c r="AD640" s="1484"/>
      <c r="AE640" s="1485"/>
      <c r="AF640" s="1504"/>
      <c r="AG640" s="1505"/>
      <c r="AH640" s="1505"/>
      <c r="AI640" s="1505"/>
      <c r="AJ640" s="1506"/>
      <c r="AK640" s="1424"/>
      <c r="AL640" s="1425"/>
      <c r="AM640" s="1425"/>
      <c r="AN640" s="1426"/>
      <c r="AO640" s="1420"/>
      <c r="AP640" s="1421"/>
      <c r="AQ640" s="1421"/>
      <c r="AR640" s="1421"/>
      <c r="AS640" s="1422"/>
      <c r="AT640" s="1031" t="str">
        <f t="shared" si="3"/>
        <v/>
      </c>
      <c r="AU640" s="3"/>
      <c r="AZ640" s="3"/>
      <c r="BA640" s="3"/>
      <c r="BB640" s="3"/>
      <c r="BC640" s="3"/>
      <c r="BD640" s="3"/>
    </row>
    <row r="641" spans="1:157" ht="12.95" customHeight="1">
      <c r="B641" s="44" t="s">
        <v>1398</v>
      </c>
      <c r="C641" s="1432"/>
      <c r="D641" s="1432"/>
      <c r="E641" s="1432"/>
      <c r="F641" s="1432"/>
      <c r="G641" s="1432"/>
      <c r="H641" s="1432"/>
      <c r="I641" s="1432"/>
      <c r="J641" s="1432"/>
      <c r="K641" s="1432"/>
      <c r="L641" s="1432"/>
      <c r="M641" s="1628" t="s">
        <v>1016</v>
      </c>
      <c r="N641" s="1628"/>
      <c r="O641" s="1628"/>
      <c r="P641" s="1628"/>
      <c r="Q641" s="1415"/>
      <c r="R641" s="1416"/>
      <c r="S641" s="1417"/>
      <c r="T641" s="1415"/>
      <c r="U641" s="1416"/>
      <c r="V641" s="1417"/>
      <c r="W641" s="1471"/>
      <c r="X641" s="1472"/>
      <c r="Y641" s="1473"/>
      <c r="Z641" s="1474" t="s">
        <v>1016</v>
      </c>
      <c r="AA641" s="1475"/>
      <c r="AB641" s="1476"/>
      <c r="AC641" s="1483"/>
      <c r="AD641" s="1484"/>
      <c r="AE641" s="1485"/>
      <c r="AF641" s="1504"/>
      <c r="AG641" s="1505"/>
      <c r="AH641" s="1505"/>
      <c r="AI641" s="1505"/>
      <c r="AJ641" s="1506"/>
      <c r="AK641" s="1424"/>
      <c r="AL641" s="1425"/>
      <c r="AM641" s="1425"/>
      <c r="AN641" s="1426"/>
      <c r="AO641" s="1420"/>
      <c r="AP641" s="1421"/>
      <c r="AQ641" s="1421"/>
      <c r="AR641" s="1421"/>
      <c r="AS641" s="1422"/>
      <c r="AT641" s="1031" t="str">
        <f t="shared" si="3"/>
        <v/>
      </c>
      <c r="AU641" s="3"/>
      <c r="AV641" s="3"/>
      <c r="AW641" s="3"/>
      <c r="AX641" s="3"/>
      <c r="AY641" s="3"/>
      <c r="AZ641" s="3"/>
      <c r="BA641" s="3"/>
      <c r="BB641" s="3"/>
      <c r="BC641" s="3"/>
      <c r="BD641" s="3"/>
    </row>
    <row r="642" spans="1:157" ht="12.95" customHeight="1">
      <c r="B642" s="44" t="s">
        <v>1399</v>
      </c>
      <c r="C642" s="1432"/>
      <c r="D642" s="1432"/>
      <c r="E642" s="1432"/>
      <c r="F642" s="1432"/>
      <c r="G642" s="1432"/>
      <c r="H642" s="1432"/>
      <c r="I642" s="1432"/>
      <c r="J642" s="1432"/>
      <c r="K642" s="1432"/>
      <c r="L642" s="1432"/>
      <c r="M642" s="1628" t="s">
        <v>1016</v>
      </c>
      <c r="N642" s="1628"/>
      <c r="O642" s="1628"/>
      <c r="P642" s="1628"/>
      <c r="Q642" s="1415"/>
      <c r="R642" s="1416"/>
      <c r="S642" s="1417"/>
      <c r="T642" s="1415"/>
      <c r="U642" s="1416"/>
      <c r="V642" s="1417"/>
      <c r="W642" s="1471"/>
      <c r="X642" s="1472"/>
      <c r="Y642" s="1473"/>
      <c r="Z642" s="1474" t="s">
        <v>1016</v>
      </c>
      <c r="AA642" s="1475"/>
      <c r="AB642" s="1476"/>
      <c r="AC642" s="1483"/>
      <c r="AD642" s="1484"/>
      <c r="AE642" s="1485"/>
      <c r="AF642" s="1504"/>
      <c r="AG642" s="1505"/>
      <c r="AH642" s="1505"/>
      <c r="AI642" s="1505"/>
      <c r="AJ642" s="1506"/>
      <c r="AK642" s="1424"/>
      <c r="AL642" s="1425"/>
      <c r="AM642" s="1425"/>
      <c r="AN642" s="1426"/>
      <c r="AO642" s="1420"/>
      <c r="AP642" s="1421"/>
      <c r="AQ642" s="1421"/>
      <c r="AR642" s="1421"/>
      <c r="AS642" s="1422"/>
      <c r="AT642" s="1031" t="str">
        <f t="shared" si="3"/>
        <v/>
      </c>
      <c r="AU642" s="3"/>
      <c r="AV642" s="3"/>
      <c r="AW642" s="3"/>
      <c r="AX642" s="3"/>
      <c r="AY642" s="3"/>
      <c r="AZ642" s="3"/>
      <c r="BA642" s="3" t="s">
        <v>1016</v>
      </c>
      <c r="BB642" s="3"/>
      <c r="BC642" s="3"/>
      <c r="BD642" s="3"/>
    </row>
    <row r="643" spans="1:157" ht="12.95" customHeight="1">
      <c r="B643" s="44" t="s">
        <v>1400</v>
      </c>
      <c r="C643" s="1432"/>
      <c r="D643" s="1432"/>
      <c r="E643" s="1432"/>
      <c r="F643" s="1432"/>
      <c r="G643" s="1432"/>
      <c r="H643" s="1432"/>
      <c r="I643" s="1432"/>
      <c r="J643" s="1432"/>
      <c r="K643" s="1432"/>
      <c r="L643" s="1432"/>
      <c r="M643" s="1628" t="s">
        <v>1016</v>
      </c>
      <c r="N643" s="1628"/>
      <c r="O643" s="1628"/>
      <c r="P643" s="1628"/>
      <c r="Q643" s="1415"/>
      <c r="R643" s="1416"/>
      <c r="S643" s="1417"/>
      <c r="T643" s="1415"/>
      <c r="U643" s="1416"/>
      <c r="V643" s="1417"/>
      <c r="W643" s="1471"/>
      <c r="X643" s="1472"/>
      <c r="Y643" s="1473"/>
      <c r="Z643" s="1474" t="s">
        <v>1016</v>
      </c>
      <c r="AA643" s="1475"/>
      <c r="AB643" s="1476"/>
      <c r="AC643" s="1483"/>
      <c r="AD643" s="1484"/>
      <c r="AE643" s="1485"/>
      <c r="AF643" s="1504"/>
      <c r="AG643" s="1505"/>
      <c r="AH643" s="1505"/>
      <c r="AI643" s="1505"/>
      <c r="AJ643" s="1506"/>
      <c r="AK643" s="1424"/>
      <c r="AL643" s="1425"/>
      <c r="AM643" s="1425"/>
      <c r="AN643" s="1426"/>
      <c r="AO643" s="1420"/>
      <c r="AP643" s="1421"/>
      <c r="AQ643" s="1421"/>
      <c r="AR643" s="1421"/>
      <c r="AS643" s="1422"/>
      <c r="AT643" s="1031" t="str">
        <f t="shared" si="3"/>
        <v/>
      </c>
      <c r="AU643" s="3"/>
      <c r="AV643" s="3"/>
      <c r="AW643" s="3"/>
      <c r="AX643" s="3"/>
      <c r="AY643" s="3"/>
      <c r="AZ643" s="3"/>
      <c r="BA643" s="3" t="s">
        <v>1431</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86" t="e">
        <f t="shared" ref="DX643:DX677" si="4">EZ726*(CP726/$CP$761)</f>
        <v>#VALUE!</v>
      </c>
      <c r="DY643" s="1486"/>
      <c r="DZ643" s="1486"/>
      <c r="EA643" s="1486"/>
      <c r="EB643" s="1486"/>
      <c r="EC643" s="1486">
        <f t="shared" ref="EC643:EC677" si="5">FE726*(CU726/$CU$761)</f>
        <v>30.583333333333332</v>
      </c>
      <c r="ED643" s="1486"/>
      <c r="EE643" s="1486"/>
      <c r="EF643" s="1486"/>
      <c r="EG643" s="1486"/>
      <c r="EH643" s="1486" t="e">
        <f t="shared" ref="EH643:EH677" si="6">FJ726*(CZ726/$CZ$761)</f>
        <v>#VALUE!</v>
      </c>
      <c r="EI643" s="1486"/>
      <c r="EJ643" s="1486"/>
      <c r="EK643" s="1486"/>
      <c r="EL643" s="1486"/>
      <c r="EM643" s="1486" t="e">
        <f t="shared" ref="EM643:EM677" si="7">FO726*(DE726/$DE$761)</f>
        <v>#VALUE!</v>
      </c>
      <c r="EN643" s="1486"/>
      <c r="EO643" s="1486"/>
      <c r="EP643" s="1486"/>
      <c r="EQ643" s="1486"/>
      <c r="ER643" s="1486" t="e">
        <f t="shared" ref="ER643:ER677" si="8">FT726*(DJ726/$DJ$761)</f>
        <v>#VALUE!</v>
      </c>
      <c r="ES643" s="1486"/>
      <c r="ET643" s="1486"/>
      <c r="EU643" s="1486"/>
      <c r="EV643" s="1486"/>
      <c r="EW643" s="1486" t="e">
        <f t="shared" ref="EW643:EW677" si="9">FY726*(DO726/$DO$761)</f>
        <v>#VALUE!</v>
      </c>
      <c r="EX643" s="1486"/>
      <c r="EY643" s="1486"/>
      <c r="EZ643" s="1486"/>
      <c r="FA643" s="1486"/>
    </row>
    <row r="644" spans="1:157" ht="12.95" customHeight="1">
      <c r="B644" s="44" t="s">
        <v>1401</v>
      </c>
      <c r="C644" s="1432"/>
      <c r="D644" s="1432"/>
      <c r="E644" s="1432"/>
      <c r="F644" s="1432"/>
      <c r="G644" s="1432"/>
      <c r="H644" s="1432"/>
      <c r="I644" s="1432"/>
      <c r="J644" s="1432"/>
      <c r="K644" s="1432"/>
      <c r="L644" s="1432"/>
      <c r="M644" s="1628" t="s">
        <v>1016</v>
      </c>
      <c r="N644" s="1628"/>
      <c r="O644" s="1628"/>
      <c r="P644" s="1628"/>
      <c r="Q644" s="1415"/>
      <c r="R644" s="1416"/>
      <c r="S644" s="1417"/>
      <c r="T644" s="1415"/>
      <c r="U644" s="1416"/>
      <c r="V644" s="1417"/>
      <c r="W644" s="1471"/>
      <c r="X644" s="1472"/>
      <c r="Y644" s="1473"/>
      <c r="Z644" s="1474" t="s">
        <v>1016</v>
      </c>
      <c r="AA644" s="1475"/>
      <c r="AB644" s="1476"/>
      <c r="AC644" s="1483"/>
      <c r="AD644" s="1484"/>
      <c r="AE644" s="1485"/>
      <c r="AF644" s="1504"/>
      <c r="AG644" s="1505"/>
      <c r="AH644" s="1505"/>
      <c r="AI644" s="1505"/>
      <c r="AJ644" s="1506"/>
      <c r="AK644" s="1424"/>
      <c r="AL644" s="1425"/>
      <c r="AM644" s="1425"/>
      <c r="AN644" s="1426"/>
      <c r="AO644" s="1420"/>
      <c r="AP644" s="1421"/>
      <c r="AQ644" s="1421"/>
      <c r="AR644" s="1421"/>
      <c r="AS644" s="1422"/>
      <c r="AT644" s="1031" t="str">
        <f t="shared" si="3"/>
        <v/>
      </c>
      <c r="AV644" s="3"/>
      <c r="AW644" s="3"/>
      <c r="AX644" s="3"/>
      <c r="AY644" s="3"/>
      <c r="AZ644" s="3"/>
      <c r="BA644" s="3" t="s">
        <v>1429</v>
      </c>
      <c r="BB644" s="3"/>
      <c r="BC644" s="3"/>
      <c r="BD644" s="3"/>
      <c r="BE644" s="3"/>
      <c r="BF644" s="3"/>
      <c r="BG644" s="3"/>
      <c r="BH644" s="3"/>
      <c r="BI644" s="3"/>
      <c r="BJ644" s="3"/>
      <c r="BK644" s="3"/>
      <c r="BL644" s="3"/>
      <c r="BM644" s="3"/>
      <c r="DA644" s="3"/>
      <c r="DB644" s="3"/>
      <c r="DC644" s="3"/>
      <c r="DD644" s="3"/>
      <c r="DE644" s="3"/>
      <c r="DF644" s="3"/>
      <c r="DX644" s="1486" t="e">
        <f t="shared" si="4"/>
        <v>#VALUE!</v>
      </c>
      <c r="DY644" s="1486"/>
      <c r="DZ644" s="1486"/>
      <c r="EA644" s="1486"/>
      <c r="EB644" s="1486"/>
      <c r="EC644" s="1486">
        <f t="shared" si="5"/>
        <v>180</v>
      </c>
      <c r="ED644" s="1486"/>
      <c r="EE644" s="1486"/>
      <c r="EF644" s="1486"/>
      <c r="EG644" s="1486"/>
      <c r="EH644" s="1486" t="e">
        <f t="shared" si="6"/>
        <v>#VALUE!</v>
      </c>
      <c r="EI644" s="1486"/>
      <c r="EJ644" s="1486"/>
      <c r="EK644" s="1486"/>
      <c r="EL644" s="1486"/>
      <c r="EM644" s="1486" t="e">
        <f t="shared" si="7"/>
        <v>#VALUE!</v>
      </c>
      <c r="EN644" s="1486"/>
      <c r="EO644" s="1486"/>
      <c r="EP644" s="1486"/>
      <c r="EQ644" s="1486"/>
      <c r="ER644" s="1486" t="e">
        <f t="shared" si="8"/>
        <v>#VALUE!</v>
      </c>
      <c r="ES644" s="1486"/>
      <c r="ET644" s="1486"/>
      <c r="EU644" s="1486"/>
      <c r="EV644" s="1486"/>
      <c r="EW644" s="1486" t="e">
        <f t="shared" si="9"/>
        <v>#VALUE!</v>
      </c>
      <c r="EX644" s="1486"/>
      <c r="EY644" s="1486"/>
      <c r="EZ644" s="1486"/>
      <c r="FA644" s="1486"/>
    </row>
    <row r="645" spans="1:157" ht="12.95" customHeight="1">
      <c r="B645" s="44" t="s">
        <v>1402</v>
      </c>
      <c r="C645" s="1432"/>
      <c r="D645" s="1432"/>
      <c r="E645" s="1432"/>
      <c r="F645" s="1432"/>
      <c r="G645" s="1432"/>
      <c r="H645" s="1432"/>
      <c r="I645" s="1432"/>
      <c r="J645" s="1432"/>
      <c r="K645" s="1432"/>
      <c r="L645" s="1432"/>
      <c r="M645" s="1628" t="s">
        <v>1016</v>
      </c>
      <c r="N645" s="1628"/>
      <c r="O645" s="1628"/>
      <c r="P645" s="1628"/>
      <c r="Q645" s="1415"/>
      <c r="R645" s="1416"/>
      <c r="S645" s="1417"/>
      <c r="T645" s="1415"/>
      <c r="U645" s="1416"/>
      <c r="V645" s="1417"/>
      <c r="W645" s="1471"/>
      <c r="X645" s="1472"/>
      <c r="Y645" s="1473"/>
      <c r="Z645" s="1474" t="s">
        <v>1016</v>
      </c>
      <c r="AA645" s="1475"/>
      <c r="AB645" s="1476"/>
      <c r="AC645" s="1483"/>
      <c r="AD645" s="1484"/>
      <c r="AE645" s="1485"/>
      <c r="AF645" s="1504"/>
      <c r="AG645" s="1505"/>
      <c r="AH645" s="1505"/>
      <c r="AI645" s="1505"/>
      <c r="AJ645" s="1506"/>
      <c r="AK645" s="1424"/>
      <c r="AL645" s="1425"/>
      <c r="AM645" s="1425"/>
      <c r="AN645" s="1426"/>
      <c r="AO645" s="1420"/>
      <c r="AP645" s="1421"/>
      <c r="AQ645" s="1421"/>
      <c r="AR645" s="1421"/>
      <c r="AS645" s="1422"/>
      <c r="AT645" s="1031" t="str">
        <f t="shared" si="3"/>
        <v/>
      </c>
      <c r="AV645" s="3"/>
      <c r="AW645" s="3"/>
      <c r="AX645" s="3"/>
      <c r="AY645" s="3"/>
      <c r="AZ645" s="3"/>
      <c r="BA645" s="3" t="s">
        <v>1428</v>
      </c>
      <c r="BB645" s="3"/>
      <c r="BC645" s="3"/>
      <c r="BD645" s="3"/>
      <c r="BE645" s="3"/>
      <c r="BF645" s="3"/>
      <c r="BG645" s="3"/>
      <c r="BH645" s="3"/>
      <c r="BI645" s="3"/>
      <c r="BJ645" s="3"/>
      <c r="BK645" s="3"/>
      <c r="BL645" s="3"/>
      <c r="BM645" s="3"/>
      <c r="DA645" s="3"/>
      <c r="DB645" s="3"/>
      <c r="DC645" s="3"/>
      <c r="DD645" s="3"/>
      <c r="DE645" s="3"/>
      <c r="DF645" s="3"/>
      <c r="DX645" s="1486" t="e">
        <f t="shared" si="4"/>
        <v>#VALUE!</v>
      </c>
      <c r="DY645" s="1486"/>
      <c r="DZ645" s="1486"/>
      <c r="EA645" s="1486"/>
      <c r="EB645" s="1486"/>
      <c r="EC645" s="1486">
        <f t="shared" si="5"/>
        <v>420</v>
      </c>
      <c r="ED645" s="1486"/>
      <c r="EE645" s="1486"/>
      <c r="EF645" s="1486"/>
      <c r="EG645" s="1486"/>
      <c r="EH645" s="1486" t="e">
        <f t="shared" si="6"/>
        <v>#VALUE!</v>
      </c>
      <c r="EI645" s="1486"/>
      <c r="EJ645" s="1486"/>
      <c r="EK645" s="1486"/>
      <c r="EL645" s="1486"/>
      <c r="EM645" s="1486" t="e">
        <f t="shared" si="7"/>
        <v>#VALUE!</v>
      </c>
      <c r="EN645" s="1486"/>
      <c r="EO645" s="1486"/>
      <c r="EP645" s="1486"/>
      <c r="EQ645" s="1486"/>
      <c r="ER645" s="1486" t="e">
        <f t="shared" si="8"/>
        <v>#VALUE!</v>
      </c>
      <c r="ES645" s="1486"/>
      <c r="ET645" s="1486"/>
      <c r="EU645" s="1486"/>
      <c r="EV645" s="1486"/>
      <c r="EW645" s="1486" t="e">
        <f t="shared" si="9"/>
        <v>#VALUE!</v>
      </c>
      <c r="EX645" s="1486"/>
      <c r="EY645" s="1486"/>
      <c r="EZ645" s="1486"/>
      <c r="FA645" s="1486"/>
    </row>
    <row r="646" spans="1:157" ht="12.95" customHeight="1">
      <c r="B646" s="44" t="s">
        <v>1403</v>
      </c>
      <c r="C646" s="1432"/>
      <c r="D646" s="1432"/>
      <c r="E646" s="1432"/>
      <c r="F646" s="1432"/>
      <c r="G646" s="1432"/>
      <c r="H646" s="1432"/>
      <c r="I646" s="1432"/>
      <c r="J646" s="1432"/>
      <c r="K646" s="1432"/>
      <c r="L646" s="1432"/>
      <c r="M646" s="1628" t="s">
        <v>1016</v>
      </c>
      <c r="N646" s="1628"/>
      <c r="O646" s="1628"/>
      <c r="P646" s="1628"/>
      <c r="Q646" s="1415"/>
      <c r="R646" s="1416"/>
      <c r="S646" s="1417"/>
      <c r="T646" s="1415"/>
      <c r="U646" s="1416"/>
      <c r="V646" s="1417"/>
      <c r="W646" s="1471"/>
      <c r="X646" s="1472"/>
      <c r="Y646" s="1473"/>
      <c r="Z646" s="1474" t="s">
        <v>1016</v>
      </c>
      <c r="AA646" s="1475"/>
      <c r="AB646" s="1476"/>
      <c r="AC646" s="1483"/>
      <c r="AD646" s="1484"/>
      <c r="AE646" s="1485"/>
      <c r="AF646" s="1504"/>
      <c r="AG646" s="1505"/>
      <c r="AH646" s="1505"/>
      <c r="AI646" s="1505"/>
      <c r="AJ646" s="1506"/>
      <c r="AK646" s="1424"/>
      <c r="AL646" s="1425"/>
      <c r="AM646" s="1425"/>
      <c r="AN646" s="1426"/>
      <c r="AO646" s="1420"/>
      <c r="AP646" s="1421"/>
      <c r="AQ646" s="1421"/>
      <c r="AR646" s="1421"/>
      <c r="AS646" s="1422"/>
      <c r="AT646" s="1031" t="str">
        <f t="shared" si="3"/>
        <v/>
      </c>
      <c r="AV646" s="3"/>
      <c r="AW646" s="3"/>
      <c r="AX646" s="3"/>
      <c r="AY646" s="3"/>
      <c r="AZ646" s="3"/>
      <c r="BA646" s="3" t="s">
        <v>1068</v>
      </c>
      <c r="BB646" s="3"/>
      <c r="BC646" s="3"/>
      <c r="BD646" s="3"/>
      <c r="BE646" s="3"/>
      <c r="BF646" s="3"/>
      <c r="BG646" s="3"/>
      <c r="BH646" s="3"/>
      <c r="BI646" s="3"/>
      <c r="BJ646" s="3"/>
      <c r="BK646" s="3"/>
      <c r="BL646" s="3"/>
      <c r="BM646" s="3"/>
      <c r="DA646" s="3"/>
      <c r="DB646" s="3"/>
      <c r="DC646" s="3"/>
      <c r="DD646" s="3"/>
      <c r="DE646" s="3"/>
      <c r="DF646" s="3"/>
      <c r="DX646" s="1486" t="e">
        <f t="shared" si="4"/>
        <v>#VALUE!</v>
      </c>
      <c r="DY646" s="1486"/>
      <c r="DZ646" s="1486"/>
      <c r="EA646" s="1486"/>
      <c r="EB646" s="1486"/>
      <c r="EC646" s="1486">
        <f t="shared" si="5"/>
        <v>60</v>
      </c>
      <c r="ED646" s="1486"/>
      <c r="EE646" s="1486"/>
      <c r="EF646" s="1486"/>
      <c r="EG646" s="1486"/>
      <c r="EH646" s="1486" t="e">
        <f t="shared" si="6"/>
        <v>#VALUE!</v>
      </c>
      <c r="EI646" s="1486"/>
      <c r="EJ646" s="1486"/>
      <c r="EK646" s="1486"/>
      <c r="EL646" s="1486"/>
      <c r="EM646" s="1486" t="e">
        <f t="shared" si="7"/>
        <v>#VALUE!</v>
      </c>
      <c r="EN646" s="1486"/>
      <c r="EO646" s="1486"/>
      <c r="EP646" s="1486"/>
      <c r="EQ646" s="1486"/>
      <c r="ER646" s="1486" t="e">
        <f t="shared" si="8"/>
        <v>#VALUE!</v>
      </c>
      <c r="ES646" s="1486"/>
      <c r="ET646" s="1486"/>
      <c r="EU646" s="1486"/>
      <c r="EV646" s="1486"/>
      <c r="EW646" s="1486" t="e">
        <f t="shared" si="9"/>
        <v>#VALUE!</v>
      </c>
      <c r="EX646" s="1486"/>
      <c r="EY646" s="1486"/>
      <c r="EZ646" s="1486"/>
      <c r="FA646" s="1486"/>
    </row>
    <row r="647" spans="1:157" ht="12.95" customHeight="1">
      <c r="B647" s="1487" t="s">
        <v>1432</v>
      </c>
      <c r="C647" s="1488"/>
      <c r="D647" s="1488"/>
      <c r="E647" s="1488"/>
      <c r="F647" s="1488"/>
      <c r="G647" s="1488"/>
      <c r="H647" s="1488"/>
      <c r="I647" s="1488"/>
      <c r="J647" s="1488"/>
      <c r="K647" s="1488"/>
      <c r="L647" s="1488"/>
      <c r="M647" s="1488"/>
      <c r="N647" s="1488"/>
      <c r="O647" s="1488"/>
      <c r="P647" s="1488"/>
      <c r="Q647" s="1488"/>
      <c r="R647" s="1488"/>
      <c r="S647" s="1488"/>
      <c r="T647" s="1488"/>
      <c r="U647" s="1488"/>
      <c r="V647" s="1488"/>
      <c r="W647" s="1488"/>
      <c r="X647" s="1488"/>
      <c r="Y647" s="1488"/>
      <c r="Z647" s="1488"/>
      <c r="AA647" s="1488"/>
      <c r="AB647" s="1488"/>
      <c r="AC647" s="1488"/>
      <c r="AD647" s="1488"/>
      <c r="AE647" s="1488"/>
      <c r="AF647" s="1488"/>
      <c r="AG647" s="1488"/>
      <c r="AH647" s="1488"/>
      <c r="AI647" s="1488"/>
      <c r="AJ647" s="1488"/>
      <c r="AK647" s="1488"/>
      <c r="AL647" s="1488"/>
      <c r="AM647" s="1488"/>
      <c r="AN647" s="1489"/>
      <c r="AO647" s="1604">
        <f>SUM(AO635:AR646)</f>
        <v>12471073</v>
      </c>
      <c r="AP647" s="1605"/>
      <c r="AQ647" s="1605"/>
      <c r="AR647" s="1605"/>
      <c r="AS647" s="1606"/>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86" t="e">
        <f t="shared" si="4"/>
        <v>#VALUE!</v>
      </c>
      <c r="DY647" s="1486"/>
      <c r="DZ647" s="1486"/>
      <c r="EA647" s="1486"/>
      <c r="EB647" s="1486"/>
      <c r="EC647" s="1486" t="e">
        <f t="shared" si="5"/>
        <v>#VALUE!</v>
      </c>
      <c r="ED647" s="1486"/>
      <c r="EE647" s="1486"/>
      <c r="EF647" s="1486"/>
      <c r="EG647" s="1486"/>
      <c r="EH647" s="1486" t="e">
        <f t="shared" si="6"/>
        <v>#VALUE!</v>
      </c>
      <c r="EI647" s="1486"/>
      <c r="EJ647" s="1486"/>
      <c r="EK647" s="1486"/>
      <c r="EL647" s="1486"/>
      <c r="EM647" s="1486">
        <f t="shared" si="7"/>
        <v>39.217391304347828</v>
      </c>
      <c r="EN647" s="1486"/>
      <c r="EO647" s="1486"/>
      <c r="EP647" s="1486"/>
      <c r="EQ647" s="1486"/>
      <c r="ER647" s="1486" t="e">
        <f t="shared" si="8"/>
        <v>#VALUE!</v>
      </c>
      <c r="ES647" s="1486"/>
      <c r="ET647" s="1486"/>
      <c r="EU647" s="1486"/>
      <c r="EV647" s="1486"/>
      <c r="EW647" s="1486" t="e">
        <f t="shared" si="9"/>
        <v>#VALUE!</v>
      </c>
      <c r="EX647" s="1486"/>
      <c r="EY647" s="1486"/>
      <c r="EZ647" s="1486"/>
      <c r="FA647" s="1486"/>
    </row>
    <row r="648" spans="1:157" ht="12.95" customHeight="1">
      <c r="B648" s="1487" t="s">
        <v>1433</v>
      </c>
      <c r="C648" s="1488"/>
      <c r="D648" s="1488"/>
      <c r="E648" s="1488"/>
      <c r="F648" s="1488"/>
      <c r="G648" s="1488"/>
      <c r="H648" s="1488"/>
      <c r="I648" s="1488"/>
      <c r="J648" s="1488"/>
      <c r="K648" s="1488"/>
      <c r="L648" s="1488"/>
      <c r="M648" s="1488"/>
      <c r="N648" s="1488"/>
      <c r="O648" s="1488"/>
      <c r="P648" s="1488"/>
      <c r="Q648" s="1488"/>
      <c r="R648" s="1488"/>
      <c r="S648" s="1488"/>
      <c r="T648" s="1488"/>
      <c r="U648" s="1488"/>
      <c r="V648" s="1488"/>
      <c r="W648" s="1488"/>
      <c r="X648" s="1488"/>
      <c r="Y648" s="1488"/>
      <c r="Z648" s="1488"/>
      <c r="AA648" s="1488"/>
      <c r="AB648" s="1488"/>
      <c r="AC648" s="1488"/>
      <c r="AD648" s="1488"/>
      <c r="AE648" s="1488"/>
      <c r="AF648" s="1488"/>
      <c r="AG648" s="1488"/>
      <c r="AH648" s="1488"/>
      <c r="AI648" s="1488"/>
      <c r="AJ648" s="1488"/>
      <c r="AK648" s="1488"/>
      <c r="AL648" s="1488"/>
      <c r="AM648" s="1488"/>
      <c r="AN648" s="1489"/>
      <c r="AO648" s="1420">
        <v>6089584</v>
      </c>
      <c r="AP648" s="1421"/>
      <c r="AQ648" s="1421"/>
      <c r="AR648" s="1421"/>
      <c r="AS648" s="1422"/>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86" t="e">
        <f t="shared" si="4"/>
        <v>#VALUE!</v>
      </c>
      <c r="DY648" s="1486"/>
      <c r="DZ648" s="1486"/>
      <c r="EA648" s="1486"/>
      <c r="EB648" s="1486"/>
      <c r="EC648" s="1486" t="e">
        <f t="shared" si="5"/>
        <v>#VALUE!</v>
      </c>
      <c r="ED648" s="1486"/>
      <c r="EE648" s="1486"/>
      <c r="EF648" s="1486"/>
      <c r="EG648" s="1486"/>
      <c r="EH648" s="1486" t="e">
        <f t="shared" si="6"/>
        <v>#VALUE!</v>
      </c>
      <c r="EI648" s="1486"/>
      <c r="EJ648" s="1486"/>
      <c r="EK648" s="1486"/>
      <c r="EL648" s="1486"/>
      <c r="EM648" s="1486">
        <f t="shared" si="7"/>
        <v>326.95652173913044</v>
      </c>
      <c r="EN648" s="1486"/>
      <c r="EO648" s="1486"/>
      <c r="EP648" s="1486"/>
      <c r="EQ648" s="1486"/>
      <c r="ER648" s="1486" t="e">
        <f t="shared" si="8"/>
        <v>#VALUE!</v>
      </c>
      <c r="ES648" s="1486"/>
      <c r="ET648" s="1486"/>
      <c r="EU648" s="1486"/>
      <c r="EV648" s="1486"/>
      <c r="EW648" s="1486" t="e">
        <f t="shared" si="9"/>
        <v>#VALUE!</v>
      </c>
      <c r="EX648" s="1486"/>
      <c r="EY648" s="1486"/>
      <c r="EZ648" s="1486"/>
      <c r="FA648" s="1486"/>
    </row>
    <row r="649" spans="1:157" ht="12.95" customHeight="1">
      <c r="B649" s="1625" t="s">
        <v>1434</v>
      </c>
      <c r="C649" s="1626"/>
      <c r="D649" s="1626"/>
      <c r="E649" s="1626"/>
      <c r="F649" s="1626"/>
      <c r="G649" s="1626"/>
      <c r="H649" s="1626"/>
      <c r="I649" s="1626"/>
      <c r="J649" s="1626"/>
      <c r="K649" s="1626"/>
      <c r="L649" s="1626"/>
      <c r="M649" s="1626"/>
      <c r="N649" s="1626"/>
      <c r="O649" s="1626"/>
      <c r="P649" s="1626"/>
      <c r="Q649" s="1626"/>
      <c r="R649" s="1626"/>
      <c r="S649" s="1626"/>
      <c r="T649" s="1626"/>
      <c r="U649" s="1626"/>
      <c r="V649" s="1626"/>
      <c r="W649" s="1626"/>
      <c r="X649" s="1626"/>
      <c r="Y649" s="1626"/>
      <c r="Z649" s="1626"/>
      <c r="AA649" s="1626"/>
      <c r="AB649" s="1626"/>
      <c r="AC649" s="1626"/>
      <c r="AD649" s="1626"/>
      <c r="AE649" s="1626"/>
      <c r="AF649" s="1626"/>
      <c r="AG649" s="1626"/>
      <c r="AH649" s="1626"/>
      <c r="AI649" s="1626"/>
      <c r="AJ649" s="1626"/>
      <c r="AK649" s="1626"/>
      <c r="AL649" s="1626"/>
      <c r="AM649" s="1626"/>
      <c r="AN649" s="1627"/>
      <c r="AO649" s="1604">
        <f>AO647+AO648</f>
        <v>18560657</v>
      </c>
      <c r="AP649" s="1605"/>
      <c r="AQ649" s="1605"/>
      <c r="AR649" s="1605"/>
      <c r="AS649" s="1606"/>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86" t="e">
        <f t="shared" si="4"/>
        <v>#VALUE!</v>
      </c>
      <c r="DY649" s="1486"/>
      <c r="DZ649" s="1486"/>
      <c r="EA649" s="1486"/>
      <c r="EB649" s="1486"/>
      <c r="EC649" s="1486" t="e">
        <f t="shared" si="5"/>
        <v>#VALUE!</v>
      </c>
      <c r="ED649" s="1486"/>
      <c r="EE649" s="1486"/>
      <c r="EF649" s="1486"/>
      <c r="EG649" s="1486"/>
      <c r="EH649" s="1486" t="e">
        <f t="shared" si="6"/>
        <v>#VALUE!</v>
      </c>
      <c r="EI649" s="1486"/>
      <c r="EJ649" s="1486"/>
      <c r="EK649" s="1486"/>
      <c r="EL649" s="1486"/>
      <c r="EM649" s="1486">
        <f t="shared" si="7"/>
        <v>449.56521739130437</v>
      </c>
      <c r="EN649" s="1486"/>
      <c r="EO649" s="1486"/>
      <c r="EP649" s="1486"/>
      <c r="EQ649" s="1486"/>
      <c r="ER649" s="1486" t="e">
        <f t="shared" si="8"/>
        <v>#VALUE!</v>
      </c>
      <c r="ES649" s="1486"/>
      <c r="ET649" s="1486"/>
      <c r="EU649" s="1486"/>
      <c r="EV649" s="1486"/>
      <c r="EW649" s="1486" t="e">
        <f t="shared" si="9"/>
        <v>#VALUE!</v>
      </c>
      <c r="EX649" s="1486"/>
      <c r="EY649" s="1486"/>
      <c r="EZ649" s="1486"/>
      <c r="FA649" s="1486"/>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86" t="e">
        <f t="shared" si="4"/>
        <v>#VALUE!</v>
      </c>
      <c r="DY650" s="1486"/>
      <c r="DZ650" s="1486"/>
      <c r="EA650" s="1486"/>
      <c r="EB650" s="1486"/>
      <c r="EC650" s="1486" t="e">
        <f t="shared" si="5"/>
        <v>#VALUE!</v>
      </c>
      <c r="ED650" s="1486"/>
      <c r="EE650" s="1486"/>
      <c r="EF650" s="1486"/>
      <c r="EG650" s="1486"/>
      <c r="EH650" s="1486" t="e">
        <f t="shared" si="6"/>
        <v>#VALUE!</v>
      </c>
      <c r="EI650" s="1486"/>
      <c r="EJ650" s="1486"/>
      <c r="EK650" s="1486"/>
      <c r="EL650" s="1486"/>
      <c r="EM650" s="1486">
        <f t="shared" si="7"/>
        <v>81.739130434782609</v>
      </c>
      <c r="EN650" s="1486"/>
      <c r="EO650" s="1486"/>
      <c r="EP650" s="1486"/>
      <c r="EQ650" s="1486"/>
      <c r="ER650" s="1486" t="e">
        <f t="shared" si="8"/>
        <v>#VALUE!</v>
      </c>
      <c r="ES650" s="1486"/>
      <c r="ET650" s="1486"/>
      <c r="EU650" s="1486"/>
      <c r="EV650" s="1486"/>
      <c r="EW650" s="1486" t="e">
        <f t="shared" si="9"/>
        <v>#VALUE!</v>
      </c>
      <c r="EX650" s="1486"/>
      <c r="EY650" s="1486"/>
      <c r="EZ650" s="1486"/>
      <c r="FA650" s="1486"/>
    </row>
    <row r="651" spans="1:157" ht="12.95" customHeight="1">
      <c r="A651" s="47" t="s">
        <v>18</v>
      </c>
      <c r="B651" t="s">
        <v>1405</v>
      </c>
      <c r="G651" s="1423" t="str">
        <f>C635</f>
        <v>Banc of California</v>
      </c>
      <c r="H651" s="1423"/>
      <c r="I651" s="1423"/>
      <c r="J651" s="1423"/>
      <c r="K651" s="1423"/>
      <c r="L651" s="1423"/>
      <c r="M651" s="1423"/>
      <c r="N651" s="1423"/>
      <c r="O651" s="1423"/>
      <c r="P651" s="1423"/>
      <c r="Q651" s="1423"/>
      <c r="R651" s="1423"/>
      <c r="S651" s="7"/>
      <c r="T651" s="47" t="s">
        <v>31</v>
      </c>
      <c r="U651" t="s">
        <v>1405</v>
      </c>
      <c r="Z651" s="1423" t="str">
        <f>C636</f>
        <v>Housing Authority of the County of Kern</v>
      </c>
      <c r="AA651" s="1423"/>
      <c r="AB651" s="1423"/>
      <c r="AC651" s="1423"/>
      <c r="AD651" s="1423"/>
      <c r="AE651" s="1423"/>
      <c r="AF651" s="1423"/>
      <c r="AG651" s="1423"/>
      <c r="AH651" s="1423"/>
      <c r="AI651" s="1423"/>
      <c r="AJ651" s="1423"/>
      <c r="AK651" s="1423"/>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86" t="e">
        <f t="shared" si="4"/>
        <v>#VALUE!</v>
      </c>
      <c r="DY651" s="1486"/>
      <c r="DZ651" s="1486"/>
      <c r="EA651" s="1486"/>
      <c r="EB651" s="1486"/>
      <c r="EC651" s="1486" t="e">
        <f t="shared" si="5"/>
        <v>#VALUE!</v>
      </c>
      <c r="ED651" s="1486"/>
      <c r="EE651" s="1486"/>
      <c r="EF651" s="1486"/>
      <c r="EG651" s="1486"/>
      <c r="EH651" s="1486" t="e">
        <f t="shared" si="6"/>
        <v>#VALUE!</v>
      </c>
      <c r="EI651" s="1486"/>
      <c r="EJ651" s="1486"/>
      <c r="EK651" s="1486"/>
      <c r="EL651" s="1486"/>
      <c r="EM651" s="1486" t="e">
        <f t="shared" si="7"/>
        <v>#VALUE!</v>
      </c>
      <c r="EN651" s="1486"/>
      <c r="EO651" s="1486"/>
      <c r="EP651" s="1486"/>
      <c r="EQ651" s="1486"/>
      <c r="ER651" s="1486" t="e">
        <f t="shared" si="8"/>
        <v>#VALUE!</v>
      </c>
      <c r="ES651" s="1486"/>
      <c r="ET651" s="1486"/>
      <c r="EU651" s="1486"/>
      <c r="EV651" s="1486"/>
      <c r="EW651" s="1486" t="e">
        <f t="shared" si="9"/>
        <v>#VALUE!</v>
      </c>
      <c r="EX651" s="1486"/>
      <c r="EY651" s="1486"/>
      <c r="EZ651" s="1486"/>
      <c r="FA651" s="1486"/>
    </row>
    <row r="652" spans="1:157" ht="12.95" customHeight="1">
      <c r="A652" s="19"/>
      <c r="B652" t="s">
        <v>1081</v>
      </c>
      <c r="G652" s="1428" t="s">
        <v>1406</v>
      </c>
      <c r="H652" s="1428"/>
      <c r="I652" s="1428"/>
      <c r="J652" s="1428"/>
      <c r="K652" s="1428"/>
      <c r="L652" s="1428"/>
      <c r="M652" s="1428"/>
      <c r="N652" s="1428"/>
      <c r="O652" s="1428"/>
      <c r="P652" s="1428"/>
      <c r="Q652" s="1428"/>
      <c r="R652" s="1428"/>
      <c r="S652" s="7"/>
      <c r="T652" s="19"/>
      <c r="U652" t="s">
        <v>1081</v>
      </c>
      <c r="Z652" s="1428" t="s">
        <v>1082</v>
      </c>
      <c r="AA652" s="1428"/>
      <c r="AB652" s="1428"/>
      <c r="AC652" s="1428"/>
      <c r="AD652" s="1428"/>
      <c r="AE652" s="1428"/>
      <c r="AF652" s="1428"/>
      <c r="AG652" s="1428"/>
      <c r="AH652" s="1428"/>
      <c r="AI652" s="1428"/>
      <c r="AJ652" s="1428"/>
      <c r="AK652" s="1428"/>
      <c r="AV652" s="3"/>
      <c r="AW652" s="3"/>
      <c r="AX652" s="3"/>
      <c r="AY652" s="3"/>
      <c r="AZ652" s="3"/>
      <c r="BA652" s="3"/>
      <c r="BB652" s="3"/>
      <c r="BC652" s="3"/>
      <c r="BD652" s="3"/>
      <c r="BE652" s="3"/>
      <c r="BF652" s="3"/>
      <c r="BG652" s="3"/>
      <c r="BH652" s="3"/>
      <c r="BI652" s="3"/>
      <c r="BJ652" s="3"/>
      <c r="BK652" s="3"/>
      <c r="BL652" s="3"/>
      <c r="BM652" s="3"/>
      <c r="DX652" s="1486" t="e">
        <f t="shared" si="4"/>
        <v>#VALUE!</v>
      </c>
      <c r="DY652" s="1486"/>
      <c r="DZ652" s="1486"/>
      <c r="EA652" s="1486"/>
      <c r="EB652" s="1486"/>
      <c r="EC652" s="1486" t="e">
        <f t="shared" si="5"/>
        <v>#VALUE!</v>
      </c>
      <c r="ED652" s="1486"/>
      <c r="EE652" s="1486"/>
      <c r="EF652" s="1486"/>
      <c r="EG652" s="1486"/>
      <c r="EH652" s="1486" t="e">
        <f t="shared" si="6"/>
        <v>#VALUE!</v>
      </c>
      <c r="EI652" s="1486"/>
      <c r="EJ652" s="1486"/>
      <c r="EK652" s="1486"/>
      <c r="EL652" s="1486"/>
      <c r="EM652" s="1486" t="e">
        <f t="shared" si="7"/>
        <v>#VALUE!</v>
      </c>
      <c r="EN652" s="1486"/>
      <c r="EO652" s="1486"/>
      <c r="EP652" s="1486"/>
      <c r="EQ652" s="1486"/>
      <c r="ER652" s="1486" t="e">
        <f t="shared" si="8"/>
        <v>#VALUE!</v>
      </c>
      <c r="ES652" s="1486"/>
      <c r="ET652" s="1486"/>
      <c r="EU652" s="1486"/>
      <c r="EV652" s="1486"/>
      <c r="EW652" s="1486" t="e">
        <f t="shared" si="9"/>
        <v>#VALUE!</v>
      </c>
      <c r="EX652" s="1486"/>
      <c r="EY652" s="1486"/>
      <c r="EZ652" s="1486"/>
      <c r="FA652" s="1486"/>
    </row>
    <row r="653" spans="1:157" ht="12.95" customHeight="1">
      <c r="A653" s="19"/>
      <c r="B653" t="s">
        <v>946</v>
      </c>
      <c r="G653" s="1428" t="s">
        <v>1407</v>
      </c>
      <c r="H653" s="1428"/>
      <c r="I653" s="1428"/>
      <c r="J653" s="1428"/>
      <c r="K653" s="1428"/>
      <c r="L653" s="1428"/>
      <c r="M653" s="1428"/>
      <c r="N653" s="1428"/>
      <c r="O653" s="1428"/>
      <c r="P653" s="1428"/>
      <c r="Q653" s="1428"/>
      <c r="R653" s="1428"/>
      <c r="T653" s="19"/>
      <c r="U653" t="s">
        <v>946</v>
      </c>
      <c r="Z653" s="1439" t="s">
        <v>1134</v>
      </c>
      <c r="AA653" s="1439"/>
      <c r="AB653" s="1439"/>
      <c r="AC653" s="1439"/>
      <c r="AD653" s="1439"/>
      <c r="AE653" s="1439"/>
      <c r="AF653" s="1439"/>
      <c r="AG653" s="1439"/>
      <c r="AH653" s="1439"/>
      <c r="AI653" s="1439"/>
      <c r="AJ653" s="1439"/>
      <c r="AK653" s="1439"/>
      <c r="AV653" s="3"/>
      <c r="AW653" s="3"/>
      <c r="AX653" s="3"/>
      <c r="AY653" s="3"/>
      <c r="AZ653" s="3"/>
      <c r="BA653" s="3"/>
      <c r="BB653" s="3"/>
      <c r="BC653" s="3"/>
      <c r="BD653" s="3"/>
      <c r="BE653" s="3"/>
      <c r="BF653" s="3"/>
      <c r="BG653" s="3"/>
      <c r="BH653" s="3"/>
      <c r="BI653" s="3"/>
      <c r="BJ653" s="3"/>
      <c r="BK653" s="3"/>
      <c r="BL653" s="3"/>
      <c r="BM653" s="3"/>
      <c r="DX653" s="1486" t="e">
        <f t="shared" si="4"/>
        <v>#VALUE!</v>
      </c>
      <c r="DY653" s="1486"/>
      <c r="DZ653" s="1486"/>
      <c r="EA653" s="1486"/>
      <c r="EB653" s="1486"/>
      <c r="EC653" s="1486" t="e">
        <f t="shared" si="5"/>
        <v>#VALUE!</v>
      </c>
      <c r="ED653" s="1486"/>
      <c r="EE653" s="1486"/>
      <c r="EF653" s="1486"/>
      <c r="EG653" s="1486"/>
      <c r="EH653" s="1486" t="e">
        <f t="shared" si="6"/>
        <v>#VALUE!</v>
      </c>
      <c r="EI653" s="1486"/>
      <c r="EJ653" s="1486"/>
      <c r="EK653" s="1486"/>
      <c r="EL653" s="1486"/>
      <c r="EM653" s="1486" t="e">
        <f t="shared" si="7"/>
        <v>#VALUE!</v>
      </c>
      <c r="EN653" s="1486"/>
      <c r="EO653" s="1486"/>
      <c r="EP653" s="1486"/>
      <c r="EQ653" s="1486"/>
      <c r="ER653" s="1486" t="e">
        <f t="shared" si="8"/>
        <v>#VALUE!</v>
      </c>
      <c r="ES653" s="1486"/>
      <c r="ET653" s="1486"/>
      <c r="EU653" s="1486"/>
      <c r="EV653" s="1486"/>
      <c r="EW653" s="1486" t="e">
        <f t="shared" si="9"/>
        <v>#VALUE!</v>
      </c>
      <c r="EX653" s="1486"/>
      <c r="EY653" s="1486"/>
      <c r="EZ653" s="1486"/>
      <c r="FA653" s="1486"/>
    </row>
    <row r="654" spans="1:157" ht="12.95" customHeight="1">
      <c r="A654" s="19"/>
      <c r="B654" t="s">
        <v>1408</v>
      </c>
      <c r="G654" s="1428" t="s">
        <v>1409</v>
      </c>
      <c r="H654" s="1428"/>
      <c r="I654" s="1428"/>
      <c r="J654" s="1428"/>
      <c r="K654" s="1428"/>
      <c r="L654" s="1428"/>
      <c r="M654" s="1428"/>
      <c r="N654" s="1428"/>
      <c r="O654" s="1428"/>
      <c r="P654" s="1428"/>
      <c r="Q654" s="1428"/>
      <c r="R654" s="1428"/>
      <c r="S654" s="7"/>
      <c r="T654" s="19"/>
      <c r="U654" t="s">
        <v>1408</v>
      </c>
      <c r="Z654" s="1439" t="s">
        <v>805</v>
      </c>
      <c r="AA654" s="1439"/>
      <c r="AB654" s="1439"/>
      <c r="AC654" s="1439"/>
      <c r="AD654" s="1439"/>
      <c r="AE654" s="1439"/>
      <c r="AF654" s="1439"/>
      <c r="AG654" s="1439"/>
      <c r="AH654" s="1439"/>
      <c r="AI654" s="1439"/>
      <c r="AJ654" s="1439"/>
      <c r="AK654" s="1439"/>
      <c r="AZ654" s="3"/>
      <c r="BA654" s="3"/>
      <c r="BB654" s="3"/>
      <c r="BC654" s="3"/>
      <c r="BD654" s="3"/>
      <c r="BE654" s="3"/>
      <c r="BF654" s="3"/>
      <c r="BG654" s="3"/>
      <c r="BH654" s="3"/>
      <c r="BI654" s="3"/>
      <c r="BJ654" s="3"/>
      <c r="BK654" s="3"/>
      <c r="BL654" s="3"/>
      <c r="BM654" s="3"/>
      <c r="DX654" s="1486" t="e">
        <f t="shared" si="4"/>
        <v>#VALUE!</v>
      </c>
      <c r="DY654" s="1486"/>
      <c r="DZ654" s="1486"/>
      <c r="EA654" s="1486"/>
      <c r="EB654" s="1486"/>
      <c r="EC654" s="1486" t="e">
        <f t="shared" si="5"/>
        <v>#VALUE!</v>
      </c>
      <c r="ED654" s="1486"/>
      <c r="EE654" s="1486"/>
      <c r="EF654" s="1486"/>
      <c r="EG654" s="1486"/>
      <c r="EH654" s="1486" t="e">
        <f t="shared" si="6"/>
        <v>#VALUE!</v>
      </c>
      <c r="EI654" s="1486"/>
      <c r="EJ654" s="1486"/>
      <c r="EK654" s="1486"/>
      <c r="EL654" s="1486"/>
      <c r="EM654" s="1486" t="e">
        <f t="shared" si="7"/>
        <v>#VALUE!</v>
      </c>
      <c r="EN654" s="1486"/>
      <c r="EO654" s="1486"/>
      <c r="EP654" s="1486"/>
      <c r="EQ654" s="1486"/>
      <c r="ER654" s="1486" t="e">
        <f t="shared" si="8"/>
        <v>#VALUE!</v>
      </c>
      <c r="ES654" s="1486"/>
      <c r="ET654" s="1486"/>
      <c r="EU654" s="1486"/>
      <c r="EV654" s="1486"/>
      <c r="EW654" s="1486" t="e">
        <f t="shared" si="9"/>
        <v>#VALUE!</v>
      </c>
      <c r="EX654" s="1486"/>
      <c r="EY654" s="1486"/>
      <c r="EZ654" s="1486"/>
      <c r="FA654" s="1486"/>
    </row>
    <row r="655" spans="1:157" ht="12.95" customHeight="1">
      <c r="A655" s="19"/>
      <c r="B655" t="s">
        <v>839</v>
      </c>
      <c r="G655" s="1427" t="s">
        <v>1410</v>
      </c>
      <c r="H655" s="1427"/>
      <c r="I655" s="1427"/>
      <c r="J655" s="1427"/>
      <c r="K655" s="1427"/>
      <c r="L655" s="1427"/>
      <c r="O655" s="918" t="s">
        <v>1088</v>
      </c>
      <c r="P655" s="1381"/>
      <c r="Q655" s="1381"/>
      <c r="R655" s="1381"/>
      <c r="S655" s="9"/>
      <c r="T655" s="19"/>
      <c r="U655" t="s">
        <v>839</v>
      </c>
      <c r="Z655" s="1427" t="s">
        <v>1087</v>
      </c>
      <c r="AA655" s="1427"/>
      <c r="AB655" s="1427"/>
      <c r="AC655" s="1427"/>
      <c r="AD655" s="1427"/>
      <c r="AE655" s="1427"/>
      <c r="AH655" s="918" t="s">
        <v>1088</v>
      </c>
      <c r="AI655" s="1381">
        <v>2005</v>
      </c>
      <c r="AJ655" s="1381"/>
      <c r="AK655" s="1381"/>
      <c r="AZ655" s="3"/>
      <c r="BA655" s="3"/>
      <c r="BB655" s="3"/>
      <c r="BC655" s="3"/>
      <c r="BD655" s="3"/>
      <c r="BE655" s="3"/>
      <c r="BF655" s="3"/>
      <c r="BG655" s="3"/>
      <c r="BH655" s="3"/>
      <c r="BI655" s="3"/>
      <c r="BJ655" s="3"/>
      <c r="BK655" s="3"/>
      <c r="BL655" s="3"/>
      <c r="BM655" s="3"/>
      <c r="DX655" s="1486" t="e">
        <f t="shared" si="4"/>
        <v>#VALUE!</v>
      </c>
      <c r="DY655" s="1486"/>
      <c r="DZ655" s="1486"/>
      <c r="EA655" s="1486"/>
      <c r="EB655" s="1486"/>
      <c r="EC655" s="1486" t="e">
        <f t="shared" si="5"/>
        <v>#VALUE!</v>
      </c>
      <c r="ED655" s="1486"/>
      <c r="EE655" s="1486"/>
      <c r="EF655" s="1486"/>
      <c r="EG655" s="1486"/>
      <c r="EH655" s="1486" t="e">
        <f t="shared" si="6"/>
        <v>#VALUE!</v>
      </c>
      <c r="EI655" s="1486"/>
      <c r="EJ655" s="1486"/>
      <c r="EK655" s="1486"/>
      <c r="EL655" s="1486"/>
      <c r="EM655" s="1486" t="e">
        <f t="shared" si="7"/>
        <v>#VALUE!</v>
      </c>
      <c r="EN655" s="1486"/>
      <c r="EO655" s="1486"/>
      <c r="EP655" s="1486"/>
      <c r="EQ655" s="1486"/>
      <c r="ER655" s="1486" t="e">
        <f t="shared" si="8"/>
        <v>#VALUE!</v>
      </c>
      <c r="ES655" s="1486"/>
      <c r="ET655" s="1486"/>
      <c r="EU655" s="1486"/>
      <c r="EV655" s="1486"/>
      <c r="EW655" s="1486" t="e">
        <f t="shared" si="9"/>
        <v>#VALUE!</v>
      </c>
      <c r="EX655" s="1486"/>
      <c r="EY655" s="1486"/>
      <c r="EZ655" s="1486"/>
      <c r="FA655" s="1486"/>
    </row>
    <row r="656" spans="1:157" ht="12.95" customHeight="1">
      <c r="A656" s="19"/>
      <c r="B656" t="s">
        <v>1411</v>
      </c>
      <c r="H656" s="1428" t="s">
        <v>1435</v>
      </c>
      <c r="I656" s="1428"/>
      <c r="J656" s="1428"/>
      <c r="K656" s="1428"/>
      <c r="L656" s="1428"/>
      <c r="M656" s="1428"/>
      <c r="N656" s="1428"/>
      <c r="O656" s="1428"/>
      <c r="P656" s="1428"/>
      <c r="Q656" s="1428"/>
      <c r="R656" s="1428"/>
      <c r="S656" s="7"/>
      <c r="T656" s="19"/>
      <c r="U656" t="s">
        <v>1411</v>
      </c>
      <c r="AA656" s="1428" t="s">
        <v>1418</v>
      </c>
      <c r="AB656" s="1428"/>
      <c r="AC656" s="1428"/>
      <c r="AD656" s="1428"/>
      <c r="AE656" s="1428"/>
      <c r="AF656" s="1428"/>
      <c r="AG656" s="1428"/>
      <c r="AH656" s="1428"/>
      <c r="AI656" s="1428"/>
      <c r="AJ656" s="1428"/>
      <c r="AK656" s="1428"/>
      <c r="AZ656" s="3"/>
      <c r="BA656" s="3"/>
      <c r="BB656" s="3"/>
      <c r="BC656" s="3"/>
      <c r="BD656" s="3"/>
      <c r="BE656" s="3"/>
      <c r="BF656" s="3"/>
      <c r="BG656" s="3"/>
      <c r="BH656" s="3"/>
      <c r="BI656" s="3"/>
      <c r="BJ656" s="3"/>
      <c r="BK656" s="3"/>
      <c r="BL656" s="3"/>
      <c r="BM656" s="3"/>
      <c r="DX656" s="1486" t="e">
        <f t="shared" si="4"/>
        <v>#VALUE!</v>
      </c>
      <c r="DY656" s="1486"/>
      <c r="DZ656" s="1486"/>
      <c r="EA656" s="1486"/>
      <c r="EB656" s="1486"/>
      <c r="EC656" s="1486" t="e">
        <f t="shared" si="5"/>
        <v>#VALUE!</v>
      </c>
      <c r="ED656" s="1486"/>
      <c r="EE656" s="1486"/>
      <c r="EF656" s="1486"/>
      <c r="EG656" s="1486"/>
      <c r="EH656" s="1486" t="e">
        <f t="shared" si="6"/>
        <v>#VALUE!</v>
      </c>
      <c r="EI656" s="1486"/>
      <c r="EJ656" s="1486"/>
      <c r="EK656" s="1486"/>
      <c r="EL656" s="1486"/>
      <c r="EM656" s="1486" t="e">
        <f t="shared" si="7"/>
        <v>#VALUE!</v>
      </c>
      <c r="EN656" s="1486"/>
      <c r="EO656" s="1486"/>
      <c r="EP656" s="1486"/>
      <c r="EQ656" s="1486"/>
      <c r="ER656" s="1486" t="e">
        <f t="shared" si="8"/>
        <v>#VALUE!</v>
      </c>
      <c r="ES656" s="1486"/>
      <c r="ET656" s="1486"/>
      <c r="EU656" s="1486"/>
      <c r="EV656" s="1486"/>
      <c r="EW656" s="1486" t="e">
        <f t="shared" si="9"/>
        <v>#VALUE!</v>
      </c>
      <c r="EX656" s="1486"/>
      <c r="EY656" s="1486"/>
      <c r="EZ656" s="1486"/>
      <c r="FA656" s="1486"/>
    </row>
    <row r="657" spans="1:157" ht="12.95" customHeight="1">
      <c r="A657" s="19"/>
      <c r="B657" t="s">
        <v>1417</v>
      </c>
      <c r="N657" s="1308" t="s">
        <v>860</v>
      </c>
      <c r="O657" s="1308"/>
      <c r="T657" s="19"/>
      <c r="U657" t="s">
        <v>1417</v>
      </c>
      <c r="AG657" s="1308" t="s">
        <v>860</v>
      </c>
      <c r="AH657" s="1308"/>
      <c r="AZ657" s="3"/>
      <c r="BA657" s="3"/>
      <c r="BB657" s="3"/>
      <c r="BC657" s="3"/>
      <c r="BD657" s="3"/>
      <c r="BE657" s="3"/>
      <c r="BF657" s="3"/>
      <c r="BG657" s="3"/>
      <c r="BH657" s="3"/>
      <c r="BI657" s="3"/>
      <c r="BJ657" s="3"/>
      <c r="BK657" s="3"/>
      <c r="BL657" s="3"/>
      <c r="BM657" s="3"/>
      <c r="DX657" s="1486" t="e">
        <f t="shared" si="4"/>
        <v>#VALUE!</v>
      </c>
      <c r="DY657" s="1486"/>
      <c r="DZ657" s="1486"/>
      <c r="EA657" s="1486"/>
      <c r="EB657" s="1486"/>
      <c r="EC657" s="1486" t="e">
        <f t="shared" si="5"/>
        <v>#VALUE!</v>
      </c>
      <c r="ED657" s="1486"/>
      <c r="EE657" s="1486"/>
      <c r="EF657" s="1486"/>
      <c r="EG657" s="1486"/>
      <c r="EH657" s="1486" t="e">
        <f t="shared" si="6"/>
        <v>#VALUE!</v>
      </c>
      <c r="EI657" s="1486"/>
      <c r="EJ657" s="1486"/>
      <c r="EK657" s="1486"/>
      <c r="EL657" s="1486"/>
      <c r="EM657" s="1486" t="e">
        <f t="shared" si="7"/>
        <v>#VALUE!</v>
      </c>
      <c r="EN657" s="1486"/>
      <c r="EO657" s="1486"/>
      <c r="EP657" s="1486"/>
      <c r="EQ657" s="1486"/>
      <c r="ER657" s="1486" t="e">
        <f t="shared" si="8"/>
        <v>#VALUE!</v>
      </c>
      <c r="ES657" s="1486"/>
      <c r="ET657" s="1486"/>
      <c r="EU657" s="1486"/>
      <c r="EV657" s="1486"/>
      <c r="EW657" s="1486" t="e">
        <f t="shared" si="9"/>
        <v>#VALUE!</v>
      </c>
      <c r="EX657" s="1486"/>
      <c r="EY657" s="1486"/>
      <c r="EZ657" s="1486"/>
      <c r="FA657" s="1486"/>
    </row>
    <row r="658" spans="1:157" ht="12.95" customHeight="1">
      <c r="A658" s="19"/>
      <c r="T658" s="19"/>
      <c r="AZ658" s="3"/>
      <c r="BA658" s="3"/>
      <c r="BB658" s="3"/>
      <c r="BC658" s="3"/>
      <c r="BD658" s="3"/>
      <c r="BE658" s="3"/>
      <c r="BF658" s="3"/>
      <c r="BG658" s="3"/>
      <c r="BH658" s="3"/>
      <c r="BI658" s="3"/>
      <c r="BJ658" s="3"/>
      <c r="BK658" s="3"/>
      <c r="BL658" s="3"/>
      <c r="BM658" s="3"/>
      <c r="DX658" s="1486" t="e">
        <f t="shared" si="4"/>
        <v>#VALUE!</v>
      </c>
      <c r="DY658" s="1486"/>
      <c r="DZ658" s="1486"/>
      <c r="EA658" s="1486"/>
      <c r="EB658" s="1486"/>
      <c r="EC658" s="1486" t="e">
        <f t="shared" si="5"/>
        <v>#VALUE!</v>
      </c>
      <c r="ED658" s="1486"/>
      <c r="EE658" s="1486"/>
      <c r="EF658" s="1486"/>
      <c r="EG658" s="1486"/>
      <c r="EH658" s="1486" t="e">
        <f t="shared" si="6"/>
        <v>#VALUE!</v>
      </c>
      <c r="EI658" s="1486"/>
      <c r="EJ658" s="1486"/>
      <c r="EK658" s="1486"/>
      <c r="EL658" s="1486"/>
      <c r="EM658" s="1486" t="e">
        <f t="shared" si="7"/>
        <v>#VALUE!</v>
      </c>
      <c r="EN658" s="1486"/>
      <c r="EO658" s="1486"/>
      <c r="EP658" s="1486"/>
      <c r="EQ658" s="1486"/>
      <c r="ER658" s="1486" t="e">
        <f t="shared" si="8"/>
        <v>#VALUE!</v>
      </c>
      <c r="ES658" s="1486"/>
      <c r="ET658" s="1486"/>
      <c r="EU658" s="1486"/>
      <c r="EV658" s="1486"/>
      <c r="EW658" s="1486" t="e">
        <f t="shared" si="9"/>
        <v>#VALUE!</v>
      </c>
      <c r="EX658" s="1486"/>
      <c r="EY658" s="1486"/>
      <c r="EZ658" s="1486"/>
      <c r="FA658" s="1486"/>
    </row>
    <row r="659" spans="1:157" ht="12.95" customHeight="1">
      <c r="A659" s="47" t="s">
        <v>39</v>
      </c>
      <c r="B659" t="s">
        <v>1405</v>
      </c>
      <c r="G659" s="1423" t="str">
        <f>C637</f>
        <v>Deferred Developer Fee</v>
      </c>
      <c r="H659" s="1423"/>
      <c r="I659" s="1423"/>
      <c r="J659" s="1423"/>
      <c r="K659" s="1423"/>
      <c r="L659" s="1423"/>
      <c r="M659" s="1423"/>
      <c r="N659" s="1423"/>
      <c r="O659" s="1423"/>
      <c r="P659" s="1423"/>
      <c r="Q659" s="1423"/>
      <c r="R659" s="1423"/>
      <c r="T659" s="47" t="s">
        <v>82</v>
      </c>
      <c r="U659" t="s">
        <v>1405</v>
      </c>
      <c r="Z659" s="1423" t="str">
        <f>C638</f>
        <v>Golden Empire Affordable Housing, Inc.</v>
      </c>
      <c r="AA659" s="1423"/>
      <c r="AB659" s="1423"/>
      <c r="AC659" s="1423"/>
      <c r="AD659" s="1423"/>
      <c r="AE659" s="1423"/>
      <c r="AF659" s="1423"/>
      <c r="AG659" s="1423"/>
      <c r="AH659" s="1423"/>
      <c r="AI659" s="1423"/>
      <c r="AJ659" s="1423"/>
      <c r="AK659" s="1423"/>
      <c r="AZ659" s="3"/>
      <c r="BA659" s="3"/>
      <c r="BB659" s="3"/>
      <c r="BC659" s="3"/>
      <c r="BD659" s="3"/>
      <c r="BE659" s="3"/>
      <c r="BF659" s="3"/>
      <c r="BG659" s="3"/>
      <c r="BH659" s="3"/>
      <c r="BI659" s="3"/>
      <c r="BJ659" s="3"/>
      <c r="BK659" s="3"/>
      <c r="BL659" s="3"/>
      <c r="BM659" s="3"/>
      <c r="DX659" s="1486" t="e">
        <f t="shared" si="4"/>
        <v>#VALUE!</v>
      </c>
      <c r="DY659" s="1486"/>
      <c r="DZ659" s="1486"/>
      <c r="EA659" s="1486"/>
      <c r="EB659" s="1486"/>
      <c r="EC659" s="1486" t="e">
        <f t="shared" si="5"/>
        <v>#VALUE!</v>
      </c>
      <c r="ED659" s="1486"/>
      <c r="EE659" s="1486"/>
      <c r="EF659" s="1486"/>
      <c r="EG659" s="1486"/>
      <c r="EH659" s="1486" t="e">
        <f t="shared" si="6"/>
        <v>#VALUE!</v>
      </c>
      <c r="EI659" s="1486"/>
      <c r="EJ659" s="1486"/>
      <c r="EK659" s="1486"/>
      <c r="EL659" s="1486"/>
      <c r="EM659" s="1486" t="e">
        <f t="shared" si="7"/>
        <v>#VALUE!</v>
      </c>
      <c r="EN659" s="1486"/>
      <c r="EO659" s="1486"/>
      <c r="EP659" s="1486"/>
      <c r="EQ659" s="1486"/>
      <c r="ER659" s="1486" t="e">
        <f t="shared" si="8"/>
        <v>#VALUE!</v>
      </c>
      <c r="ES659" s="1486"/>
      <c r="ET659" s="1486"/>
      <c r="EU659" s="1486"/>
      <c r="EV659" s="1486"/>
      <c r="EW659" s="1486" t="e">
        <f t="shared" si="9"/>
        <v>#VALUE!</v>
      </c>
      <c r="EX659" s="1486"/>
      <c r="EY659" s="1486"/>
      <c r="EZ659" s="1486"/>
      <c r="FA659" s="1486"/>
    </row>
    <row r="660" spans="1:157" ht="12.95" customHeight="1">
      <c r="A660" s="19"/>
      <c r="B660" t="s">
        <v>1081</v>
      </c>
      <c r="G660" s="1428" t="s">
        <v>1082</v>
      </c>
      <c r="H660" s="1428"/>
      <c r="I660" s="1428"/>
      <c r="J660" s="1428"/>
      <c r="K660" s="1428"/>
      <c r="L660" s="1428"/>
      <c r="M660" s="1428"/>
      <c r="N660" s="1428"/>
      <c r="O660" s="1428"/>
      <c r="P660" s="1428"/>
      <c r="Q660" s="1428"/>
      <c r="R660" s="1428"/>
      <c r="T660" s="19"/>
      <c r="U660" t="s">
        <v>1081</v>
      </c>
      <c r="Z660" s="1428" t="s">
        <v>1436</v>
      </c>
      <c r="AA660" s="1428"/>
      <c r="AB660" s="1428"/>
      <c r="AC660" s="1428"/>
      <c r="AD660" s="1428"/>
      <c r="AE660" s="1428"/>
      <c r="AF660" s="1428"/>
      <c r="AG660" s="1428"/>
      <c r="AH660" s="1428"/>
      <c r="AI660" s="1428"/>
      <c r="AJ660" s="1428"/>
      <c r="AK660" s="1428"/>
      <c r="AZ660" s="3"/>
      <c r="BA660" s="3"/>
      <c r="BB660" s="3"/>
      <c r="BC660" s="3"/>
      <c r="BD660" s="3"/>
      <c r="BE660" s="3"/>
      <c r="BF660" s="3"/>
      <c r="BG660" s="3"/>
      <c r="BH660" s="3"/>
      <c r="BI660" s="3"/>
      <c r="BJ660" s="3"/>
      <c r="BK660" s="3"/>
      <c r="BL660" s="3"/>
      <c r="BM660" s="3"/>
      <c r="DX660" s="1486" t="e">
        <f t="shared" si="4"/>
        <v>#VALUE!</v>
      </c>
      <c r="DY660" s="1486"/>
      <c r="DZ660" s="1486"/>
      <c r="EA660" s="1486"/>
      <c r="EB660" s="1486"/>
      <c r="EC660" s="1486" t="e">
        <f t="shared" si="5"/>
        <v>#VALUE!</v>
      </c>
      <c r="ED660" s="1486"/>
      <c r="EE660" s="1486"/>
      <c r="EF660" s="1486"/>
      <c r="EG660" s="1486"/>
      <c r="EH660" s="1486" t="e">
        <f t="shared" si="6"/>
        <v>#VALUE!</v>
      </c>
      <c r="EI660" s="1486"/>
      <c r="EJ660" s="1486"/>
      <c r="EK660" s="1486"/>
      <c r="EL660" s="1486"/>
      <c r="EM660" s="1486" t="e">
        <f t="shared" si="7"/>
        <v>#VALUE!</v>
      </c>
      <c r="EN660" s="1486"/>
      <c r="EO660" s="1486"/>
      <c r="EP660" s="1486"/>
      <c r="EQ660" s="1486"/>
      <c r="ER660" s="1486" t="e">
        <f t="shared" si="8"/>
        <v>#VALUE!</v>
      </c>
      <c r="ES660" s="1486"/>
      <c r="ET660" s="1486"/>
      <c r="EU660" s="1486"/>
      <c r="EV660" s="1486"/>
      <c r="EW660" s="1486" t="e">
        <f t="shared" si="9"/>
        <v>#VALUE!</v>
      </c>
      <c r="EX660" s="1486"/>
      <c r="EY660" s="1486"/>
      <c r="EZ660" s="1486"/>
      <c r="FA660" s="1486"/>
    </row>
    <row r="661" spans="1:157" ht="12.95" customHeight="1">
      <c r="A661" s="19"/>
      <c r="B661" t="s">
        <v>946</v>
      </c>
      <c r="G661" s="1439" t="s">
        <v>1134</v>
      </c>
      <c r="H661" s="1439"/>
      <c r="I661" s="1439"/>
      <c r="J661" s="1439"/>
      <c r="K661" s="1439"/>
      <c r="L661" s="1439"/>
      <c r="M661" s="1439"/>
      <c r="N661" s="1439"/>
      <c r="O661" s="1439"/>
      <c r="P661" s="1439"/>
      <c r="Q661" s="1439"/>
      <c r="R661" s="1439"/>
      <c r="T661" s="19"/>
      <c r="U661" t="s">
        <v>946</v>
      </c>
      <c r="Z661" s="1439" t="s">
        <v>1134</v>
      </c>
      <c r="AA661" s="1439"/>
      <c r="AB661" s="1439"/>
      <c r="AC661" s="1439"/>
      <c r="AD661" s="1439"/>
      <c r="AE661" s="1439"/>
      <c r="AF661" s="1439"/>
      <c r="AG661" s="1439"/>
      <c r="AH661" s="1439"/>
      <c r="AI661" s="1439"/>
      <c r="AJ661" s="1439"/>
      <c r="AK661" s="1439"/>
      <c r="AZ661" s="3"/>
      <c r="BA661" s="3"/>
      <c r="BB661" s="3"/>
      <c r="BC661" s="3"/>
      <c r="BD661" s="3"/>
      <c r="BE661" s="3"/>
      <c r="BF661" s="3"/>
      <c r="BG661" s="3"/>
      <c r="BH661" s="3"/>
      <c r="BI661" s="3"/>
      <c r="BJ661" s="3"/>
      <c r="BK661" s="3"/>
      <c r="BL661" s="3"/>
      <c r="BM661" s="3"/>
      <c r="DX661" s="1486" t="e">
        <f t="shared" si="4"/>
        <v>#VALUE!</v>
      </c>
      <c r="DY661" s="1486"/>
      <c r="DZ661" s="1486"/>
      <c r="EA661" s="1486"/>
      <c r="EB661" s="1486"/>
      <c r="EC661" s="1486" t="e">
        <f t="shared" si="5"/>
        <v>#VALUE!</v>
      </c>
      <c r="ED661" s="1486"/>
      <c r="EE661" s="1486"/>
      <c r="EF661" s="1486"/>
      <c r="EG661" s="1486"/>
      <c r="EH661" s="1486" t="e">
        <f t="shared" si="6"/>
        <v>#VALUE!</v>
      </c>
      <c r="EI661" s="1486"/>
      <c r="EJ661" s="1486"/>
      <c r="EK661" s="1486"/>
      <c r="EL661" s="1486"/>
      <c r="EM661" s="1486" t="e">
        <f t="shared" si="7"/>
        <v>#VALUE!</v>
      </c>
      <c r="EN661" s="1486"/>
      <c r="EO661" s="1486"/>
      <c r="EP661" s="1486"/>
      <c r="EQ661" s="1486"/>
      <c r="ER661" s="1486" t="e">
        <f t="shared" si="8"/>
        <v>#VALUE!</v>
      </c>
      <c r="ES661" s="1486"/>
      <c r="ET661" s="1486"/>
      <c r="EU661" s="1486"/>
      <c r="EV661" s="1486"/>
      <c r="EW661" s="1486" t="e">
        <f t="shared" si="9"/>
        <v>#VALUE!</v>
      </c>
      <c r="EX661" s="1486"/>
      <c r="EY661" s="1486"/>
      <c r="EZ661" s="1486"/>
      <c r="FA661" s="1486"/>
    </row>
    <row r="662" spans="1:157" ht="12.95" customHeight="1">
      <c r="A662" s="19"/>
      <c r="B662" t="s">
        <v>1408</v>
      </c>
      <c r="G662" s="1439" t="s">
        <v>805</v>
      </c>
      <c r="H662" s="1439"/>
      <c r="I662" s="1439"/>
      <c r="J662" s="1439"/>
      <c r="K662" s="1439"/>
      <c r="L662" s="1439"/>
      <c r="M662" s="1439"/>
      <c r="N662" s="1439"/>
      <c r="O662" s="1439"/>
      <c r="P662" s="1439"/>
      <c r="Q662" s="1439"/>
      <c r="R662" s="1439"/>
      <c r="T662" s="19"/>
      <c r="U662" t="s">
        <v>1408</v>
      </c>
      <c r="Z662" s="1439" t="s">
        <v>805</v>
      </c>
      <c r="AA662" s="1439"/>
      <c r="AB662" s="1439"/>
      <c r="AC662" s="1439"/>
      <c r="AD662" s="1439"/>
      <c r="AE662" s="1439"/>
      <c r="AF662" s="1439"/>
      <c r="AG662" s="1439"/>
      <c r="AH662" s="1439"/>
      <c r="AI662" s="1439"/>
      <c r="AJ662" s="1439"/>
      <c r="AK662" s="1439"/>
      <c r="AZ662" s="3"/>
      <c r="BA662" s="3"/>
      <c r="BB662" s="3"/>
      <c r="BC662" s="3"/>
      <c r="BD662" s="3"/>
      <c r="BE662" s="3"/>
      <c r="BF662" s="3"/>
      <c r="BG662" s="3"/>
      <c r="BH662" s="3"/>
      <c r="BI662" s="3"/>
      <c r="BJ662" s="3"/>
      <c r="BK662" s="3"/>
      <c r="BL662" s="3"/>
      <c r="BM662" s="3"/>
      <c r="DX662" s="1486" t="e">
        <f t="shared" si="4"/>
        <v>#VALUE!</v>
      </c>
      <c r="DY662" s="1486"/>
      <c r="DZ662" s="1486"/>
      <c r="EA662" s="1486"/>
      <c r="EB662" s="1486"/>
      <c r="EC662" s="1486" t="e">
        <f t="shared" si="5"/>
        <v>#VALUE!</v>
      </c>
      <c r="ED662" s="1486"/>
      <c r="EE662" s="1486"/>
      <c r="EF662" s="1486"/>
      <c r="EG662" s="1486"/>
      <c r="EH662" s="1486" t="e">
        <f t="shared" si="6"/>
        <v>#VALUE!</v>
      </c>
      <c r="EI662" s="1486"/>
      <c r="EJ662" s="1486"/>
      <c r="EK662" s="1486"/>
      <c r="EL662" s="1486"/>
      <c r="EM662" s="1486" t="e">
        <f t="shared" si="7"/>
        <v>#VALUE!</v>
      </c>
      <c r="EN662" s="1486"/>
      <c r="EO662" s="1486"/>
      <c r="EP662" s="1486"/>
      <c r="EQ662" s="1486"/>
      <c r="ER662" s="1486" t="e">
        <f t="shared" si="8"/>
        <v>#VALUE!</v>
      </c>
      <c r="ES662" s="1486"/>
      <c r="ET662" s="1486"/>
      <c r="EU662" s="1486"/>
      <c r="EV662" s="1486"/>
      <c r="EW662" s="1486" t="e">
        <f t="shared" si="9"/>
        <v>#VALUE!</v>
      </c>
      <c r="EX662" s="1486"/>
      <c r="EY662" s="1486"/>
      <c r="EZ662" s="1486"/>
      <c r="FA662" s="1486"/>
    </row>
    <row r="663" spans="1:157" ht="12.95" customHeight="1">
      <c r="A663" s="19"/>
      <c r="B663" t="s">
        <v>839</v>
      </c>
      <c r="G663" s="1427" t="s">
        <v>1087</v>
      </c>
      <c r="H663" s="1427"/>
      <c r="I663" s="1427"/>
      <c r="J663" s="1427"/>
      <c r="K663" s="1427"/>
      <c r="L663" s="1427"/>
      <c r="O663" s="918" t="s">
        <v>1088</v>
      </c>
      <c r="P663" s="1381">
        <v>2005</v>
      </c>
      <c r="Q663" s="1381"/>
      <c r="R663" s="1381"/>
      <c r="T663" s="19"/>
      <c r="U663" t="s">
        <v>839</v>
      </c>
      <c r="Z663" s="1427" t="s">
        <v>1087</v>
      </c>
      <c r="AA663" s="1427"/>
      <c r="AB663" s="1427"/>
      <c r="AC663" s="1427"/>
      <c r="AD663" s="1427"/>
      <c r="AE663" s="1427"/>
      <c r="AH663" s="918" t="s">
        <v>1088</v>
      </c>
      <c r="AI663" s="1381">
        <v>2005</v>
      </c>
      <c r="AJ663" s="1381"/>
      <c r="AK663" s="1381"/>
      <c r="AZ663" s="3"/>
      <c r="BA663" s="3"/>
      <c r="BB663" s="3"/>
      <c r="BC663" s="3"/>
      <c r="BD663" s="3"/>
      <c r="BE663" s="3"/>
      <c r="BF663" s="3"/>
      <c r="BG663" s="3"/>
      <c r="BH663" s="3"/>
      <c r="BI663" s="3"/>
      <c r="BJ663" s="3"/>
      <c r="BK663" s="3"/>
      <c r="BL663" s="3"/>
      <c r="BM663" s="3"/>
      <c r="DX663" s="1486" t="e">
        <f t="shared" si="4"/>
        <v>#VALUE!</v>
      </c>
      <c r="DY663" s="1486"/>
      <c r="DZ663" s="1486"/>
      <c r="EA663" s="1486"/>
      <c r="EB663" s="1486"/>
      <c r="EC663" s="1486" t="e">
        <f t="shared" si="5"/>
        <v>#VALUE!</v>
      </c>
      <c r="ED663" s="1486"/>
      <c r="EE663" s="1486"/>
      <c r="EF663" s="1486"/>
      <c r="EG663" s="1486"/>
      <c r="EH663" s="1486" t="e">
        <f t="shared" si="6"/>
        <v>#VALUE!</v>
      </c>
      <c r="EI663" s="1486"/>
      <c r="EJ663" s="1486"/>
      <c r="EK663" s="1486"/>
      <c r="EL663" s="1486"/>
      <c r="EM663" s="1486" t="e">
        <f t="shared" si="7"/>
        <v>#VALUE!</v>
      </c>
      <c r="EN663" s="1486"/>
      <c r="EO663" s="1486"/>
      <c r="EP663" s="1486"/>
      <c r="EQ663" s="1486"/>
      <c r="ER663" s="1486" t="e">
        <f t="shared" si="8"/>
        <v>#VALUE!</v>
      </c>
      <c r="ES663" s="1486"/>
      <c r="ET663" s="1486"/>
      <c r="EU663" s="1486"/>
      <c r="EV663" s="1486"/>
      <c r="EW663" s="1486" t="e">
        <f t="shared" si="9"/>
        <v>#VALUE!</v>
      </c>
      <c r="EX663" s="1486"/>
      <c r="EY663" s="1486"/>
      <c r="EZ663" s="1486"/>
      <c r="FA663" s="1486"/>
    </row>
    <row r="664" spans="1:157" ht="12.95" customHeight="1">
      <c r="A664" s="19"/>
      <c r="B664" t="s">
        <v>1411</v>
      </c>
      <c r="H664" s="1428" t="s">
        <v>1430</v>
      </c>
      <c r="I664" s="1428"/>
      <c r="J664" s="1428"/>
      <c r="K664" s="1428"/>
      <c r="L664" s="1428"/>
      <c r="M664" s="1428"/>
      <c r="N664" s="1428"/>
      <c r="O664" s="1428"/>
      <c r="P664" s="1428"/>
      <c r="Q664" s="1428"/>
      <c r="R664" s="1428"/>
      <c r="T664" s="19"/>
      <c r="U664" t="s">
        <v>1411</v>
      </c>
      <c r="AA664" s="1428" t="s">
        <v>1350</v>
      </c>
      <c r="AB664" s="1428"/>
      <c r="AC664" s="1428"/>
      <c r="AD664" s="1428"/>
      <c r="AE664" s="1428"/>
      <c r="AF664" s="1428"/>
      <c r="AG664" s="1428"/>
      <c r="AH664" s="1428"/>
      <c r="AI664" s="1428"/>
      <c r="AJ664" s="1428"/>
      <c r="AK664" s="1428"/>
      <c r="AZ664" s="3"/>
      <c r="BA664" s="3"/>
      <c r="BB664" s="3"/>
      <c r="BC664" s="3"/>
      <c r="BD664" s="3"/>
      <c r="BE664" s="3"/>
      <c r="BF664" s="3"/>
      <c r="BG664" s="3"/>
      <c r="BH664" s="3"/>
      <c r="BI664" s="3"/>
      <c r="BJ664" s="3"/>
      <c r="BK664" s="3"/>
      <c r="BL664" s="3"/>
      <c r="BM664" s="3"/>
      <c r="DX664" s="1486" t="e">
        <f t="shared" si="4"/>
        <v>#VALUE!</v>
      </c>
      <c r="DY664" s="1486"/>
      <c r="DZ664" s="1486"/>
      <c r="EA664" s="1486"/>
      <c r="EB664" s="1486"/>
      <c r="EC664" s="1486" t="e">
        <f t="shared" si="5"/>
        <v>#VALUE!</v>
      </c>
      <c r="ED664" s="1486"/>
      <c r="EE664" s="1486"/>
      <c r="EF664" s="1486"/>
      <c r="EG664" s="1486"/>
      <c r="EH664" s="1486" t="e">
        <f t="shared" si="6"/>
        <v>#VALUE!</v>
      </c>
      <c r="EI664" s="1486"/>
      <c r="EJ664" s="1486"/>
      <c r="EK664" s="1486"/>
      <c r="EL664" s="1486"/>
      <c r="EM664" s="1486" t="e">
        <f t="shared" si="7"/>
        <v>#VALUE!</v>
      </c>
      <c r="EN664" s="1486"/>
      <c r="EO664" s="1486"/>
      <c r="EP664" s="1486"/>
      <c r="EQ664" s="1486"/>
      <c r="ER664" s="1486" t="e">
        <f t="shared" si="8"/>
        <v>#VALUE!</v>
      </c>
      <c r="ES664" s="1486"/>
      <c r="ET664" s="1486"/>
      <c r="EU664" s="1486"/>
      <c r="EV664" s="1486"/>
      <c r="EW664" s="1486" t="e">
        <f t="shared" si="9"/>
        <v>#VALUE!</v>
      </c>
      <c r="EX664" s="1486"/>
      <c r="EY664" s="1486"/>
      <c r="EZ664" s="1486"/>
      <c r="FA664" s="1486"/>
    </row>
    <row r="665" spans="1:157" ht="12.95" customHeight="1">
      <c r="A665" s="19"/>
      <c r="B665" t="s">
        <v>1417</v>
      </c>
      <c r="N665" s="1308" t="s">
        <v>860</v>
      </c>
      <c r="O665" s="1308"/>
      <c r="T665" s="19"/>
      <c r="U665" t="s">
        <v>1417</v>
      </c>
      <c r="AG665" s="1308" t="s">
        <v>860</v>
      </c>
      <c r="AH665" s="1308"/>
      <c r="AZ665" s="3"/>
      <c r="BA665" s="3"/>
      <c r="BB665" s="3"/>
      <c r="BC665" s="3"/>
      <c r="BD665" s="3"/>
      <c r="BE665" s="3"/>
      <c r="BF665" s="3"/>
      <c r="BG665" s="3"/>
      <c r="BH665" s="3"/>
      <c r="BI665" s="3"/>
      <c r="BJ665" s="3"/>
      <c r="BK665" s="3"/>
      <c r="BL665" s="3"/>
      <c r="BM665" s="3"/>
      <c r="DX665" s="1486" t="e">
        <f t="shared" si="4"/>
        <v>#VALUE!</v>
      </c>
      <c r="DY665" s="1486"/>
      <c r="DZ665" s="1486"/>
      <c r="EA665" s="1486"/>
      <c r="EB665" s="1486"/>
      <c r="EC665" s="1486" t="e">
        <f t="shared" si="5"/>
        <v>#VALUE!</v>
      </c>
      <c r="ED665" s="1486"/>
      <c r="EE665" s="1486"/>
      <c r="EF665" s="1486"/>
      <c r="EG665" s="1486"/>
      <c r="EH665" s="1486" t="e">
        <f t="shared" si="6"/>
        <v>#VALUE!</v>
      </c>
      <c r="EI665" s="1486"/>
      <c r="EJ665" s="1486"/>
      <c r="EK665" s="1486"/>
      <c r="EL665" s="1486"/>
      <c r="EM665" s="1486" t="e">
        <f t="shared" si="7"/>
        <v>#VALUE!</v>
      </c>
      <c r="EN665" s="1486"/>
      <c r="EO665" s="1486"/>
      <c r="EP665" s="1486"/>
      <c r="EQ665" s="1486"/>
      <c r="ER665" s="1486" t="e">
        <f t="shared" si="8"/>
        <v>#VALUE!</v>
      </c>
      <c r="ES665" s="1486"/>
      <c r="ET665" s="1486"/>
      <c r="EU665" s="1486"/>
      <c r="EV665" s="1486"/>
      <c r="EW665" s="1486" t="e">
        <f t="shared" si="9"/>
        <v>#VALUE!</v>
      </c>
      <c r="EX665" s="1486"/>
      <c r="EY665" s="1486"/>
      <c r="EZ665" s="1486"/>
      <c r="FA665" s="1486"/>
    </row>
    <row r="666" spans="1:157" ht="12.95" customHeight="1">
      <c r="A666" s="19"/>
      <c r="T666" s="19"/>
      <c r="AZ666" s="3"/>
      <c r="BA666" s="3"/>
      <c r="BB666" s="3"/>
      <c r="BC666" s="3"/>
      <c r="BD666" s="3"/>
      <c r="BE666" s="3"/>
      <c r="BF666" s="3"/>
      <c r="BG666" s="3"/>
      <c r="BH666" s="3"/>
      <c r="BI666" s="3"/>
      <c r="BJ666" s="3"/>
      <c r="BK666" s="3"/>
      <c r="BL666" s="3"/>
      <c r="BM666" s="3"/>
      <c r="DX666" s="1486" t="e">
        <f t="shared" si="4"/>
        <v>#VALUE!</v>
      </c>
      <c r="DY666" s="1486"/>
      <c r="DZ666" s="1486"/>
      <c r="EA666" s="1486"/>
      <c r="EB666" s="1486"/>
      <c r="EC666" s="1486" t="e">
        <f t="shared" si="5"/>
        <v>#VALUE!</v>
      </c>
      <c r="ED666" s="1486"/>
      <c r="EE666" s="1486"/>
      <c r="EF666" s="1486"/>
      <c r="EG666" s="1486"/>
      <c r="EH666" s="1486" t="e">
        <f t="shared" si="6"/>
        <v>#VALUE!</v>
      </c>
      <c r="EI666" s="1486"/>
      <c r="EJ666" s="1486"/>
      <c r="EK666" s="1486"/>
      <c r="EL666" s="1486"/>
      <c r="EM666" s="1486" t="e">
        <f t="shared" si="7"/>
        <v>#VALUE!</v>
      </c>
      <c r="EN666" s="1486"/>
      <c r="EO666" s="1486"/>
      <c r="EP666" s="1486"/>
      <c r="EQ666" s="1486"/>
      <c r="ER666" s="1486" t="e">
        <f t="shared" si="8"/>
        <v>#VALUE!</v>
      </c>
      <c r="ES666" s="1486"/>
      <c r="ET666" s="1486"/>
      <c r="EU666" s="1486"/>
      <c r="EV666" s="1486"/>
      <c r="EW666" s="1486" t="e">
        <f t="shared" si="9"/>
        <v>#VALUE!</v>
      </c>
      <c r="EX666" s="1486"/>
      <c r="EY666" s="1486"/>
      <c r="EZ666" s="1486"/>
      <c r="FA666" s="1486"/>
    </row>
    <row r="667" spans="1:157" ht="12.95" customHeight="1">
      <c r="A667" s="47" t="s">
        <v>86</v>
      </c>
      <c r="B667" t="s">
        <v>1405</v>
      </c>
      <c r="G667" s="1423">
        <f>C639</f>
        <v>0</v>
      </c>
      <c r="H667" s="1423"/>
      <c r="I667" s="1423"/>
      <c r="J667" s="1423"/>
      <c r="K667" s="1423"/>
      <c r="L667" s="1423"/>
      <c r="M667" s="1423"/>
      <c r="N667" s="1423"/>
      <c r="O667" s="1423"/>
      <c r="P667" s="1423"/>
      <c r="Q667" s="1423"/>
      <c r="R667" s="1423"/>
      <c r="T667" s="47" t="s">
        <v>1397</v>
      </c>
      <c r="U667" t="s">
        <v>1405</v>
      </c>
      <c r="Z667" s="1423">
        <f>C640</f>
        <v>0</v>
      </c>
      <c r="AA667" s="1423"/>
      <c r="AB667" s="1423"/>
      <c r="AC667" s="1423"/>
      <c r="AD667" s="1423"/>
      <c r="AE667" s="1423"/>
      <c r="AF667" s="1423"/>
      <c r="AG667" s="1423"/>
      <c r="AH667" s="1423"/>
      <c r="AI667" s="1423"/>
      <c r="AJ667" s="1423"/>
      <c r="AK667" s="1423"/>
      <c r="AZ667" s="3"/>
      <c r="BA667" s="3"/>
      <c r="BB667" s="3"/>
      <c r="BC667" s="3"/>
      <c r="BD667" s="3"/>
      <c r="BE667" s="3"/>
      <c r="BF667" s="3"/>
      <c r="BG667" s="3"/>
      <c r="BH667" s="3"/>
      <c r="BI667" s="3"/>
      <c r="BJ667" s="3"/>
      <c r="BK667" s="3"/>
      <c r="BL667" s="3"/>
      <c r="BM667" s="3"/>
      <c r="DX667" s="1486" t="e">
        <f t="shared" si="4"/>
        <v>#VALUE!</v>
      </c>
      <c r="DY667" s="1486"/>
      <c r="DZ667" s="1486"/>
      <c r="EA667" s="1486"/>
      <c r="EB667" s="1486"/>
      <c r="EC667" s="1486" t="e">
        <f t="shared" si="5"/>
        <v>#VALUE!</v>
      </c>
      <c r="ED667" s="1486"/>
      <c r="EE667" s="1486"/>
      <c r="EF667" s="1486"/>
      <c r="EG667" s="1486"/>
      <c r="EH667" s="1486" t="e">
        <f t="shared" si="6"/>
        <v>#VALUE!</v>
      </c>
      <c r="EI667" s="1486"/>
      <c r="EJ667" s="1486"/>
      <c r="EK667" s="1486"/>
      <c r="EL667" s="1486"/>
      <c r="EM667" s="1486" t="e">
        <f t="shared" si="7"/>
        <v>#VALUE!</v>
      </c>
      <c r="EN667" s="1486"/>
      <c r="EO667" s="1486"/>
      <c r="EP667" s="1486"/>
      <c r="EQ667" s="1486"/>
      <c r="ER667" s="1486" t="e">
        <f t="shared" si="8"/>
        <v>#VALUE!</v>
      </c>
      <c r="ES667" s="1486"/>
      <c r="ET667" s="1486"/>
      <c r="EU667" s="1486"/>
      <c r="EV667" s="1486"/>
      <c r="EW667" s="1486" t="e">
        <f t="shared" si="9"/>
        <v>#VALUE!</v>
      </c>
      <c r="EX667" s="1486"/>
      <c r="EY667" s="1486"/>
      <c r="EZ667" s="1486"/>
      <c r="FA667" s="1486"/>
    </row>
    <row r="668" spans="1:157" ht="12.95" customHeight="1">
      <c r="A668" s="19"/>
      <c r="B668" t="s">
        <v>1081</v>
      </c>
      <c r="G668" s="1428"/>
      <c r="H668" s="1428"/>
      <c r="I668" s="1428"/>
      <c r="J668" s="1428"/>
      <c r="K668" s="1428"/>
      <c r="L668" s="1428"/>
      <c r="M668" s="1428"/>
      <c r="N668" s="1428"/>
      <c r="O668" s="1428"/>
      <c r="P668" s="1428"/>
      <c r="Q668" s="1428"/>
      <c r="R668" s="1428"/>
      <c r="T668" s="19"/>
      <c r="U668" t="s">
        <v>1081</v>
      </c>
      <c r="Z668" s="1428"/>
      <c r="AA668" s="1428"/>
      <c r="AB668" s="1428"/>
      <c r="AC668" s="1428"/>
      <c r="AD668" s="1428"/>
      <c r="AE668" s="1428"/>
      <c r="AF668" s="1428"/>
      <c r="AG668" s="1428"/>
      <c r="AH668" s="1428"/>
      <c r="AI668" s="1428"/>
      <c r="AJ668" s="1428"/>
      <c r="AK668" s="1428"/>
      <c r="AZ668" s="3"/>
      <c r="BA668" s="3"/>
      <c r="BB668" s="3"/>
      <c r="BC668" s="3"/>
      <c r="BD668" s="3"/>
      <c r="BE668" s="3"/>
      <c r="BF668" s="3"/>
      <c r="BG668" s="3"/>
      <c r="BH668" s="3"/>
      <c r="BI668" s="3"/>
      <c r="BJ668" s="3"/>
      <c r="BK668" s="3"/>
      <c r="BL668" s="3"/>
      <c r="BM668" s="3"/>
      <c r="DX668" s="1486" t="e">
        <f t="shared" si="4"/>
        <v>#VALUE!</v>
      </c>
      <c r="DY668" s="1486"/>
      <c r="DZ668" s="1486"/>
      <c r="EA668" s="1486"/>
      <c r="EB668" s="1486"/>
      <c r="EC668" s="1486" t="e">
        <f t="shared" si="5"/>
        <v>#VALUE!</v>
      </c>
      <c r="ED668" s="1486"/>
      <c r="EE668" s="1486"/>
      <c r="EF668" s="1486"/>
      <c r="EG668" s="1486"/>
      <c r="EH668" s="1486" t="e">
        <f t="shared" si="6"/>
        <v>#VALUE!</v>
      </c>
      <c r="EI668" s="1486"/>
      <c r="EJ668" s="1486"/>
      <c r="EK668" s="1486"/>
      <c r="EL668" s="1486"/>
      <c r="EM668" s="1486" t="e">
        <f t="shared" si="7"/>
        <v>#VALUE!</v>
      </c>
      <c r="EN668" s="1486"/>
      <c r="EO668" s="1486"/>
      <c r="EP668" s="1486"/>
      <c r="EQ668" s="1486"/>
      <c r="ER668" s="1486" t="e">
        <f t="shared" si="8"/>
        <v>#VALUE!</v>
      </c>
      <c r="ES668" s="1486"/>
      <c r="ET668" s="1486"/>
      <c r="EU668" s="1486"/>
      <c r="EV668" s="1486"/>
      <c r="EW668" s="1486" t="e">
        <f t="shared" si="9"/>
        <v>#VALUE!</v>
      </c>
      <c r="EX668" s="1486"/>
      <c r="EY668" s="1486"/>
      <c r="EZ668" s="1486"/>
      <c r="FA668" s="1486"/>
    </row>
    <row r="669" spans="1:157" ht="12.95" customHeight="1">
      <c r="A669" s="19"/>
      <c r="B669" t="s">
        <v>946</v>
      </c>
      <c r="G669" s="1428"/>
      <c r="H669" s="1428"/>
      <c r="I669" s="1428"/>
      <c r="J669" s="1428"/>
      <c r="K669" s="1428"/>
      <c r="L669" s="1428"/>
      <c r="M669" s="1428"/>
      <c r="N669" s="1428"/>
      <c r="O669" s="1428"/>
      <c r="P669" s="1428"/>
      <c r="Q669" s="1428"/>
      <c r="R669" s="1428"/>
      <c r="T669" s="19"/>
      <c r="U669" t="s">
        <v>946</v>
      </c>
      <c r="Z669" s="1439"/>
      <c r="AA669" s="1439"/>
      <c r="AB669" s="1439"/>
      <c r="AC669" s="1439"/>
      <c r="AD669" s="1439"/>
      <c r="AE669" s="1439"/>
      <c r="AF669" s="1439"/>
      <c r="AG669" s="1439"/>
      <c r="AH669" s="1439"/>
      <c r="AI669" s="1439"/>
      <c r="AJ669" s="1439"/>
      <c r="AK669" s="1439"/>
      <c r="AZ669" s="3"/>
      <c r="BA669" s="3"/>
      <c r="BB669" s="3"/>
      <c r="BC669" s="3"/>
      <c r="BD669" s="3"/>
      <c r="BE669" s="3"/>
      <c r="BF669" s="3"/>
      <c r="BG669" s="3"/>
      <c r="BH669" s="3"/>
      <c r="BI669" s="3"/>
      <c r="BJ669" s="3"/>
      <c r="BK669" s="3"/>
      <c r="BL669" s="3"/>
      <c r="BM669" s="3"/>
      <c r="DX669" s="1486" t="e">
        <f t="shared" si="4"/>
        <v>#VALUE!</v>
      </c>
      <c r="DY669" s="1486"/>
      <c r="DZ669" s="1486"/>
      <c r="EA669" s="1486"/>
      <c r="EB669" s="1486"/>
      <c r="EC669" s="1486" t="e">
        <f t="shared" si="5"/>
        <v>#VALUE!</v>
      </c>
      <c r="ED669" s="1486"/>
      <c r="EE669" s="1486"/>
      <c r="EF669" s="1486"/>
      <c r="EG669" s="1486"/>
      <c r="EH669" s="1486" t="e">
        <f t="shared" si="6"/>
        <v>#VALUE!</v>
      </c>
      <c r="EI669" s="1486"/>
      <c r="EJ669" s="1486"/>
      <c r="EK669" s="1486"/>
      <c r="EL669" s="1486"/>
      <c r="EM669" s="1486" t="e">
        <f t="shared" si="7"/>
        <v>#VALUE!</v>
      </c>
      <c r="EN669" s="1486"/>
      <c r="EO669" s="1486"/>
      <c r="EP669" s="1486"/>
      <c r="EQ669" s="1486"/>
      <c r="ER669" s="1486" t="e">
        <f t="shared" si="8"/>
        <v>#VALUE!</v>
      </c>
      <c r="ES669" s="1486"/>
      <c r="ET669" s="1486"/>
      <c r="EU669" s="1486"/>
      <c r="EV669" s="1486"/>
      <c r="EW669" s="1486" t="e">
        <f t="shared" si="9"/>
        <v>#VALUE!</v>
      </c>
      <c r="EX669" s="1486"/>
      <c r="EY669" s="1486"/>
      <c r="EZ669" s="1486"/>
      <c r="FA669" s="1486"/>
    </row>
    <row r="670" spans="1:157" ht="12.95" customHeight="1">
      <c r="A670" s="19"/>
      <c r="B670" t="s">
        <v>1408</v>
      </c>
      <c r="G670" s="1428"/>
      <c r="H670" s="1428"/>
      <c r="I670" s="1428"/>
      <c r="J670" s="1428"/>
      <c r="K670" s="1428"/>
      <c r="L670" s="1428"/>
      <c r="M670" s="1428"/>
      <c r="N670" s="1428"/>
      <c r="O670" s="1428"/>
      <c r="P670" s="1428"/>
      <c r="Q670" s="1428"/>
      <c r="R670" s="1428"/>
      <c r="T670" s="19"/>
      <c r="U670" t="s">
        <v>1408</v>
      </c>
      <c r="Z670" s="1439"/>
      <c r="AA670" s="1439"/>
      <c r="AB670" s="1439"/>
      <c r="AC670" s="1439"/>
      <c r="AD670" s="1439"/>
      <c r="AE670" s="1439"/>
      <c r="AF670" s="1439"/>
      <c r="AG670" s="1439"/>
      <c r="AH670" s="1439"/>
      <c r="AI670" s="1439"/>
      <c r="AJ670" s="1439"/>
      <c r="AK670" s="143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86" t="e">
        <f t="shared" si="4"/>
        <v>#VALUE!</v>
      </c>
      <c r="DY670" s="1486"/>
      <c r="DZ670" s="1486"/>
      <c r="EA670" s="1486"/>
      <c r="EB670" s="1486"/>
      <c r="EC670" s="1486" t="e">
        <f t="shared" si="5"/>
        <v>#VALUE!</v>
      </c>
      <c r="ED670" s="1486"/>
      <c r="EE670" s="1486"/>
      <c r="EF670" s="1486"/>
      <c r="EG670" s="1486"/>
      <c r="EH670" s="1486" t="e">
        <f t="shared" si="6"/>
        <v>#VALUE!</v>
      </c>
      <c r="EI670" s="1486"/>
      <c r="EJ670" s="1486"/>
      <c r="EK670" s="1486"/>
      <c r="EL670" s="1486"/>
      <c r="EM670" s="1486" t="e">
        <f t="shared" si="7"/>
        <v>#VALUE!</v>
      </c>
      <c r="EN670" s="1486"/>
      <c r="EO670" s="1486"/>
      <c r="EP670" s="1486"/>
      <c r="EQ670" s="1486"/>
      <c r="ER670" s="1486" t="e">
        <f t="shared" si="8"/>
        <v>#VALUE!</v>
      </c>
      <c r="ES670" s="1486"/>
      <c r="ET670" s="1486"/>
      <c r="EU670" s="1486"/>
      <c r="EV670" s="1486"/>
      <c r="EW670" s="1486" t="e">
        <f t="shared" si="9"/>
        <v>#VALUE!</v>
      </c>
      <c r="EX670" s="1486"/>
      <c r="EY670" s="1486"/>
      <c r="EZ670" s="1486"/>
      <c r="FA670" s="1486"/>
    </row>
    <row r="671" spans="1:157" ht="12.95" customHeight="1">
      <c r="A671" s="19"/>
      <c r="B671" t="s">
        <v>839</v>
      </c>
      <c r="G671" s="1427"/>
      <c r="H671" s="1427"/>
      <c r="I671" s="1427"/>
      <c r="J671" s="1427"/>
      <c r="K671" s="1427"/>
      <c r="L671" s="1427"/>
      <c r="O671" s="918" t="s">
        <v>1088</v>
      </c>
      <c r="P671" s="1381"/>
      <c r="Q671" s="1381"/>
      <c r="R671" s="1381"/>
      <c r="T671" s="19"/>
      <c r="U671" t="s">
        <v>839</v>
      </c>
      <c r="Z671" s="1427"/>
      <c r="AA671" s="1427"/>
      <c r="AB671" s="1427"/>
      <c r="AC671" s="1427"/>
      <c r="AD671" s="1427"/>
      <c r="AE671" s="1427"/>
      <c r="AH671" s="918" t="s">
        <v>1088</v>
      </c>
      <c r="AI671" s="1381"/>
      <c r="AJ671" s="1381"/>
      <c r="AK671" s="1381"/>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86" t="e">
        <f t="shared" si="4"/>
        <v>#VALUE!</v>
      </c>
      <c r="DY671" s="1486"/>
      <c r="DZ671" s="1486"/>
      <c r="EA671" s="1486"/>
      <c r="EB671" s="1486"/>
      <c r="EC671" s="1486" t="e">
        <f t="shared" si="5"/>
        <v>#VALUE!</v>
      </c>
      <c r="ED671" s="1486"/>
      <c r="EE671" s="1486"/>
      <c r="EF671" s="1486"/>
      <c r="EG671" s="1486"/>
      <c r="EH671" s="1486" t="e">
        <f t="shared" si="6"/>
        <v>#VALUE!</v>
      </c>
      <c r="EI671" s="1486"/>
      <c r="EJ671" s="1486"/>
      <c r="EK671" s="1486"/>
      <c r="EL671" s="1486"/>
      <c r="EM671" s="1486" t="e">
        <f t="shared" si="7"/>
        <v>#VALUE!</v>
      </c>
      <c r="EN671" s="1486"/>
      <c r="EO671" s="1486"/>
      <c r="EP671" s="1486"/>
      <c r="EQ671" s="1486"/>
      <c r="ER671" s="1486" t="e">
        <f t="shared" si="8"/>
        <v>#VALUE!</v>
      </c>
      <c r="ES671" s="1486"/>
      <c r="ET671" s="1486"/>
      <c r="EU671" s="1486"/>
      <c r="EV671" s="1486"/>
      <c r="EW671" s="1486" t="e">
        <f t="shared" si="9"/>
        <v>#VALUE!</v>
      </c>
      <c r="EX671" s="1486"/>
      <c r="EY671" s="1486"/>
      <c r="EZ671" s="1486"/>
      <c r="FA671" s="1486"/>
    </row>
    <row r="672" spans="1:157" ht="12.95" customHeight="1">
      <c r="A672" s="19"/>
      <c r="B672" t="s">
        <v>1411</v>
      </c>
      <c r="H672" s="1428"/>
      <c r="I672" s="1428"/>
      <c r="J672" s="1428"/>
      <c r="K672" s="1428"/>
      <c r="L672" s="1428"/>
      <c r="M672" s="1428"/>
      <c r="N672" s="1428"/>
      <c r="O672" s="1428"/>
      <c r="P672" s="1428"/>
      <c r="Q672" s="1428"/>
      <c r="R672" s="1428"/>
      <c r="T672" s="19"/>
      <c r="U672" t="s">
        <v>1411</v>
      </c>
      <c r="AA672" s="1428"/>
      <c r="AB672" s="1428"/>
      <c r="AC672" s="1428"/>
      <c r="AD672" s="1428"/>
      <c r="AE672" s="1428"/>
      <c r="AF672" s="1428"/>
      <c r="AG672" s="1428"/>
      <c r="AH672" s="1428"/>
      <c r="AI672" s="1428"/>
      <c r="AJ672" s="1428"/>
      <c r="AK672" s="142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86" t="e">
        <f t="shared" si="4"/>
        <v>#VALUE!</v>
      </c>
      <c r="DY672" s="1486"/>
      <c r="DZ672" s="1486"/>
      <c r="EA672" s="1486"/>
      <c r="EB672" s="1486"/>
      <c r="EC672" s="1486" t="e">
        <f t="shared" si="5"/>
        <v>#VALUE!</v>
      </c>
      <c r="ED672" s="1486"/>
      <c r="EE672" s="1486"/>
      <c r="EF672" s="1486"/>
      <c r="EG672" s="1486"/>
      <c r="EH672" s="1486" t="e">
        <f t="shared" si="6"/>
        <v>#VALUE!</v>
      </c>
      <c r="EI672" s="1486"/>
      <c r="EJ672" s="1486"/>
      <c r="EK672" s="1486"/>
      <c r="EL672" s="1486"/>
      <c r="EM672" s="1486" t="e">
        <f t="shared" si="7"/>
        <v>#VALUE!</v>
      </c>
      <c r="EN672" s="1486"/>
      <c r="EO672" s="1486"/>
      <c r="EP672" s="1486"/>
      <c r="EQ672" s="1486"/>
      <c r="ER672" s="1486" t="e">
        <f t="shared" si="8"/>
        <v>#VALUE!</v>
      </c>
      <c r="ES672" s="1486"/>
      <c r="ET672" s="1486"/>
      <c r="EU672" s="1486"/>
      <c r="EV672" s="1486"/>
      <c r="EW672" s="1486" t="e">
        <f t="shared" si="9"/>
        <v>#VALUE!</v>
      </c>
      <c r="EX672" s="1486"/>
      <c r="EY672" s="1486"/>
      <c r="EZ672" s="1486"/>
      <c r="FA672" s="1486"/>
    </row>
    <row r="673" spans="1:157" ht="12.95" customHeight="1">
      <c r="A673" s="19"/>
      <c r="B673" t="s">
        <v>1417</v>
      </c>
      <c r="N673" s="1308" t="s">
        <v>700</v>
      </c>
      <c r="O673" s="1308"/>
      <c r="T673" s="19"/>
      <c r="U673" t="s">
        <v>1417</v>
      </c>
      <c r="AG673" s="1308" t="s">
        <v>700</v>
      </c>
      <c r="AH673" s="1308"/>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86" t="e">
        <f t="shared" si="4"/>
        <v>#VALUE!</v>
      </c>
      <c r="DY673" s="1486"/>
      <c r="DZ673" s="1486"/>
      <c r="EA673" s="1486"/>
      <c r="EB673" s="1486"/>
      <c r="EC673" s="1486" t="e">
        <f t="shared" si="5"/>
        <v>#VALUE!</v>
      </c>
      <c r="ED673" s="1486"/>
      <c r="EE673" s="1486"/>
      <c r="EF673" s="1486"/>
      <c r="EG673" s="1486"/>
      <c r="EH673" s="1486" t="e">
        <f t="shared" si="6"/>
        <v>#VALUE!</v>
      </c>
      <c r="EI673" s="1486"/>
      <c r="EJ673" s="1486"/>
      <c r="EK673" s="1486"/>
      <c r="EL673" s="1486"/>
      <c r="EM673" s="1486" t="e">
        <f t="shared" si="7"/>
        <v>#VALUE!</v>
      </c>
      <c r="EN673" s="1486"/>
      <c r="EO673" s="1486"/>
      <c r="EP673" s="1486"/>
      <c r="EQ673" s="1486"/>
      <c r="ER673" s="1486" t="e">
        <f t="shared" si="8"/>
        <v>#VALUE!</v>
      </c>
      <c r="ES673" s="1486"/>
      <c r="ET673" s="1486"/>
      <c r="EU673" s="1486"/>
      <c r="EV673" s="1486"/>
      <c r="EW673" s="1486" t="e">
        <f t="shared" si="9"/>
        <v>#VALUE!</v>
      </c>
      <c r="EX673" s="1486"/>
      <c r="EY673" s="1486"/>
      <c r="EZ673" s="1486"/>
      <c r="FA673" s="1486"/>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86" t="e">
        <f t="shared" si="4"/>
        <v>#VALUE!</v>
      </c>
      <c r="DY674" s="1486"/>
      <c r="DZ674" s="1486"/>
      <c r="EA674" s="1486"/>
      <c r="EB674" s="1486"/>
      <c r="EC674" s="1486" t="e">
        <f t="shared" si="5"/>
        <v>#VALUE!</v>
      </c>
      <c r="ED674" s="1486"/>
      <c r="EE674" s="1486"/>
      <c r="EF674" s="1486"/>
      <c r="EG674" s="1486"/>
      <c r="EH674" s="1486" t="e">
        <f t="shared" si="6"/>
        <v>#VALUE!</v>
      </c>
      <c r="EI674" s="1486"/>
      <c r="EJ674" s="1486"/>
      <c r="EK674" s="1486"/>
      <c r="EL674" s="1486"/>
      <c r="EM674" s="1486" t="e">
        <f t="shared" si="7"/>
        <v>#VALUE!</v>
      </c>
      <c r="EN674" s="1486"/>
      <c r="EO674" s="1486"/>
      <c r="EP674" s="1486"/>
      <c r="EQ674" s="1486"/>
      <c r="ER674" s="1486" t="e">
        <f t="shared" si="8"/>
        <v>#VALUE!</v>
      </c>
      <c r="ES674" s="1486"/>
      <c r="ET674" s="1486"/>
      <c r="EU674" s="1486"/>
      <c r="EV674" s="1486"/>
      <c r="EW674" s="1486" t="e">
        <f t="shared" si="9"/>
        <v>#VALUE!</v>
      </c>
      <c r="EX674" s="1486"/>
      <c r="EY674" s="1486"/>
      <c r="EZ674" s="1486"/>
      <c r="FA674" s="1486"/>
    </row>
    <row r="675" spans="1:157" ht="12.95" customHeight="1">
      <c r="A675" s="47" t="s">
        <v>1398</v>
      </c>
      <c r="B675" t="s">
        <v>1405</v>
      </c>
      <c r="G675" s="1423">
        <f>C641</f>
        <v>0</v>
      </c>
      <c r="H675" s="1423"/>
      <c r="I675" s="1423"/>
      <c r="J675" s="1423"/>
      <c r="K675" s="1423"/>
      <c r="L675" s="1423"/>
      <c r="M675" s="1423"/>
      <c r="N675" s="1423"/>
      <c r="O675" s="1423"/>
      <c r="P675" s="1423"/>
      <c r="Q675" s="1423"/>
      <c r="R675" s="1423"/>
      <c r="T675" s="47" t="s">
        <v>1399</v>
      </c>
      <c r="U675" t="s">
        <v>1405</v>
      </c>
      <c r="Z675" s="1423">
        <f>C642</f>
        <v>0</v>
      </c>
      <c r="AA675" s="1423"/>
      <c r="AB675" s="1423"/>
      <c r="AC675" s="1423"/>
      <c r="AD675" s="1423"/>
      <c r="AE675" s="1423"/>
      <c r="AF675" s="1423"/>
      <c r="AG675" s="1423"/>
      <c r="AH675" s="1423"/>
      <c r="AI675" s="1423"/>
      <c r="AJ675" s="1423"/>
      <c r="AK675" s="142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86" t="e">
        <f t="shared" si="4"/>
        <v>#VALUE!</v>
      </c>
      <c r="DY675" s="1486"/>
      <c r="DZ675" s="1486"/>
      <c r="EA675" s="1486"/>
      <c r="EB675" s="1486"/>
      <c r="EC675" s="1486" t="e">
        <f t="shared" si="5"/>
        <v>#VALUE!</v>
      </c>
      <c r="ED675" s="1486"/>
      <c r="EE675" s="1486"/>
      <c r="EF675" s="1486"/>
      <c r="EG675" s="1486"/>
      <c r="EH675" s="1486" t="e">
        <f t="shared" si="6"/>
        <v>#VALUE!</v>
      </c>
      <c r="EI675" s="1486"/>
      <c r="EJ675" s="1486"/>
      <c r="EK675" s="1486"/>
      <c r="EL675" s="1486"/>
      <c r="EM675" s="1486" t="e">
        <f t="shared" si="7"/>
        <v>#VALUE!</v>
      </c>
      <c r="EN675" s="1486"/>
      <c r="EO675" s="1486"/>
      <c r="EP675" s="1486"/>
      <c r="EQ675" s="1486"/>
      <c r="ER675" s="1486" t="e">
        <f t="shared" si="8"/>
        <v>#VALUE!</v>
      </c>
      <c r="ES675" s="1486"/>
      <c r="ET675" s="1486"/>
      <c r="EU675" s="1486"/>
      <c r="EV675" s="1486"/>
      <c r="EW675" s="1486" t="e">
        <f t="shared" si="9"/>
        <v>#VALUE!</v>
      </c>
      <c r="EX675" s="1486"/>
      <c r="EY675" s="1486"/>
      <c r="EZ675" s="1486"/>
      <c r="FA675" s="1486"/>
    </row>
    <row r="676" spans="1:157" ht="12.95" customHeight="1">
      <c r="A676" s="19"/>
      <c r="B676" t="s">
        <v>1081</v>
      </c>
      <c r="G676" s="1428"/>
      <c r="H676" s="1428"/>
      <c r="I676" s="1428"/>
      <c r="J676" s="1428"/>
      <c r="K676" s="1428"/>
      <c r="L676" s="1428"/>
      <c r="M676" s="1428"/>
      <c r="N676" s="1428"/>
      <c r="O676" s="1428"/>
      <c r="P676" s="1428"/>
      <c r="Q676" s="1428"/>
      <c r="R676" s="1428"/>
      <c r="T676" s="19"/>
      <c r="U676" t="s">
        <v>1081</v>
      </c>
      <c r="Z676" s="1428"/>
      <c r="AA676" s="1428"/>
      <c r="AB676" s="1428"/>
      <c r="AC676" s="1428"/>
      <c r="AD676" s="1428"/>
      <c r="AE676" s="1428"/>
      <c r="AF676" s="1428"/>
      <c r="AG676" s="1428"/>
      <c r="AH676" s="1428"/>
      <c r="AI676" s="1428"/>
      <c r="AJ676" s="1428"/>
      <c r="AK676" s="142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86" t="e">
        <f t="shared" si="4"/>
        <v>#VALUE!</v>
      </c>
      <c r="DY676" s="1486"/>
      <c r="DZ676" s="1486"/>
      <c r="EA676" s="1486"/>
      <c r="EB676" s="1486"/>
      <c r="EC676" s="1486" t="e">
        <f t="shared" si="5"/>
        <v>#VALUE!</v>
      </c>
      <c r="ED676" s="1486"/>
      <c r="EE676" s="1486"/>
      <c r="EF676" s="1486"/>
      <c r="EG676" s="1486"/>
      <c r="EH676" s="1486" t="e">
        <f t="shared" si="6"/>
        <v>#VALUE!</v>
      </c>
      <c r="EI676" s="1486"/>
      <c r="EJ676" s="1486"/>
      <c r="EK676" s="1486"/>
      <c r="EL676" s="1486"/>
      <c r="EM676" s="1486" t="e">
        <f t="shared" si="7"/>
        <v>#VALUE!</v>
      </c>
      <c r="EN676" s="1486"/>
      <c r="EO676" s="1486"/>
      <c r="EP676" s="1486"/>
      <c r="EQ676" s="1486"/>
      <c r="ER676" s="1486" t="e">
        <f t="shared" si="8"/>
        <v>#VALUE!</v>
      </c>
      <c r="ES676" s="1486"/>
      <c r="ET676" s="1486"/>
      <c r="EU676" s="1486"/>
      <c r="EV676" s="1486"/>
      <c r="EW676" s="1486" t="e">
        <f t="shared" si="9"/>
        <v>#VALUE!</v>
      </c>
      <c r="EX676" s="1486"/>
      <c r="EY676" s="1486"/>
      <c r="EZ676" s="1486"/>
      <c r="FA676" s="1486"/>
    </row>
    <row r="677" spans="1:157" ht="12.95" customHeight="1">
      <c r="A677" s="19"/>
      <c r="B677" t="s">
        <v>946</v>
      </c>
      <c r="G677" s="1428"/>
      <c r="H677" s="1428"/>
      <c r="I677" s="1428"/>
      <c r="J677" s="1428"/>
      <c r="K677" s="1428"/>
      <c r="L677" s="1428"/>
      <c r="M677" s="1428"/>
      <c r="N677" s="1428"/>
      <c r="O677" s="1428"/>
      <c r="P677" s="1428"/>
      <c r="Q677" s="1428"/>
      <c r="R677" s="1428"/>
      <c r="T677" s="19"/>
      <c r="U677" t="s">
        <v>946</v>
      </c>
      <c r="Z677" s="1439"/>
      <c r="AA677" s="1439"/>
      <c r="AB677" s="1439"/>
      <c r="AC677" s="1439"/>
      <c r="AD677" s="1439"/>
      <c r="AE677" s="1439"/>
      <c r="AF677" s="1439"/>
      <c r="AG677" s="1439"/>
      <c r="AH677" s="1439"/>
      <c r="AI677" s="1439"/>
      <c r="AJ677" s="1439"/>
      <c r="AK677" s="143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86" t="e">
        <f t="shared" si="4"/>
        <v>#VALUE!</v>
      </c>
      <c r="DY677" s="1486"/>
      <c r="DZ677" s="1486"/>
      <c r="EA677" s="1486"/>
      <c r="EB677" s="1486"/>
      <c r="EC677" s="1486" t="e">
        <f t="shared" si="5"/>
        <v>#VALUE!</v>
      </c>
      <c r="ED677" s="1486"/>
      <c r="EE677" s="1486"/>
      <c r="EF677" s="1486"/>
      <c r="EG677" s="1486"/>
      <c r="EH677" s="1486" t="e">
        <f t="shared" si="6"/>
        <v>#VALUE!</v>
      </c>
      <c r="EI677" s="1486"/>
      <c r="EJ677" s="1486"/>
      <c r="EK677" s="1486"/>
      <c r="EL677" s="1486"/>
      <c r="EM677" s="1486" t="e">
        <f t="shared" si="7"/>
        <v>#VALUE!</v>
      </c>
      <c r="EN677" s="1486"/>
      <c r="EO677" s="1486"/>
      <c r="EP677" s="1486"/>
      <c r="EQ677" s="1486"/>
      <c r="ER677" s="1486" t="e">
        <f t="shared" si="8"/>
        <v>#VALUE!</v>
      </c>
      <c r="ES677" s="1486"/>
      <c r="ET677" s="1486"/>
      <c r="EU677" s="1486"/>
      <c r="EV677" s="1486"/>
      <c r="EW677" s="1486" t="e">
        <f t="shared" si="9"/>
        <v>#VALUE!</v>
      </c>
      <c r="EX677" s="1486"/>
      <c r="EY677" s="1486"/>
      <c r="EZ677" s="1486"/>
      <c r="FA677" s="1486"/>
    </row>
    <row r="678" spans="1:157" ht="12.95" customHeight="1">
      <c r="A678" s="19"/>
      <c r="B678" t="s">
        <v>1408</v>
      </c>
      <c r="G678" s="1428"/>
      <c r="H678" s="1428"/>
      <c r="I678" s="1428"/>
      <c r="J678" s="1428"/>
      <c r="K678" s="1428"/>
      <c r="L678" s="1428"/>
      <c r="M678" s="1428"/>
      <c r="N678" s="1428"/>
      <c r="O678" s="1428"/>
      <c r="P678" s="1428"/>
      <c r="Q678" s="1428"/>
      <c r="R678" s="1428"/>
      <c r="T678" s="19"/>
      <c r="U678" t="s">
        <v>1408</v>
      </c>
      <c r="Z678" s="1439"/>
      <c r="AA678" s="1439"/>
      <c r="AB678" s="1439"/>
      <c r="AC678" s="1439"/>
      <c r="AD678" s="1439"/>
      <c r="AE678" s="1439"/>
      <c r="AF678" s="1439"/>
      <c r="AG678" s="1439"/>
      <c r="AH678" s="1439"/>
      <c r="AI678" s="1439"/>
      <c r="AJ678" s="1439"/>
      <c r="AK678" s="143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86">
        <f>SUMIF(DX643:EB677,"&gt;0")</f>
        <v>0</v>
      </c>
      <c r="DY678" s="1486"/>
      <c r="DZ678" s="1486"/>
      <c r="EA678" s="1486"/>
      <c r="EB678" s="1486"/>
      <c r="EC678" s="1486">
        <f>SUMIF(EC643:EG677,"&gt;0")</f>
        <v>690.58333333333337</v>
      </c>
      <c r="ED678" s="1486"/>
      <c r="EE678" s="1486"/>
      <c r="EF678" s="1486"/>
      <c r="EG678" s="1486"/>
      <c r="EH678" s="1486">
        <f>SUMIF(EH643:EL677,"&gt;0")</f>
        <v>0</v>
      </c>
      <c r="EI678" s="1486"/>
      <c r="EJ678" s="1486"/>
      <c r="EK678" s="1486"/>
      <c r="EL678" s="1486"/>
      <c r="EM678" s="1486">
        <f>SUMIF(EM643:EQ677,"&gt;0")</f>
        <v>897.47826086956525</v>
      </c>
      <c r="EN678" s="1486"/>
      <c r="EO678" s="1486"/>
      <c r="EP678" s="1486"/>
      <c r="EQ678" s="1486"/>
      <c r="ER678" s="1486">
        <f>SUMIF(ER643:EV677,"&gt;0")</f>
        <v>0</v>
      </c>
      <c r="ES678" s="1486"/>
      <c r="ET678" s="1486"/>
      <c r="EU678" s="1486"/>
      <c r="EV678" s="1486"/>
      <c r="EW678" s="1486">
        <f>SUMIF(EW643:FA677,"&gt;0")</f>
        <v>0</v>
      </c>
      <c r="EX678" s="1486"/>
      <c r="EY678" s="1486"/>
      <c r="EZ678" s="1486"/>
      <c r="FA678" s="1486"/>
    </row>
    <row r="679" spans="1:157" ht="12.95" customHeight="1">
      <c r="A679" s="19"/>
      <c r="B679" t="s">
        <v>839</v>
      </c>
      <c r="G679" s="1427"/>
      <c r="H679" s="1427"/>
      <c r="I679" s="1427"/>
      <c r="J679" s="1427"/>
      <c r="K679" s="1427"/>
      <c r="L679" s="1427"/>
      <c r="O679" s="918" t="s">
        <v>1088</v>
      </c>
      <c r="P679" s="1381"/>
      <c r="Q679" s="1381"/>
      <c r="R679" s="1381"/>
      <c r="T679" s="19"/>
      <c r="U679" t="s">
        <v>839</v>
      </c>
      <c r="Z679" s="1427"/>
      <c r="AA679" s="1427"/>
      <c r="AB679" s="1427"/>
      <c r="AC679" s="1427"/>
      <c r="AD679" s="1427"/>
      <c r="AE679" s="1427"/>
      <c r="AH679" s="918" t="s">
        <v>1088</v>
      </c>
      <c r="AI679" s="1381"/>
      <c r="AJ679" s="1381"/>
      <c r="AK679" s="1381"/>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1411</v>
      </c>
      <c r="H680" s="1428"/>
      <c r="I680" s="1428"/>
      <c r="J680" s="1428"/>
      <c r="K680" s="1428"/>
      <c r="L680" s="1428"/>
      <c r="M680" s="1428"/>
      <c r="N680" s="1428"/>
      <c r="O680" s="1428"/>
      <c r="P680" s="1428"/>
      <c r="Q680" s="1428"/>
      <c r="R680" s="1428"/>
      <c r="T680" s="19"/>
      <c r="U680" t="s">
        <v>1411</v>
      </c>
      <c r="AA680" s="1428"/>
      <c r="AB680" s="1428"/>
      <c r="AC680" s="1428"/>
      <c r="AD680" s="1428"/>
      <c r="AE680" s="1428"/>
      <c r="AF680" s="1428"/>
      <c r="AG680" s="1428"/>
      <c r="AH680" s="1428"/>
      <c r="AI680" s="1428"/>
      <c r="AJ680" s="1428"/>
      <c r="AK680" s="142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1417</v>
      </c>
      <c r="N681" s="1308" t="s">
        <v>700</v>
      </c>
      <c r="O681" s="1308"/>
      <c r="T681" s="19"/>
      <c r="U681" t="s">
        <v>1417</v>
      </c>
      <c r="AG681" s="1308" t="s">
        <v>700</v>
      </c>
      <c r="AH681" s="1308"/>
      <c r="AZ681" s="3"/>
    </row>
    <row r="682" spans="1:157" ht="12.95" customHeight="1">
      <c r="A682" s="19"/>
      <c r="T682" s="19"/>
      <c r="AZ682" s="3"/>
    </row>
    <row r="683" spans="1:157" ht="12.95" customHeight="1">
      <c r="A683" s="47" t="s">
        <v>1400</v>
      </c>
      <c r="B683" t="s">
        <v>1405</v>
      </c>
      <c r="G683" s="1423">
        <f>C643</f>
        <v>0</v>
      </c>
      <c r="H683" s="1423"/>
      <c r="I683" s="1423"/>
      <c r="J683" s="1423"/>
      <c r="K683" s="1423"/>
      <c r="L683" s="1423"/>
      <c r="M683" s="1423"/>
      <c r="N683" s="1423"/>
      <c r="O683" s="1423"/>
      <c r="P683" s="1423"/>
      <c r="Q683" s="1423"/>
      <c r="R683" s="1423"/>
      <c r="T683" s="47" t="s">
        <v>1401</v>
      </c>
      <c r="U683" t="s">
        <v>1405</v>
      </c>
      <c r="Z683" s="1423">
        <f>C644</f>
        <v>0</v>
      </c>
      <c r="AA683" s="1423"/>
      <c r="AB683" s="1423"/>
      <c r="AC683" s="1423"/>
      <c r="AD683" s="1423"/>
      <c r="AE683" s="1423"/>
      <c r="AF683" s="1423"/>
      <c r="AG683" s="1423"/>
      <c r="AH683" s="1423"/>
      <c r="AI683" s="1423"/>
      <c r="AJ683" s="1423"/>
      <c r="AK683" s="1423"/>
      <c r="AZ683" s="3"/>
    </row>
    <row r="684" spans="1:157" ht="12.95" customHeight="1">
      <c r="A684" s="19"/>
      <c r="B684" t="s">
        <v>1081</v>
      </c>
      <c r="G684" s="1428"/>
      <c r="H684" s="1428"/>
      <c r="I684" s="1428"/>
      <c r="J684" s="1428"/>
      <c r="K684" s="1428"/>
      <c r="L684" s="1428"/>
      <c r="M684" s="1428"/>
      <c r="N684" s="1428"/>
      <c r="O684" s="1428"/>
      <c r="P684" s="1428"/>
      <c r="Q684" s="1428"/>
      <c r="R684" s="1428"/>
      <c r="T684" s="19"/>
      <c r="U684" t="s">
        <v>1081</v>
      </c>
      <c r="Z684" s="1428"/>
      <c r="AA684" s="1428"/>
      <c r="AB684" s="1428"/>
      <c r="AC684" s="1428"/>
      <c r="AD684" s="1428"/>
      <c r="AE684" s="1428"/>
      <c r="AF684" s="1428"/>
      <c r="AG684" s="1428"/>
      <c r="AH684" s="1428"/>
      <c r="AI684" s="1428"/>
      <c r="AJ684" s="1428"/>
      <c r="AK684" s="1428"/>
      <c r="AZ684" s="3"/>
    </row>
    <row r="685" spans="1:157" ht="12.95" customHeight="1">
      <c r="A685" s="19"/>
      <c r="B685" t="s">
        <v>946</v>
      </c>
      <c r="G685" s="1428"/>
      <c r="H685" s="1428"/>
      <c r="I685" s="1428"/>
      <c r="J685" s="1428"/>
      <c r="K685" s="1428"/>
      <c r="L685" s="1428"/>
      <c r="M685" s="1428"/>
      <c r="N685" s="1428"/>
      <c r="O685" s="1428"/>
      <c r="P685" s="1428"/>
      <c r="Q685" s="1428"/>
      <c r="R685" s="1428"/>
      <c r="T685" s="19"/>
      <c r="U685" t="s">
        <v>946</v>
      </c>
      <c r="Z685" s="1439"/>
      <c r="AA685" s="1439"/>
      <c r="AB685" s="1439"/>
      <c r="AC685" s="1439"/>
      <c r="AD685" s="1439"/>
      <c r="AE685" s="1439"/>
      <c r="AF685" s="1439"/>
      <c r="AG685" s="1439"/>
      <c r="AH685" s="1439"/>
      <c r="AI685" s="1439"/>
      <c r="AJ685" s="1439"/>
      <c r="AK685" s="1439"/>
      <c r="AZ685" s="3"/>
    </row>
    <row r="686" spans="1:157" ht="12.95" customHeight="1">
      <c r="A686" s="19"/>
      <c r="B686" t="s">
        <v>1408</v>
      </c>
      <c r="G686" s="1428"/>
      <c r="H686" s="1428"/>
      <c r="I686" s="1428"/>
      <c r="J686" s="1428"/>
      <c r="K686" s="1428"/>
      <c r="L686" s="1428"/>
      <c r="M686" s="1428"/>
      <c r="N686" s="1428"/>
      <c r="O686" s="1428"/>
      <c r="P686" s="1428"/>
      <c r="Q686" s="1428"/>
      <c r="R686" s="1428"/>
      <c r="T686" s="19"/>
      <c r="U686" t="s">
        <v>1408</v>
      </c>
      <c r="Z686" s="1439"/>
      <c r="AA686" s="1439"/>
      <c r="AB686" s="1439"/>
      <c r="AC686" s="1439"/>
      <c r="AD686" s="1439"/>
      <c r="AE686" s="1439"/>
      <c r="AF686" s="1439"/>
      <c r="AG686" s="1439"/>
      <c r="AH686" s="1439"/>
      <c r="AI686" s="1439"/>
      <c r="AJ686" s="1439"/>
      <c r="AK686" s="1439"/>
      <c r="AZ686" s="3"/>
    </row>
    <row r="687" spans="1:157" ht="12.95" customHeight="1">
      <c r="A687" s="19"/>
      <c r="B687" t="s">
        <v>839</v>
      </c>
      <c r="G687" s="1427"/>
      <c r="H687" s="1427"/>
      <c r="I687" s="1427"/>
      <c r="J687" s="1427"/>
      <c r="K687" s="1427"/>
      <c r="L687" s="1427"/>
      <c r="O687" s="918" t="s">
        <v>1088</v>
      </c>
      <c r="P687" s="1381"/>
      <c r="Q687" s="1381"/>
      <c r="R687" s="1381"/>
      <c r="T687" s="19"/>
      <c r="U687" t="s">
        <v>839</v>
      </c>
      <c r="Z687" s="1427"/>
      <c r="AA687" s="1427"/>
      <c r="AB687" s="1427"/>
      <c r="AC687" s="1427"/>
      <c r="AD687" s="1427"/>
      <c r="AE687" s="1427"/>
      <c r="AH687" s="918" t="s">
        <v>1088</v>
      </c>
      <c r="AI687" s="1381"/>
      <c r="AJ687" s="1381"/>
      <c r="AK687" s="1381"/>
      <c r="AZ687" s="3"/>
    </row>
    <row r="688" spans="1:157" ht="12.95" customHeight="1">
      <c r="A688" s="19"/>
      <c r="B688" t="s">
        <v>1411</v>
      </c>
      <c r="H688" s="1428"/>
      <c r="I688" s="1428"/>
      <c r="J688" s="1428"/>
      <c r="K688" s="1428"/>
      <c r="L688" s="1428"/>
      <c r="M688" s="1428"/>
      <c r="N688" s="1428"/>
      <c r="O688" s="1428"/>
      <c r="P688" s="1428"/>
      <c r="Q688" s="1428"/>
      <c r="R688" s="1428"/>
      <c r="T688" s="19"/>
      <c r="U688" t="s">
        <v>1411</v>
      </c>
      <c r="AA688" s="1428"/>
      <c r="AB688" s="1428"/>
      <c r="AC688" s="1428"/>
      <c r="AD688" s="1428"/>
      <c r="AE688" s="1428"/>
      <c r="AF688" s="1428"/>
      <c r="AG688" s="1428"/>
      <c r="AH688" s="1428"/>
      <c r="AI688" s="1428"/>
      <c r="AJ688" s="1428"/>
      <c r="AK688" s="1428"/>
      <c r="AZ688" s="3"/>
    </row>
    <row r="689" spans="1:52" ht="12.95" customHeight="1">
      <c r="A689" s="19"/>
      <c r="B689" t="s">
        <v>1417</v>
      </c>
      <c r="N689" s="1308" t="s">
        <v>700</v>
      </c>
      <c r="O689" s="1308"/>
      <c r="T689" s="19"/>
      <c r="U689" t="s">
        <v>1417</v>
      </c>
      <c r="AG689" s="1308" t="s">
        <v>700</v>
      </c>
      <c r="AH689" s="1308"/>
      <c r="AZ689" s="3"/>
    </row>
    <row r="690" spans="1:52" ht="12.95" customHeight="1">
      <c r="A690" s="19"/>
      <c r="T690" s="19"/>
      <c r="AZ690" s="3"/>
    </row>
    <row r="691" spans="1:52" ht="12.95" customHeight="1">
      <c r="A691" s="47" t="s">
        <v>1402</v>
      </c>
      <c r="B691" t="s">
        <v>1405</v>
      </c>
      <c r="G691" s="1423">
        <f>C645</f>
        <v>0</v>
      </c>
      <c r="H691" s="1423"/>
      <c r="I691" s="1423"/>
      <c r="J691" s="1423"/>
      <c r="K691" s="1423"/>
      <c r="L691" s="1423"/>
      <c r="M691" s="1423"/>
      <c r="N691" s="1423"/>
      <c r="O691" s="1423"/>
      <c r="P691" s="1423"/>
      <c r="Q691" s="1423"/>
      <c r="R691" s="1423"/>
      <c r="T691" s="47" t="s">
        <v>1403</v>
      </c>
      <c r="U691" t="s">
        <v>1405</v>
      </c>
      <c r="Z691" s="1423">
        <f>C646</f>
        <v>0</v>
      </c>
      <c r="AA691" s="1423"/>
      <c r="AB691" s="1423"/>
      <c r="AC691" s="1423"/>
      <c r="AD691" s="1423"/>
      <c r="AE691" s="1423"/>
      <c r="AF691" s="1423"/>
      <c r="AG691" s="1423"/>
      <c r="AH691" s="1423"/>
      <c r="AI691" s="1423"/>
      <c r="AJ691" s="1423"/>
      <c r="AK691" s="1423"/>
      <c r="AZ691" s="3"/>
    </row>
    <row r="692" spans="1:52" ht="12.95" customHeight="1">
      <c r="B692" t="s">
        <v>1081</v>
      </c>
      <c r="G692" s="1428"/>
      <c r="H692" s="1428"/>
      <c r="I692" s="1428"/>
      <c r="J692" s="1428"/>
      <c r="K692" s="1428"/>
      <c r="L692" s="1428"/>
      <c r="M692" s="1428"/>
      <c r="N692" s="1428"/>
      <c r="O692" s="1428"/>
      <c r="P692" s="1428"/>
      <c r="Q692" s="1428"/>
      <c r="R692" s="1428"/>
      <c r="T692" s="19"/>
      <c r="U692" t="s">
        <v>1081</v>
      </c>
      <c r="Z692" s="1428"/>
      <c r="AA692" s="1428"/>
      <c r="AB692" s="1428"/>
      <c r="AC692" s="1428"/>
      <c r="AD692" s="1428"/>
      <c r="AE692" s="1428"/>
      <c r="AF692" s="1428"/>
      <c r="AG692" s="1428"/>
      <c r="AH692" s="1428"/>
      <c r="AI692" s="1428"/>
      <c r="AJ692" s="1428"/>
      <c r="AK692" s="1428"/>
      <c r="AZ692" s="3"/>
    </row>
    <row r="693" spans="1:52" ht="12.95" customHeight="1">
      <c r="B693" t="s">
        <v>946</v>
      </c>
      <c r="G693" s="1428"/>
      <c r="H693" s="1428"/>
      <c r="I693" s="1428"/>
      <c r="J693" s="1428"/>
      <c r="K693" s="1428"/>
      <c r="L693" s="1428"/>
      <c r="M693" s="1428"/>
      <c r="N693" s="1428"/>
      <c r="O693" s="1428"/>
      <c r="P693" s="1428"/>
      <c r="Q693" s="1428"/>
      <c r="R693" s="1428"/>
      <c r="U693" t="s">
        <v>946</v>
      </c>
      <c r="Z693" s="1439"/>
      <c r="AA693" s="1439"/>
      <c r="AB693" s="1439"/>
      <c r="AC693" s="1439"/>
      <c r="AD693" s="1439"/>
      <c r="AE693" s="1439"/>
      <c r="AF693" s="1439"/>
      <c r="AG693" s="1439"/>
      <c r="AH693" s="1439"/>
      <c r="AI693" s="1439"/>
      <c r="AJ693" s="1439"/>
      <c r="AK693" s="1439"/>
      <c r="AZ693" s="3"/>
    </row>
    <row r="694" spans="1:52" ht="12.95" customHeight="1">
      <c r="B694" t="s">
        <v>1408</v>
      </c>
      <c r="G694" s="1428"/>
      <c r="H694" s="1428"/>
      <c r="I694" s="1428"/>
      <c r="J694" s="1428"/>
      <c r="K694" s="1428"/>
      <c r="L694" s="1428"/>
      <c r="M694" s="1428"/>
      <c r="N694" s="1428"/>
      <c r="O694" s="1428"/>
      <c r="P694" s="1428"/>
      <c r="Q694" s="1428"/>
      <c r="R694" s="1428"/>
      <c r="U694" t="s">
        <v>1408</v>
      </c>
      <c r="Z694" s="1439"/>
      <c r="AA694" s="1439"/>
      <c r="AB694" s="1439"/>
      <c r="AC694" s="1439"/>
      <c r="AD694" s="1439"/>
      <c r="AE694" s="1439"/>
      <c r="AF694" s="1439"/>
      <c r="AG694" s="1439"/>
      <c r="AH694" s="1439"/>
      <c r="AI694" s="1439"/>
      <c r="AJ694" s="1439"/>
      <c r="AK694" s="1439"/>
      <c r="AZ694" s="3"/>
    </row>
    <row r="695" spans="1:52" ht="12.95" customHeight="1">
      <c r="B695" t="s">
        <v>839</v>
      </c>
      <c r="G695" s="1427"/>
      <c r="H695" s="1427"/>
      <c r="I695" s="1427"/>
      <c r="J695" s="1427"/>
      <c r="K695" s="1427"/>
      <c r="L695" s="1427"/>
      <c r="O695" s="918" t="s">
        <v>1088</v>
      </c>
      <c r="P695" s="1381"/>
      <c r="Q695" s="1381"/>
      <c r="R695" s="1381"/>
      <c r="U695" t="s">
        <v>839</v>
      </c>
      <c r="Z695" s="1427"/>
      <c r="AA695" s="1427"/>
      <c r="AB695" s="1427"/>
      <c r="AC695" s="1427"/>
      <c r="AD695" s="1427"/>
      <c r="AE695" s="1427"/>
      <c r="AH695" s="918" t="s">
        <v>1088</v>
      </c>
      <c r="AI695" s="1381"/>
      <c r="AJ695" s="1381"/>
      <c r="AK695" s="1381"/>
      <c r="AZ695" s="3"/>
    </row>
    <row r="696" spans="1:52" ht="12.95" customHeight="1">
      <c r="B696" t="s">
        <v>1411</v>
      </c>
      <c r="H696" s="1428"/>
      <c r="I696" s="1428"/>
      <c r="J696" s="1428"/>
      <c r="K696" s="1428"/>
      <c r="L696" s="1428"/>
      <c r="M696" s="1428"/>
      <c r="N696" s="1428"/>
      <c r="O696" s="1428"/>
      <c r="P696" s="1428"/>
      <c r="Q696" s="1428"/>
      <c r="R696" s="1428"/>
      <c r="U696" t="s">
        <v>1411</v>
      </c>
      <c r="AA696" s="1428"/>
      <c r="AB696" s="1428"/>
      <c r="AC696" s="1428"/>
      <c r="AD696" s="1428"/>
      <c r="AE696" s="1428"/>
      <c r="AF696" s="1428"/>
      <c r="AG696" s="1428"/>
      <c r="AH696" s="1428"/>
      <c r="AI696" s="1428"/>
      <c r="AJ696" s="1428"/>
      <c r="AK696" s="1428"/>
      <c r="AZ696" s="3"/>
    </row>
    <row r="697" spans="1:52" ht="12.95" customHeight="1">
      <c r="B697" t="s">
        <v>1417</v>
      </c>
      <c r="N697" s="1308" t="s">
        <v>700</v>
      </c>
      <c r="O697" s="1308"/>
      <c r="U697" t="s">
        <v>1417</v>
      </c>
      <c r="AG697" s="1308" t="s">
        <v>700</v>
      </c>
      <c r="AH697" s="1308"/>
      <c r="AZ697" s="3"/>
    </row>
    <row r="698" spans="1:52" ht="12.95" customHeight="1">
      <c r="AZ698" s="3"/>
    </row>
    <row r="699" spans="1:52" ht="12.95" customHeight="1">
      <c r="A699" s="2" t="s">
        <v>927</v>
      </c>
      <c r="C699" s="2" t="s">
        <v>179</v>
      </c>
      <c r="E699" s="95"/>
      <c r="F699" s="95"/>
      <c r="G699" s="95"/>
      <c r="H699" s="95"/>
      <c r="AZ699" s="3"/>
    </row>
    <row r="700" spans="1:52" ht="12.95" customHeight="1">
      <c r="B700" s="99"/>
      <c r="C700" s="99"/>
      <c r="D700" s="921" t="s">
        <v>1437</v>
      </c>
      <c r="E700" s="99"/>
      <c r="F700" s="99"/>
      <c r="G700" s="99"/>
      <c r="H700" s="99"/>
      <c r="AZ700" s="3"/>
    </row>
    <row r="701" spans="1:52" ht="12.95" customHeight="1">
      <c r="B701" s="99"/>
      <c r="C701" s="99"/>
      <c r="E701" s="921" t="s">
        <v>1438</v>
      </c>
      <c r="F701" s="99"/>
      <c r="G701" s="99"/>
      <c r="H701" s="99"/>
      <c r="AE701" s="1308" t="s">
        <v>860</v>
      </c>
      <c r="AF701" s="1308"/>
      <c r="AZ701" s="3"/>
    </row>
    <row r="702" spans="1:52" ht="12.95" customHeight="1">
      <c r="B702" s="99"/>
      <c r="C702" s="99"/>
      <c r="D702" s="921" t="s">
        <v>1439</v>
      </c>
      <c r="E702" s="99"/>
      <c r="F702" s="99"/>
      <c r="G702" s="99"/>
      <c r="H702" s="99"/>
      <c r="AE702" s="1308" t="s">
        <v>860</v>
      </c>
      <c r="AF702" s="1308"/>
      <c r="AZ702" s="3"/>
    </row>
    <row r="703" spans="1:52" ht="12.95" customHeight="1">
      <c r="B703" s="99"/>
      <c r="C703" s="99"/>
      <c r="D703" s="921" t="s">
        <v>1440</v>
      </c>
      <c r="E703" s="99"/>
      <c r="F703" s="99"/>
      <c r="G703" s="99"/>
      <c r="H703" s="99"/>
      <c r="AE703" s="1450">
        <v>46056</v>
      </c>
      <c r="AF703" s="1450"/>
      <c r="AG703" s="1450"/>
      <c r="AH703" s="1450"/>
      <c r="AI703" s="1450"/>
    </row>
    <row r="704" spans="1:52" ht="12.95" customHeight="1">
      <c r="B704" s="99"/>
      <c r="C704" s="99"/>
      <c r="D704" s="223" t="s">
        <v>1441</v>
      </c>
      <c r="E704" s="99"/>
      <c r="F704" s="99"/>
      <c r="G704" s="99"/>
      <c r="H704" s="99"/>
      <c r="AE704" s="1662">
        <v>46147</v>
      </c>
      <c r="AF704" s="1662"/>
      <c r="AG704" s="1662"/>
      <c r="AH704" s="1662"/>
      <c r="AI704" s="1662"/>
    </row>
    <row r="705" spans="1:110" ht="12.95" customHeight="1">
      <c r="B705" s="99"/>
      <c r="C705" s="99"/>
    </row>
    <row r="706" spans="1:110" ht="12.95" customHeight="1">
      <c r="B706" s="99"/>
      <c r="C706" s="99"/>
      <c r="D706" s="921" t="s">
        <v>1442</v>
      </c>
      <c r="E706" s="99"/>
      <c r="F706" s="99"/>
      <c r="G706" s="99"/>
      <c r="H706" s="99"/>
      <c r="AE706" s="1450">
        <v>46331</v>
      </c>
      <c r="AF706" s="1450"/>
      <c r="AG706" s="1450"/>
      <c r="AH706" s="1450"/>
      <c r="AI706" s="1450"/>
    </row>
    <row r="707" spans="1:110" ht="12.95" customHeight="1">
      <c r="B707" s="99"/>
      <c r="C707" s="99"/>
      <c r="D707" s="921" t="s">
        <v>1443</v>
      </c>
      <c r="E707" s="99"/>
      <c r="F707" s="99"/>
      <c r="G707" s="99"/>
      <c r="H707" s="99"/>
      <c r="AE707" s="1621">
        <v>0.29399999999999998</v>
      </c>
      <c r="AF707" s="1621"/>
      <c r="AG707" s="1621"/>
      <c r="AH707" s="1621"/>
      <c r="AI707" s="1621"/>
    </row>
    <row r="708" spans="1:110" ht="12.95" customHeight="1">
      <c r="B708" s="99"/>
      <c r="C708" s="99"/>
      <c r="D708" s="921" t="s">
        <v>1444</v>
      </c>
      <c r="E708" s="99"/>
      <c r="F708" s="99"/>
      <c r="G708" s="99"/>
      <c r="H708" s="99"/>
      <c r="W708" s="1423" t="str">
        <f>H344</f>
        <v>Housing Authority of the County of Kern</v>
      </c>
      <c r="X708" s="1423"/>
      <c r="Y708" s="1423"/>
      <c r="Z708" s="1423"/>
      <c r="AA708" s="1423"/>
      <c r="AB708" s="1423"/>
      <c r="AC708" s="1423"/>
      <c r="AD708" s="1423"/>
      <c r="AE708" s="1423"/>
      <c r="AF708" s="1423"/>
      <c r="AG708" s="1423"/>
      <c r="AH708" s="1423"/>
      <c r="AI708" s="1423"/>
      <c r="AJ708" s="1423"/>
      <c r="AK708" s="1423"/>
    </row>
    <row r="709" spans="1:110" ht="12.95" customHeight="1">
      <c r="B709" s="99"/>
      <c r="C709" s="99"/>
      <c r="D709" s="921"/>
      <c r="E709" s="99"/>
      <c r="F709" s="99"/>
      <c r="G709" s="99"/>
      <c r="H709" s="99"/>
    </row>
    <row r="710" spans="1:110" ht="12.95" customHeight="1">
      <c r="B710" s="99"/>
      <c r="C710" s="99"/>
      <c r="D710" s="921" t="s">
        <v>1445</v>
      </c>
      <c r="E710" s="99"/>
      <c r="F710" s="99"/>
      <c r="G710" s="99"/>
      <c r="H710" s="99"/>
      <c r="AE710" s="1308" t="s">
        <v>700</v>
      </c>
      <c r="AF710" s="1308"/>
    </row>
    <row r="711" spans="1:110" ht="12.95" customHeight="1">
      <c r="B711" s="99"/>
      <c r="C711" s="99"/>
      <c r="D711" s="921" t="s">
        <v>1446</v>
      </c>
      <c r="E711" s="99"/>
      <c r="F711" s="99"/>
      <c r="G711" s="99"/>
      <c r="H711" s="99"/>
      <c r="W711" s="1428" t="s">
        <v>826</v>
      </c>
      <c r="X711" s="1428"/>
      <c r="Y711" s="1428"/>
      <c r="Z711" s="1428"/>
      <c r="AA711" s="1428"/>
      <c r="AB711" s="1428"/>
      <c r="AC711" s="1428"/>
      <c r="AD711" s="1428"/>
      <c r="AE711" s="1428"/>
      <c r="AF711" s="1428"/>
      <c r="AG711" s="1428"/>
      <c r="AH711" s="1428"/>
      <c r="AI711" s="1428"/>
      <c r="AJ711" s="1428"/>
      <c r="AK711" s="1428"/>
    </row>
    <row r="712" spans="1:110" ht="12.95" customHeight="1">
      <c r="B712" s="99"/>
      <c r="C712" s="99"/>
      <c r="D712" s="921" t="s">
        <v>1085</v>
      </c>
      <c r="E712" s="99"/>
      <c r="F712" s="99"/>
      <c r="G712" s="99"/>
      <c r="H712" s="99"/>
      <c r="J712" s="1428" t="s">
        <v>904</v>
      </c>
      <c r="K712" s="1428"/>
      <c r="L712" s="1428"/>
      <c r="M712" s="1428"/>
      <c r="N712" s="1428"/>
      <c r="O712" s="1428"/>
      <c r="P712" s="1428"/>
      <c r="Q712" s="1428"/>
      <c r="R712" s="1428"/>
      <c r="S712" s="1428"/>
      <c r="T712" s="1428"/>
      <c r="U712" s="1428"/>
      <c r="V712" s="1428"/>
      <c r="W712" s="1428"/>
      <c r="X712" s="1428"/>
      <c r="BB712" s="3"/>
      <c r="BC712" s="3"/>
      <c r="BD712" s="3"/>
      <c r="BE712" s="3"/>
      <c r="BF712" s="3"/>
      <c r="BJ712" s="3"/>
      <c r="BK712" s="3"/>
      <c r="BL712" s="3"/>
      <c r="BM712" s="3"/>
      <c r="BN712" s="3"/>
      <c r="BO712" s="3"/>
    </row>
    <row r="713" spans="1:110" ht="12.95" customHeight="1">
      <c r="B713" s="99"/>
      <c r="C713" s="99"/>
      <c r="D713" s="921" t="s">
        <v>1086</v>
      </c>
      <c r="J713" s="1427" t="s">
        <v>904</v>
      </c>
      <c r="K713" s="1427"/>
      <c r="L713" s="1427"/>
      <c r="M713" s="1427"/>
      <c r="N713" s="1427"/>
      <c r="O713" s="1427"/>
      <c r="P713" s="3" t="s">
        <v>1088</v>
      </c>
      <c r="Q713" s="3"/>
      <c r="R713" s="1381" t="s">
        <v>904</v>
      </c>
      <c r="S713" s="1381"/>
      <c r="T713" s="1381"/>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1447</v>
      </c>
      <c r="W714" s="1428" t="s">
        <v>348</v>
      </c>
      <c r="X714" s="1428"/>
      <c r="Y714" s="1428"/>
      <c r="Z714" s="1428"/>
      <c r="AA714" s="1428"/>
      <c r="AB714" s="1428"/>
      <c r="AC714" s="1428"/>
      <c r="AD714" s="1428"/>
      <c r="AE714" s="1428"/>
      <c r="AF714" s="1428"/>
      <c r="AG714" s="1428"/>
      <c r="AH714" s="1428"/>
      <c r="AI714" s="1428"/>
      <c r="AJ714" s="1428"/>
      <c r="AK714" s="142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428" t="s">
        <v>1335</v>
      </c>
      <c r="F715" s="1428"/>
      <c r="G715" s="1428"/>
      <c r="H715" s="1428"/>
      <c r="I715" s="1428"/>
      <c r="J715" s="1428"/>
      <c r="K715" s="1428"/>
      <c r="L715" s="1428"/>
      <c r="M715" s="1428"/>
      <c r="N715" s="1428"/>
      <c r="O715" s="1428"/>
      <c r="P715" s="1428"/>
      <c r="Q715" s="1428"/>
      <c r="R715" s="1428"/>
      <c r="S715" s="1428"/>
      <c r="T715" s="1428"/>
      <c r="U715" s="1428"/>
      <c r="V715" s="1428"/>
      <c r="W715" s="1428"/>
      <c r="X715" s="1428"/>
      <c r="Y715" s="1428"/>
      <c r="Z715" s="1428"/>
      <c r="AA715" s="1428"/>
      <c r="AB715" s="1428"/>
      <c r="AC715" s="1428"/>
      <c r="AD715" s="1428"/>
      <c r="AE715" s="1428"/>
      <c r="AF715" s="1428"/>
      <c r="AG715" s="1428"/>
      <c r="AH715" s="1428"/>
      <c r="AI715" s="1428"/>
      <c r="AJ715" s="1428"/>
      <c r="AK715" s="142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28" t="s">
        <v>1448</v>
      </c>
      <c r="B717" s="1228"/>
      <c r="C717" s="1228"/>
      <c r="D717" s="1228"/>
      <c r="E717" s="1228"/>
      <c r="F717" s="1228"/>
      <c r="G717" s="1228"/>
      <c r="H717" s="1228"/>
      <c r="I717" s="1228"/>
      <c r="J717" s="1228"/>
      <c r="K717" s="1228"/>
      <c r="L717" s="1228"/>
      <c r="M717" s="1228"/>
      <c r="N717" s="1228"/>
      <c r="O717" s="1228"/>
      <c r="P717" s="1228"/>
      <c r="Q717" s="1228"/>
      <c r="R717" s="1228"/>
      <c r="S717" s="1228"/>
      <c r="T717" s="1228"/>
      <c r="U717" s="1228"/>
      <c r="V717" s="1228"/>
      <c r="W717" s="1228"/>
      <c r="X717" s="1228"/>
      <c r="Y717" s="1228"/>
      <c r="Z717" s="1228"/>
      <c r="AA717" s="1228"/>
      <c r="AB717" s="1228"/>
      <c r="AC717" s="1228"/>
      <c r="AD717" s="1228"/>
      <c r="AE717" s="1228"/>
      <c r="AF717" s="1228"/>
      <c r="AG717" s="1228"/>
      <c r="AH717" s="1228"/>
      <c r="AI717" s="1228"/>
      <c r="AJ717" s="1228"/>
      <c r="AK717" s="1228"/>
      <c r="AL717" s="1228"/>
      <c r="AM717" s="1228"/>
      <c r="AN717" s="1228"/>
      <c r="AO717" s="1228"/>
      <c r="AP717" s="1228"/>
      <c r="AQ717" s="1228"/>
      <c r="AR717" s="1228"/>
      <c r="AS717" s="1228"/>
      <c r="AT717" s="1228"/>
      <c r="AZ717" s="3" t="s">
        <v>845</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28"/>
      <c r="B718" s="1228"/>
      <c r="C718" s="1228"/>
      <c r="D718" s="1228"/>
      <c r="E718" s="1228"/>
      <c r="F718" s="1228"/>
      <c r="G718" s="1228"/>
      <c r="H718" s="1228"/>
      <c r="I718" s="1228"/>
      <c r="J718" s="1228"/>
      <c r="K718" s="1228"/>
      <c r="L718" s="1228"/>
      <c r="M718" s="1228"/>
      <c r="N718" s="1228"/>
      <c r="O718" s="1228"/>
      <c r="P718" s="1228"/>
      <c r="Q718" s="1228"/>
      <c r="R718" s="1228"/>
      <c r="S718" s="1228"/>
      <c r="T718" s="1228"/>
      <c r="U718" s="1228"/>
      <c r="V718" s="1228"/>
      <c r="W718" s="1228"/>
      <c r="X718" s="1228"/>
      <c r="Y718" s="1228"/>
      <c r="Z718" s="1228"/>
      <c r="AA718" s="1228"/>
      <c r="AB718" s="1228"/>
      <c r="AC718" s="1228"/>
      <c r="AD718" s="1228"/>
      <c r="AE718" s="1228"/>
      <c r="AF718" s="1228"/>
      <c r="AG718" s="1228"/>
      <c r="AH718" s="1228"/>
      <c r="AI718" s="1228"/>
      <c r="AJ718" s="1228"/>
      <c r="AK718" s="1228"/>
      <c r="AL718" s="1228"/>
      <c r="AM718" s="1228"/>
      <c r="AN718" s="1228"/>
      <c r="AO718" s="1228"/>
      <c r="AP718" s="1228"/>
      <c r="AQ718" s="1228"/>
      <c r="AR718" s="1228"/>
      <c r="AS718" s="1228"/>
      <c r="AT718" s="1228"/>
      <c r="AZ718" s="3" t="s">
        <v>846</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28"/>
      <c r="B719" s="1228"/>
      <c r="C719" s="1228"/>
      <c r="D719" s="1228"/>
      <c r="E719" s="1228"/>
      <c r="F719" s="1228"/>
      <c r="G719" s="1228"/>
      <c r="H719" s="1228"/>
      <c r="I719" s="1228"/>
      <c r="J719" s="1228"/>
      <c r="K719" s="1228"/>
      <c r="L719" s="1228"/>
      <c r="M719" s="1228"/>
      <c r="N719" s="1228"/>
      <c r="O719" s="1228"/>
      <c r="P719" s="1228"/>
      <c r="Q719" s="1228"/>
      <c r="R719" s="1228"/>
      <c r="S719" s="1228"/>
      <c r="T719" s="1228"/>
      <c r="U719" s="1228"/>
      <c r="V719" s="1228"/>
      <c r="W719" s="1228"/>
      <c r="X719" s="1228"/>
      <c r="Y719" s="1228"/>
      <c r="Z719" s="1228"/>
      <c r="AA719" s="1228"/>
      <c r="AB719" s="1228"/>
      <c r="AC719" s="1228"/>
      <c r="AD719" s="1228"/>
      <c r="AE719" s="1228"/>
      <c r="AF719" s="1228"/>
      <c r="AG719" s="1228"/>
      <c r="AH719" s="1228"/>
      <c r="AI719" s="1228"/>
      <c r="AJ719" s="1228"/>
      <c r="AK719" s="1228"/>
      <c r="AL719" s="1228"/>
      <c r="AM719" s="1228"/>
      <c r="AN719" s="1228"/>
      <c r="AO719" s="1228"/>
      <c r="AP719" s="1228"/>
      <c r="AQ719" s="1228"/>
      <c r="AR719" s="1228"/>
      <c r="AS719" s="1228"/>
      <c r="AT719" s="1228"/>
      <c r="AZ719" s="3" t="s">
        <v>847</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885</v>
      </c>
      <c r="B720" s="2"/>
      <c r="C720" s="2" t="s">
        <v>1449</v>
      </c>
      <c r="AZ720" s="3" t="s">
        <v>848</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849</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96" t="s">
        <v>1450</v>
      </c>
      <c r="C722" s="1397"/>
      <c r="D722" s="1397"/>
      <c r="E722" s="1397"/>
      <c r="F722" s="1398"/>
      <c r="G722" s="1396" t="s">
        <v>1451</v>
      </c>
      <c r="H722" s="1397"/>
      <c r="I722" s="1397"/>
      <c r="J722" s="1398"/>
      <c r="K722" s="1629" t="s">
        <v>1452</v>
      </c>
      <c r="L722" s="1630"/>
      <c r="M722" s="1630"/>
      <c r="N722" s="1631"/>
      <c r="O722" s="1396" t="s">
        <v>1453</v>
      </c>
      <c r="P722" s="1397"/>
      <c r="Q722" s="1397"/>
      <c r="R722" s="1397"/>
      <c r="S722" s="1398"/>
      <c r="T722" s="1396" t="s">
        <v>1454</v>
      </c>
      <c r="U722" s="1397"/>
      <c r="V722" s="1397"/>
      <c r="W722" s="1398"/>
      <c r="X722" s="1396" t="s">
        <v>1455</v>
      </c>
      <c r="Y722" s="1397"/>
      <c r="Z722" s="1397"/>
      <c r="AA722" s="1397"/>
      <c r="AB722" s="1398"/>
      <c r="AC722" s="1396" t="s">
        <v>1456</v>
      </c>
      <c r="AD722" s="1397"/>
      <c r="AE722" s="1397"/>
      <c r="AF722" s="1397"/>
      <c r="AG722" s="1398"/>
      <c r="AH722" s="1396" t="s">
        <v>1457</v>
      </c>
      <c r="AI722" s="1397"/>
      <c r="AJ722" s="1398"/>
      <c r="AK722" s="1396" t="s">
        <v>1458</v>
      </c>
      <c r="AL722" s="1397"/>
      <c r="AM722" s="1397"/>
      <c r="AN722" s="1397"/>
      <c r="AO722" s="1398"/>
      <c r="AP722" s="3"/>
      <c r="AQ722" s="3"/>
      <c r="AR722" s="3"/>
      <c r="AS722" s="3"/>
      <c r="AZ722" s="3" t="s">
        <v>850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99"/>
      <c r="C723" s="1400"/>
      <c r="D723" s="1400"/>
      <c r="E723" s="1400"/>
      <c r="F723" s="1401"/>
      <c r="G723" s="1399"/>
      <c r="H723" s="1400"/>
      <c r="I723" s="1400"/>
      <c r="J723" s="1401"/>
      <c r="K723" s="1632"/>
      <c r="L723" s="1633"/>
      <c r="M723" s="1633"/>
      <c r="N723" s="1634"/>
      <c r="O723" s="1399"/>
      <c r="P723" s="1400"/>
      <c r="Q723" s="1400"/>
      <c r="R723" s="1400"/>
      <c r="S723" s="1401"/>
      <c r="T723" s="1399"/>
      <c r="U723" s="1400"/>
      <c r="V723" s="1400"/>
      <c r="W723" s="1401"/>
      <c r="X723" s="1399"/>
      <c r="Y723" s="1400"/>
      <c r="Z723" s="1400"/>
      <c r="AA723" s="1400"/>
      <c r="AB723" s="1401"/>
      <c r="AC723" s="1399"/>
      <c r="AD723" s="1400"/>
      <c r="AE723" s="1400"/>
      <c r="AF723" s="1400"/>
      <c r="AG723" s="1401"/>
      <c r="AH723" s="1399"/>
      <c r="AI723" s="1400"/>
      <c r="AJ723" s="1401"/>
      <c r="AK723" s="1399"/>
      <c r="AL723" s="1400"/>
      <c r="AM723" s="1400"/>
      <c r="AN723" s="1400"/>
      <c r="AO723" s="140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99"/>
      <c r="C724" s="1400"/>
      <c r="D724" s="1400"/>
      <c r="E724" s="1400"/>
      <c r="F724" s="1401"/>
      <c r="G724" s="1399"/>
      <c r="H724" s="1400"/>
      <c r="I724" s="1400"/>
      <c r="J724" s="1401"/>
      <c r="K724" s="1632"/>
      <c r="L724" s="1633"/>
      <c r="M724" s="1633"/>
      <c r="N724" s="1634"/>
      <c r="O724" s="1399"/>
      <c r="P724" s="1400"/>
      <c r="Q724" s="1400"/>
      <c r="R724" s="1400"/>
      <c r="S724" s="1401"/>
      <c r="T724" s="1399"/>
      <c r="U724" s="1400"/>
      <c r="V724" s="1400"/>
      <c r="W724" s="1401"/>
      <c r="X724" s="1399"/>
      <c r="Y724" s="1400"/>
      <c r="Z724" s="1400"/>
      <c r="AA724" s="1400"/>
      <c r="AB724" s="1401"/>
      <c r="AC724" s="1399"/>
      <c r="AD724" s="1400"/>
      <c r="AE724" s="1400"/>
      <c r="AF724" s="1400"/>
      <c r="AG724" s="1401"/>
      <c r="AH724" s="1399"/>
      <c r="AI724" s="1400"/>
      <c r="AJ724" s="1401"/>
      <c r="AK724" s="1399"/>
      <c r="AL724" s="1400"/>
      <c r="AM724" s="1400"/>
      <c r="AN724" s="1400"/>
      <c r="AO724" s="1401"/>
      <c r="AP724" s="3"/>
      <c r="AQ724" s="3"/>
      <c r="AR724" s="3"/>
      <c r="AS724" s="3"/>
      <c r="BA724" s="3"/>
      <c r="BB724" s="3"/>
      <c r="BC724" s="3"/>
      <c r="BD724" s="3"/>
      <c r="BE724" s="136"/>
      <c r="BF724" s="137" t="s">
        <v>1459</v>
      </c>
      <c r="BG724" s="136"/>
      <c r="BH724" s="136"/>
      <c r="BI724" s="3"/>
      <c r="BJ724" s="3"/>
      <c r="BK724" s="3"/>
      <c r="BL724" s="3"/>
      <c r="BM724" s="3"/>
      <c r="BN724" s="3"/>
      <c r="BS724" s="137" t="s">
        <v>1460</v>
      </c>
      <c r="BT724" s="136"/>
      <c r="BU724" s="136"/>
      <c r="CC724" s="3"/>
      <c r="CD724" s="3"/>
      <c r="CE724" s="3"/>
      <c r="CF724" s="3"/>
      <c r="CG724" s="3"/>
      <c r="CH724" s="3"/>
      <c r="CI724" s="3"/>
      <c r="CJ724" s="3"/>
      <c r="CK724" s="3"/>
      <c r="CL724" s="3"/>
      <c r="CM724" s="3"/>
      <c r="CN724" s="3"/>
      <c r="CO724" s="3"/>
      <c r="CP724" s="3" t="s">
        <v>1461</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1462</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1463</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402"/>
      <c r="C725" s="1403"/>
      <c r="D725" s="1403"/>
      <c r="E725" s="1403"/>
      <c r="F725" s="1404"/>
      <c r="G725" s="1402"/>
      <c r="H725" s="1403"/>
      <c r="I725" s="1403"/>
      <c r="J725" s="1404"/>
      <c r="K725" s="1632"/>
      <c r="L725" s="1633"/>
      <c r="M725" s="1633"/>
      <c r="N725" s="1634"/>
      <c r="O725" s="1402"/>
      <c r="P725" s="1403"/>
      <c r="Q725" s="1403"/>
      <c r="R725" s="1403"/>
      <c r="S725" s="1404"/>
      <c r="T725" s="1402"/>
      <c r="U725" s="1403"/>
      <c r="V725" s="1403"/>
      <c r="W725" s="1404"/>
      <c r="X725" s="1402"/>
      <c r="Y725" s="1403"/>
      <c r="Z725" s="1403"/>
      <c r="AA725" s="1403"/>
      <c r="AB725" s="1404"/>
      <c r="AC725" s="1402"/>
      <c r="AD725" s="1403"/>
      <c r="AE725" s="1403"/>
      <c r="AF725" s="1403"/>
      <c r="AG725" s="1404"/>
      <c r="AH725" s="1402"/>
      <c r="AI725" s="1403"/>
      <c r="AJ725" s="1404"/>
      <c r="AK725" s="1402"/>
      <c r="AL725" s="1403"/>
      <c r="AM725" s="1403"/>
      <c r="AN725" s="1403"/>
      <c r="AO725" s="1404"/>
      <c r="AP725" s="3"/>
      <c r="AQ725" s="3"/>
      <c r="AR725" s="3"/>
      <c r="AS725" s="3"/>
      <c r="AZ725" s="73" t="s">
        <v>1464</v>
      </c>
      <c r="BA725" s="3"/>
      <c r="BB725" s="3"/>
      <c r="BC725" s="3"/>
      <c r="BD725" s="3"/>
      <c r="BE725" s="136"/>
      <c r="BF725" s="201" t="s">
        <v>1465</v>
      </c>
      <c r="BG725" s="205" t="s">
        <v>1466</v>
      </c>
      <c r="BH725" s="204" t="s">
        <v>1467</v>
      </c>
      <c r="BI725" s="3"/>
      <c r="BJ725" s="3"/>
      <c r="BK725" s="3"/>
      <c r="BL725" s="3"/>
      <c r="BM725" s="3"/>
      <c r="BN725" s="3"/>
      <c r="BS725" s="201" t="s">
        <v>1465</v>
      </c>
      <c r="BT725" s="205" t="s">
        <v>1466</v>
      </c>
      <c r="BU725" s="204" t="s">
        <v>1467</v>
      </c>
      <c r="CC725" s="3"/>
      <c r="CD725" s="3"/>
      <c r="CE725" s="3"/>
      <c r="CF725" s="3"/>
      <c r="CG725" s="87" t="s">
        <v>1468</v>
      </c>
      <c r="CH725" s="88"/>
      <c r="CI725" s="1499"/>
      <c r="CJ725" s="1500"/>
      <c r="CK725" s="87" t="s">
        <v>1469</v>
      </c>
      <c r="CL725" s="88"/>
      <c r="CM725" s="1499"/>
      <c r="CN725" s="1500"/>
      <c r="CO725" s="3"/>
      <c r="CP725" s="1374" t="s">
        <v>851</v>
      </c>
      <c r="CQ725" s="1375"/>
      <c r="CR725" s="1375"/>
      <c r="CS725" s="1375"/>
      <c r="CT725" s="1376"/>
      <c r="CU725" s="1503" t="s">
        <v>846</v>
      </c>
      <c r="CV725" s="1503"/>
      <c r="CW725" s="1503"/>
      <c r="CX725" s="1503"/>
      <c r="CY725" s="1503"/>
      <c r="CZ725" s="1503" t="s">
        <v>847</v>
      </c>
      <c r="DA725" s="1503"/>
      <c r="DB725" s="1503"/>
      <c r="DC725" s="1503"/>
      <c r="DD725" s="1503"/>
      <c r="DE725" s="1503" t="s">
        <v>848</v>
      </c>
      <c r="DF725" s="1503"/>
      <c r="DG725" s="1503"/>
      <c r="DH725" s="1503"/>
      <c r="DI725" s="1503"/>
      <c r="DJ725" s="1503" t="s">
        <v>852</v>
      </c>
      <c r="DK725" s="1503"/>
      <c r="DL725" s="1503"/>
      <c r="DM725" s="1503"/>
      <c r="DN725" s="1503"/>
      <c r="DO725" s="1503" t="s">
        <v>850</v>
      </c>
      <c r="DP725" s="1503"/>
      <c r="DQ725" s="1503"/>
      <c r="DR725" s="1503"/>
      <c r="DS725" s="1503"/>
      <c r="DT725" s="65"/>
      <c r="DU725" s="1503" t="s">
        <v>851</v>
      </c>
      <c r="DV725" s="1503"/>
      <c r="DW725" s="1503"/>
      <c r="DX725" s="1503"/>
      <c r="DY725" s="1503"/>
      <c r="DZ725" s="1503" t="s">
        <v>846</v>
      </c>
      <c r="EA725" s="1503"/>
      <c r="EB725" s="1503"/>
      <c r="EC725" s="1503"/>
      <c r="ED725" s="1503"/>
      <c r="EE725" s="1503" t="s">
        <v>847</v>
      </c>
      <c r="EF725" s="1503"/>
      <c r="EG725" s="1503"/>
      <c r="EH725" s="1503"/>
      <c r="EI725" s="1503"/>
      <c r="EJ725" s="1503" t="s">
        <v>848</v>
      </c>
      <c r="EK725" s="1503"/>
      <c r="EL725" s="1503"/>
      <c r="EM725" s="1503"/>
      <c r="EN725" s="1503"/>
      <c r="EO725" s="1503" t="s">
        <v>852</v>
      </c>
      <c r="EP725" s="1503"/>
      <c r="EQ725" s="1503"/>
      <c r="ER725" s="1503"/>
      <c r="ES725" s="1503"/>
      <c r="ET725" s="1503" t="s">
        <v>850</v>
      </c>
      <c r="EU725" s="1503"/>
      <c r="EV725" s="1503"/>
      <c r="EW725" s="1503"/>
      <c r="EX725" s="1503"/>
      <c r="EY725" s="3"/>
      <c r="EZ725" s="1503" t="s">
        <v>851</v>
      </c>
      <c r="FA725" s="1503"/>
      <c r="FB725" s="1503"/>
      <c r="FC725" s="1503"/>
      <c r="FD725" s="1503"/>
      <c r="FE725" s="1503" t="s">
        <v>846</v>
      </c>
      <c r="FF725" s="1503"/>
      <c r="FG725" s="1503"/>
      <c r="FH725" s="1503"/>
      <c r="FI725" s="1503"/>
      <c r="FJ725" s="1503" t="s">
        <v>847</v>
      </c>
      <c r="FK725" s="1503"/>
      <c r="FL725" s="1503"/>
      <c r="FM725" s="1503"/>
      <c r="FN725" s="1503"/>
      <c r="FO725" s="1503" t="s">
        <v>848</v>
      </c>
      <c r="FP725" s="1503"/>
      <c r="FQ725" s="1503"/>
      <c r="FR725" s="1503"/>
      <c r="FS725" s="1503"/>
      <c r="FT725" s="1503" t="s">
        <v>852</v>
      </c>
      <c r="FU725" s="1503"/>
      <c r="FV725" s="1503"/>
      <c r="FW725" s="1503"/>
      <c r="FX725" s="1503"/>
      <c r="FY725" s="1503" t="s">
        <v>850</v>
      </c>
      <c r="FZ725" s="1503"/>
      <c r="GA725" s="1503"/>
      <c r="GB725" s="1503"/>
      <c r="GC725" s="1503"/>
    </row>
    <row r="726" spans="1:185" ht="12.95" customHeight="1">
      <c r="A726" s="3"/>
      <c r="B726" s="1377" t="s">
        <v>846</v>
      </c>
      <c r="C726" s="1378"/>
      <c r="D726" s="1378"/>
      <c r="E726" s="1378"/>
      <c r="F726" s="1379"/>
      <c r="G726" s="1405">
        <v>1</v>
      </c>
      <c r="H726" s="1406">
        <v>1</v>
      </c>
      <c r="I726" s="1406">
        <v>1</v>
      </c>
      <c r="J726" s="1407">
        <v>1</v>
      </c>
      <c r="K726" s="1412">
        <v>1027</v>
      </c>
      <c r="L726" s="1413"/>
      <c r="M726" s="1413"/>
      <c r="N726" s="1414"/>
      <c r="O726" s="1387">
        <v>367</v>
      </c>
      <c r="P726" s="1388"/>
      <c r="Q726" s="1388"/>
      <c r="R726" s="1388"/>
      <c r="S726" s="1389"/>
      <c r="T726" s="1387">
        <v>161</v>
      </c>
      <c r="U726" s="1388">
        <v>161</v>
      </c>
      <c r="V726" s="1388">
        <v>161</v>
      </c>
      <c r="W726" s="1389">
        <v>161</v>
      </c>
      <c r="X726" s="1433">
        <f t="shared" ref="X726:X749" si="10">O726+T726</f>
        <v>528</v>
      </c>
      <c r="Y726" s="1434"/>
      <c r="Z726" s="1434"/>
      <c r="AA726" s="1434"/>
      <c r="AB726" s="1435"/>
      <c r="AC726" s="1429">
        <v>0.3</v>
      </c>
      <c r="AD726" s="1430">
        <v>0.3</v>
      </c>
      <c r="AE726" s="1430">
        <v>0.3</v>
      </c>
      <c r="AF726" s="1430">
        <v>0.3</v>
      </c>
      <c r="AG726" s="1431">
        <v>0.3</v>
      </c>
      <c r="AH726" s="1408">
        <f>IF($AC726&gt;0,($X726/$AZ726), "")</f>
        <v>0.29965947786606129</v>
      </c>
      <c r="AI726" s="1409"/>
      <c r="AJ726" s="1410"/>
      <c r="AK726" s="1377" t="s">
        <v>826</v>
      </c>
      <c r="AL726" s="1378"/>
      <c r="AM726" s="1378"/>
      <c r="AN726" s="1378"/>
      <c r="AO726" s="1379"/>
      <c r="AP726" s="3"/>
      <c r="AQ726" s="3"/>
      <c r="AR726" s="3"/>
      <c r="AS726" s="3"/>
      <c r="AZ726" s="84">
        <f t="shared" ref="AZ726:AZ760" si="11">IF($G726=0,"N/A",VLOOKUP($T$189,TC_Rent,(MATCH($B726,bedrooms,FALSE)),FALSE))</f>
        <v>1762</v>
      </c>
      <c r="BA726" s="3"/>
      <c r="BB726" s="3"/>
      <c r="BC726" s="3"/>
      <c r="BD726" s="3"/>
      <c r="BE726" s="136"/>
      <c r="BF726" s="202">
        <f t="shared" ref="BF726:BF760" si="12">G726</f>
        <v>1</v>
      </c>
      <c r="BG726" s="206">
        <f t="shared" ref="BG726:BG760" si="13">IF($BF$761=0,0,BF726/$BF$761)</f>
        <v>2.8571428571428571E-2</v>
      </c>
      <c r="BH726" s="207">
        <f t="shared" ref="BH726:BH760" si="14">IF(BG726=0,"",BG726*AC726)</f>
        <v>8.5714285714285701E-3</v>
      </c>
      <c r="BI726" s="3"/>
      <c r="BJ726" s="3"/>
      <c r="BK726" s="3"/>
      <c r="BL726" s="3"/>
      <c r="BM726" s="3"/>
      <c r="BN726" s="3"/>
      <c r="BS726" s="202">
        <f t="shared" ref="BS726:BS760" si="15">G726</f>
        <v>1</v>
      </c>
      <c r="BT726" s="206">
        <f t="shared" ref="BT726:BT760" si="16">IF($BS$761=0,0,BS726/$BS$761)</f>
        <v>2.8571428571428571E-2</v>
      </c>
      <c r="BU726" s="207">
        <f t="shared" ref="BU726:BU760" si="17">IF(BT726=0,"",BT726*AH726)</f>
        <v>8.5616993676017501E-3</v>
      </c>
      <c r="CC726" s="3"/>
      <c r="CD726" s="3"/>
      <c r="CE726" s="3"/>
      <c r="CF726" s="3"/>
      <c r="CG726" s="1499">
        <f>IF(AND(AC726&lt;=0.5,AC726&gt;=0.36),1,0)</f>
        <v>0</v>
      </c>
      <c r="CH726" s="1500"/>
      <c r="CI726" s="1499">
        <f>IF(CG726=1,G726,0)</f>
        <v>0</v>
      </c>
      <c r="CJ726" s="1500"/>
      <c r="CK726" s="1499">
        <f t="shared" ref="CK726:CK760" si="18">IF(AND(AC726&lt;=0.35,AC726&gt;0),1,0)</f>
        <v>1</v>
      </c>
      <c r="CL726" s="1500"/>
      <c r="CM726" s="1499">
        <f t="shared" ref="CM726:CM760" si="19">IF(CK726=1,G726,0)</f>
        <v>1</v>
      </c>
      <c r="CN726" s="1500"/>
      <c r="CO726" s="3"/>
      <c r="CP726" s="1496">
        <f t="shared" ref="CP726:CP760" si="20">IF(B726="SRO/Studio",G726,0)</f>
        <v>0</v>
      </c>
      <c r="CQ726" s="1497"/>
      <c r="CR726" s="1497"/>
      <c r="CS726" s="1497"/>
      <c r="CT726" s="1498"/>
      <c r="CU726" s="1494">
        <f t="shared" ref="CU726:CU760" si="21">IF(B726="1 Bedroom",G726,0)</f>
        <v>1</v>
      </c>
      <c r="CV726" s="1494"/>
      <c r="CW726" s="1494"/>
      <c r="CX726" s="1494"/>
      <c r="CY726" s="1494"/>
      <c r="CZ726" s="1494">
        <f t="shared" ref="CZ726:CZ760" si="22">IF(B726="2 Bedrooms",G726,0)</f>
        <v>0</v>
      </c>
      <c r="DA726" s="1494"/>
      <c r="DB726" s="1494"/>
      <c r="DC726" s="1494"/>
      <c r="DD726" s="1494"/>
      <c r="DE726" s="1494">
        <f t="shared" ref="DE726:DE760" si="23">IF(B726="3 Bedrooms",G726,0)</f>
        <v>0</v>
      </c>
      <c r="DF726" s="1494"/>
      <c r="DG726" s="1494"/>
      <c r="DH726" s="1494"/>
      <c r="DI726" s="1494"/>
      <c r="DJ726" s="1494">
        <f t="shared" ref="DJ726:DJ760" si="24">IF(B726="4 Bedrooms",G726,0)</f>
        <v>0</v>
      </c>
      <c r="DK726" s="1494"/>
      <c r="DL726" s="1494"/>
      <c r="DM726" s="1494"/>
      <c r="DN726" s="1494"/>
      <c r="DO726" s="1494">
        <f t="shared" ref="DO726:DO760" si="25">IF(B726="5 Bedrooms",G726,0)</f>
        <v>0</v>
      </c>
      <c r="DP726" s="1494"/>
      <c r="DQ726" s="1494"/>
      <c r="DR726" s="1494"/>
      <c r="DS726" s="1494"/>
      <c r="DT726" s="257"/>
      <c r="DU726" s="1502">
        <f t="shared" ref="DU726:DU760" si="26">IF(AND(B726="SRO/Studio",AC726&lt;=0.3),G726,0)</f>
        <v>0</v>
      </c>
      <c r="DV726" s="1502"/>
      <c r="DW726" s="1502"/>
      <c r="DX726" s="1502"/>
      <c r="DY726" s="1502"/>
      <c r="DZ726" s="1502">
        <f t="shared" ref="DZ726:DZ760" si="27">IF(AND(B726="1 Bedroom",AC726&lt;=0.3),G726,0)</f>
        <v>1</v>
      </c>
      <c r="EA726" s="1502"/>
      <c r="EB726" s="1502"/>
      <c r="EC726" s="1502"/>
      <c r="ED726" s="1502"/>
      <c r="EE726" s="1502">
        <f t="shared" ref="EE726:EE760" si="28">IF(AND(B726="2 Bedrooms",AC726&lt;=0.3),G726,0)</f>
        <v>0</v>
      </c>
      <c r="EF726" s="1502"/>
      <c r="EG726" s="1502"/>
      <c r="EH726" s="1502"/>
      <c r="EI726" s="1502"/>
      <c r="EJ726" s="1502">
        <f t="shared" ref="EJ726:EJ760" si="29">IF(AND(B726="3 Bedrooms",AC726&lt;=0.3),G726,0)</f>
        <v>0</v>
      </c>
      <c r="EK726" s="1502"/>
      <c r="EL726" s="1502"/>
      <c r="EM726" s="1502"/>
      <c r="EN726" s="1502"/>
      <c r="EO726" s="1502">
        <f t="shared" ref="EO726:EO760" si="30">IF(AND(B726="4 Bedrooms",AC726&lt;=0.3),G726,0)</f>
        <v>0</v>
      </c>
      <c r="EP726" s="1502"/>
      <c r="EQ726" s="1502"/>
      <c r="ER726" s="1502"/>
      <c r="ES726" s="1502"/>
      <c r="ET726" s="1502">
        <f t="shared" ref="ET726:ET760" si="31">IF(AND(B726="5 Bedrooms",AC726&lt;=0.3),G726,0)</f>
        <v>0</v>
      </c>
      <c r="EU726" s="1502"/>
      <c r="EV726" s="1502"/>
      <c r="EW726" s="1502"/>
      <c r="EX726" s="1502"/>
      <c r="EY726" s="3"/>
      <c r="EZ726" s="1499" t="str">
        <f t="shared" ref="EZ726:EZ760" si="32">IF(CP726&gt;0,O726,"")</f>
        <v/>
      </c>
      <c r="FA726" s="1501"/>
      <c r="FB726" s="1501"/>
      <c r="FC726" s="1501"/>
      <c r="FD726" s="1500"/>
      <c r="FE726" s="1499">
        <f t="shared" ref="FE726:FE760" si="33">IF(CU726&gt;0,O726,"")</f>
        <v>367</v>
      </c>
      <c r="FF726" s="1501"/>
      <c r="FG726" s="1501"/>
      <c r="FH726" s="1501"/>
      <c r="FI726" s="1500"/>
      <c r="FJ726" s="1499" t="str">
        <f t="shared" ref="FJ726:FJ760" si="34">IF(CZ726&gt;0,O726,"")</f>
        <v/>
      </c>
      <c r="FK726" s="1501"/>
      <c r="FL726" s="1501"/>
      <c r="FM726" s="1501"/>
      <c r="FN726" s="1500"/>
      <c r="FO726" s="1499" t="str">
        <f t="shared" ref="FO726:FO760" si="35">IF(DE726&gt;0,O726,"")</f>
        <v/>
      </c>
      <c r="FP726" s="1501"/>
      <c r="FQ726" s="1501"/>
      <c r="FR726" s="1501"/>
      <c r="FS726" s="1500"/>
      <c r="FT726" s="1499" t="str">
        <f t="shared" ref="FT726:FT760" si="36">IF(DJ726&gt;0,O726,"")</f>
        <v/>
      </c>
      <c r="FU726" s="1501"/>
      <c r="FV726" s="1501"/>
      <c r="FW726" s="1501"/>
      <c r="FX726" s="1500"/>
      <c r="FY726" s="1499" t="str">
        <f t="shared" ref="FY726:FY760" si="37">IF(DO726&gt;0,O726,"")</f>
        <v/>
      </c>
      <c r="FZ726" s="1501"/>
      <c r="GA726" s="1501"/>
      <c r="GB726" s="1501"/>
      <c r="GC726" s="1500"/>
    </row>
    <row r="727" spans="1:185" ht="12.95" customHeight="1">
      <c r="A727" s="3"/>
      <c r="B727" s="1377" t="s">
        <v>846</v>
      </c>
      <c r="C727" s="1378"/>
      <c r="D727" s="1378"/>
      <c r="E727" s="1378"/>
      <c r="F727" s="1379"/>
      <c r="G727" s="1405">
        <v>3</v>
      </c>
      <c r="H727" s="1406">
        <v>3</v>
      </c>
      <c r="I727" s="1406">
        <v>3</v>
      </c>
      <c r="J727" s="1407">
        <v>3</v>
      </c>
      <c r="K727" s="1412">
        <v>1027</v>
      </c>
      <c r="L727" s="1413"/>
      <c r="M727" s="1413"/>
      <c r="N727" s="1414"/>
      <c r="O727" s="1387">
        <v>720</v>
      </c>
      <c r="P727" s="1388"/>
      <c r="Q727" s="1388"/>
      <c r="R727" s="1388"/>
      <c r="S727" s="1389"/>
      <c r="T727" s="1387">
        <v>161</v>
      </c>
      <c r="U727" s="1388">
        <v>161</v>
      </c>
      <c r="V727" s="1388">
        <v>161</v>
      </c>
      <c r="W727" s="1389">
        <v>161</v>
      </c>
      <c r="X727" s="1433">
        <f t="shared" si="10"/>
        <v>881</v>
      </c>
      <c r="Y727" s="1434"/>
      <c r="Z727" s="1434"/>
      <c r="AA727" s="1434"/>
      <c r="AB727" s="1435"/>
      <c r="AC727" s="1429">
        <v>0.5</v>
      </c>
      <c r="AD727" s="1430">
        <v>0.5</v>
      </c>
      <c r="AE727" s="1430">
        <v>0.5</v>
      </c>
      <c r="AF727" s="1430">
        <v>0.5</v>
      </c>
      <c r="AG727" s="1431">
        <v>0.5</v>
      </c>
      <c r="AH727" s="1408">
        <f t="shared" ref="AH727:AH760" si="38">IF($AC727&gt;0,($X727/$AZ727), "")</f>
        <v>0.5</v>
      </c>
      <c r="AI727" s="1409"/>
      <c r="AJ727" s="1410"/>
      <c r="AK727" s="1377" t="s">
        <v>826</v>
      </c>
      <c r="AL727" s="1378"/>
      <c r="AM727" s="1378"/>
      <c r="AN727" s="1378"/>
      <c r="AO727" s="1379"/>
      <c r="AP727" s="3"/>
      <c r="AQ727" s="3"/>
      <c r="AR727" s="3"/>
      <c r="AS727" s="3"/>
      <c r="AZ727" s="84">
        <f t="shared" si="11"/>
        <v>1762</v>
      </c>
      <c r="BA727" s="3"/>
      <c r="BB727" s="3"/>
      <c r="BC727" s="3"/>
      <c r="BD727" s="3"/>
      <c r="BE727" s="136"/>
      <c r="BF727" s="203">
        <f t="shared" si="12"/>
        <v>3</v>
      </c>
      <c r="BG727" s="206">
        <f t="shared" si="13"/>
        <v>8.5714285714285715E-2</v>
      </c>
      <c r="BH727" s="207">
        <f t="shared" si="14"/>
        <v>4.2857142857142858E-2</v>
      </c>
      <c r="BI727" s="3"/>
      <c r="BJ727" s="3"/>
      <c r="BK727" s="3"/>
      <c r="BL727" s="3"/>
      <c r="BM727" s="3"/>
      <c r="BN727" s="3"/>
      <c r="BS727" s="203">
        <f t="shared" si="15"/>
        <v>3</v>
      </c>
      <c r="BT727" s="206">
        <f t="shared" si="16"/>
        <v>8.5714285714285715E-2</v>
      </c>
      <c r="BU727" s="207">
        <f t="shared" si="17"/>
        <v>4.2857142857142858E-2</v>
      </c>
      <c r="CC727" s="3"/>
      <c r="CD727" s="3"/>
      <c r="CE727" s="3"/>
      <c r="CF727" s="3"/>
      <c r="CG727" s="1499">
        <f t="shared" ref="CG727:CG760" si="39">IF(AND(AC727&lt;=0.5,AC727&gt;=0.36),1,0)</f>
        <v>1</v>
      </c>
      <c r="CH727" s="1500"/>
      <c r="CI727" s="1499">
        <f t="shared" ref="CI727:CI760" si="40">IF(CG727=1,G727,0)</f>
        <v>3</v>
      </c>
      <c r="CJ727" s="1500"/>
      <c r="CK727" s="1499">
        <f t="shared" si="18"/>
        <v>0</v>
      </c>
      <c r="CL727" s="1500"/>
      <c r="CM727" s="1499">
        <f t="shared" si="19"/>
        <v>0</v>
      </c>
      <c r="CN727" s="1500"/>
      <c r="CO727" s="3"/>
      <c r="CP727" s="1496">
        <f t="shared" si="20"/>
        <v>0</v>
      </c>
      <c r="CQ727" s="1497"/>
      <c r="CR727" s="1497"/>
      <c r="CS727" s="1497"/>
      <c r="CT727" s="1498"/>
      <c r="CU727" s="1494">
        <f t="shared" si="21"/>
        <v>3</v>
      </c>
      <c r="CV727" s="1494"/>
      <c r="CW727" s="1494"/>
      <c r="CX727" s="1494"/>
      <c r="CY727" s="1494"/>
      <c r="CZ727" s="1494">
        <f t="shared" si="22"/>
        <v>0</v>
      </c>
      <c r="DA727" s="1494"/>
      <c r="DB727" s="1494"/>
      <c r="DC727" s="1494"/>
      <c r="DD727" s="1494"/>
      <c r="DE727" s="1494">
        <f t="shared" si="23"/>
        <v>0</v>
      </c>
      <c r="DF727" s="1494"/>
      <c r="DG727" s="1494"/>
      <c r="DH727" s="1494"/>
      <c r="DI727" s="1494"/>
      <c r="DJ727" s="1494">
        <f t="shared" si="24"/>
        <v>0</v>
      </c>
      <c r="DK727" s="1494"/>
      <c r="DL727" s="1494"/>
      <c r="DM727" s="1494"/>
      <c r="DN727" s="1494"/>
      <c r="DO727" s="1494">
        <f t="shared" si="25"/>
        <v>0</v>
      </c>
      <c r="DP727" s="1494"/>
      <c r="DQ727" s="1494"/>
      <c r="DR727" s="1494"/>
      <c r="DS727" s="1494"/>
      <c r="DT727" s="257"/>
      <c r="DU727" s="1502">
        <f t="shared" si="26"/>
        <v>0</v>
      </c>
      <c r="DV727" s="1502"/>
      <c r="DW727" s="1502"/>
      <c r="DX727" s="1502"/>
      <c r="DY727" s="1502"/>
      <c r="DZ727" s="1502">
        <f t="shared" si="27"/>
        <v>0</v>
      </c>
      <c r="EA727" s="1502"/>
      <c r="EB727" s="1502"/>
      <c r="EC727" s="1502"/>
      <c r="ED727" s="1502"/>
      <c r="EE727" s="1502">
        <f t="shared" si="28"/>
        <v>0</v>
      </c>
      <c r="EF727" s="1502"/>
      <c r="EG727" s="1502"/>
      <c r="EH727" s="1502"/>
      <c r="EI727" s="1502"/>
      <c r="EJ727" s="1502">
        <f t="shared" si="29"/>
        <v>0</v>
      </c>
      <c r="EK727" s="1502"/>
      <c r="EL727" s="1502"/>
      <c r="EM727" s="1502"/>
      <c r="EN727" s="1502"/>
      <c r="EO727" s="1502">
        <f t="shared" si="30"/>
        <v>0</v>
      </c>
      <c r="EP727" s="1502"/>
      <c r="EQ727" s="1502"/>
      <c r="ER727" s="1502"/>
      <c r="ES727" s="1502"/>
      <c r="ET727" s="1502">
        <f t="shared" si="31"/>
        <v>0</v>
      </c>
      <c r="EU727" s="1502"/>
      <c r="EV727" s="1502"/>
      <c r="EW727" s="1502"/>
      <c r="EX727" s="1502"/>
      <c r="EY727" s="3"/>
      <c r="EZ727" s="1499" t="str">
        <f t="shared" si="32"/>
        <v/>
      </c>
      <c r="FA727" s="1501"/>
      <c r="FB727" s="1501"/>
      <c r="FC727" s="1501"/>
      <c r="FD727" s="1500"/>
      <c r="FE727" s="1499">
        <f t="shared" si="33"/>
        <v>720</v>
      </c>
      <c r="FF727" s="1501"/>
      <c r="FG727" s="1501"/>
      <c r="FH727" s="1501"/>
      <c r="FI727" s="1500"/>
      <c r="FJ727" s="1499" t="str">
        <f t="shared" si="34"/>
        <v/>
      </c>
      <c r="FK727" s="1501"/>
      <c r="FL727" s="1501"/>
      <c r="FM727" s="1501"/>
      <c r="FN727" s="1500"/>
      <c r="FO727" s="1499" t="str">
        <f t="shared" si="35"/>
        <v/>
      </c>
      <c r="FP727" s="1501"/>
      <c r="FQ727" s="1501"/>
      <c r="FR727" s="1501"/>
      <c r="FS727" s="1500"/>
      <c r="FT727" s="1499" t="str">
        <f t="shared" si="36"/>
        <v/>
      </c>
      <c r="FU727" s="1501"/>
      <c r="FV727" s="1501"/>
      <c r="FW727" s="1501"/>
      <c r="FX727" s="1500"/>
      <c r="FY727" s="1499" t="str">
        <f t="shared" si="37"/>
        <v/>
      </c>
      <c r="FZ727" s="1501"/>
      <c r="GA727" s="1501"/>
      <c r="GB727" s="1501"/>
      <c r="GC727" s="1500"/>
    </row>
    <row r="728" spans="1:185" ht="12.95" customHeight="1">
      <c r="A728" s="3"/>
      <c r="B728" s="1377" t="s">
        <v>846</v>
      </c>
      <c r="C728" s="1378"/>
      <c r="D728" s="1378"/>
      <c r="E728" s="1378"/>
      <c r="F728" s="1379"/>
      <c r="G728" s="1405">
        <v>7</v>
      </c>
      <c r="H728" s="1406">
        <v>7</v>
      </c>
      <c r="I728" s="1406">
        <v>7</v>
      </c>
      <c r="J728" s="1407">
        <v>7</v>
      </c>
      <c r="K728" s="1412">
        <v>1027</v>
      </c>
      <c r="L728" s="1413"/>
      <c r="M728" s="1413"/>
      <c r="N728" s="1414"/>
      <c r="O728" s="1387">
        <v>720</v>
      </c>
      <c r="P728" s="1388"/>
      <c r="Q728" s="1388"/>
      <c r="R728" s="1388"/>
      <c r="S728" s="1389"/>
      <c r="T728" s="1387">
        <v>161</v>
      </c>
      <c r="U728" s="1388">
        <v>161</v>
      </c>
      <c r="V728" s="1388">
        <v>161</v>
      </c>
      <c r="W728" s="1389">
        <v>161</v>
      </c>
      <c r="X728" s="1433">
        <f t="shared" si="10"/>
        <v>881</v>
      </c>
      <c r="Y728" s="1434"/>
      <c r="Z728" s="1434"/>
      <c r="AA728" s="1434"/>
      <c r="AB728" s="1435"/>
      <c r="AC728" s="1429">
        <v>0.6</v>
      </c>
      <c r="AD728" s="1430">
        <v>0.6</v>
      </c>
      <c r="AE728" s="1430">
        <v>0.6</v>
      </c>
      <c r="AF728" s="1430">
        <v>0.6</v>
      </c>
      <c r="AG728" s="1431">
        <v>0.6</v>
      </c>
      <c r="AH728" s="1408">
        <f t="shared" si="38"/>
        <v>0.5</v>
      </c>
      <c r="AI728" s="1409"/>
      <c r="AJ728" s="1410"/>
      <c r="AK728" s="1377" t="s">
        <v>826</v>
      </c>
      <c r="AL728" s="1378"/>
      <c r="AM728" s="1378"/>
      <c r="AN728" s="1378"/>
      <c r="AO728" s="1379"/>
      <c r="AP728" s="3"/>
      <c r="AQ728" s="3"/>
      <c r="AR728" s="3"/>
      <c r="AS728" s="3"/>
      <c r="AZ728" s="84">
        <f t="shared" si="11"/>
        <v>1762</v>
      </c>
      <c r="BA728" s="3"/>
      <c r="BB728" s="3"/>
      <c r="BC728" s="3"/>
      <c r="BD728" s="3"/>
      <c r="BE728" s="136"/>
      <c r="BF728" s="203">
        <f t="shared" si="12"/>
        <v>7</v>
      </c>
      <c r="BG728" s="206">
        <f t="shared" si="13"/>
        <v>0.2</v>
      </c>
      <c r="BH728" s="207">
        <f t="shared" si="14"/>
        <v>0.12</v>
      </c>
      <c r="BI728" s="3"/>
      <c r="BJ728" s="3"/>
      <c r="BK728" s="3"/>
      <c r="BL728" s="3"/>
      <c r="BM728" s="3"/>
      <c r="BN728" s="3"/>
      <c r="BS728" s="203">
        <f t="shared" si="15"/>
        <v>7</v>
      </c>
      <c r="BT728" s="206">
        <f t="shared" si="16"/>
        <v>0.2</v>
      </c>
      <c r="BU728" s="207">
        <f t="shared" si="17"/>
        <v>0.1</v>
      </c>
      <c r="CC728" s="3"/>
      <c r="CD728" s="3"/>
      <c r="CE728" s="3"/>
      <c r="CF728" s="3"/>
      <c r="CG728" s="1499">
        <f t="shared" si="39"/>
        <v>0</v>
      </c>
      <c r="CH728" s="1500"/>
      <c r="CI728" s="1499">
        <f t="shared" si="40"/>
        <v>0</v>
      </c>
      <c r="CJ728" s="1500"/>
      <c r="CK728" s="1499">
        <f t="shared" si="18"/>
        <v>0</v>
      </c>
      <c r="CL728" s="1500"/>
      <c r="CM728" s="1499">
        <f t="shared" si="19"/>
        <v>0</v>
      </c>
      <c r="CN728" s="1500"/>
      <c r="CO728" s="3"/>
      <c r="CP728" s="1496">
        <f t="shared" si="20"/>
        <v>0</v>
      </c>
      <c r="CQ728" s="1497"/>
      <c r="CR728" s="1497"/>
      <c r="CS728" s="1497"/>
      <c r="CT728" s="1498"/>
      <c r="CU728" s="1494">
        <f t="shared" si="21"/>
        <v>7</v>
      </c>
      <c r="CV728" s="1494"/>
      <c r="CW728" s="1494"/>
      <c r="CX728" s="1494"/>
      <c r="CY728" s="1494"/>
      <c r="CZ728" s="1494">
        <f t="shared" si="22"/>
        <v>0</v>
      </c>
      <c r="DA728" s="1494"/>
      <c r="DB728" s="1494"/>
      <c r="DC728" s="1494"/>
      <c r="DD728" s="1494"/>
      <c r="DE728" s="1494">
        <f t="shared" si="23"/>
        <v>0</v>
      </c>
      <c r="DF728" s="1494"/>
      <c r="DG728" s="1494"/>
      <c r="DH728" s="1494"/>
      <c r="DI728" s="1494"/>
      <c r="DJ728" s="1494">
        <f t="shared" si="24"/>
        <v>0</v>
      </c>
      <c r="DK728" s="1494"/>
      <c r="DL728" s="1494"/>
      <c r="DM728" s="1494"/>
      <c r="DN728" s="1494"/>
      <c r="DO728" s="1494">
        <f t="shared" si="25"/>
        <v>0</v>
      </c>
      <c r="DP728" s="1494"/>
      <c r="DQ728" s="1494"/>
      <c r="DR728" s="1494"/>
      <c r="DS728" s="1494"/>
      <c r="DT728" s="257"/>
      <c r="DU728" s="1502">
        <f t="shared" si="26"/>
        <v>0</v>
      </c>
      <c r="DV728" s="1502"/>
      <c r="DW728" s="1502"/>
      <c r="DX728" s="1502"/>
      <c r="DY728" s="1502"/>
      <c r="DZ728" s="1502">
        <f t="shared" si="27"/>
        <v>0</v>
      </c>
      <c r="EA728" s="1502"/>
      <c r="EB728" s="1502"/>
      <c r="EC728" s="1502"/>
      <c r="ED728" s="1502"/>
      <c r="EE728" s="1502">
        <f t="shared" si="28"/>
        <v>0</v>
      </c>
      <c r="EF728" s="1502"/>
      <c r="EG728" s="1502"/>
      <c r="EH728" s="1502"/>
      <c r="EI728" s="1502"/>
      <c r="EJ728" s="1502">
        <f t="shared" si="29"/>
        <v>0</v>
      </c>
      <c r="EK728" s="1502"/>
      <c r="EL728" s="1502"/>
      <c r="EM728" s="1502"/>
      <c r="EN728" s="1502"/>
      <c r="EO728" s="1502">
        <f t="shared" si="30"/>
        <v>0</v>
      </c>
      <c r="EP728" s="1502"/>
      <c r="EQ728" s="1502"/>
      <c r="ER728" s="1502"/>
      <c r="ES728" s="1502"/>
      <c r="ET728" s="1502">
        <f t="shared" si="31"/>
        <v>0</v>
      </c>
      <c r="EU728" s="1502"/>
      <c r="EV728" s="1502"/>
      <c r="EW728" s="1502"/>
      <c r="EX728" s="1502"/>
      <c r="EZ728" s="1499" t="str">
        <f t="shared" si="32"/>
        <v/>
      </c>
      <c r="FA728" s="1501"/>
      <c r="FB728" s="1501"/>
      <c r="FC728" s="1501"/>
      <c r="FD728" s="1500"/>
      <c r="FE728" s="1499">
        <f t="shared" si="33"/>
        <v>720</v>
      </c>
      <c r="FF728" s="1501"/>
      <c r="FG728" s="1501"/>
      <c r="FH728" s="1501"/>
      <c r="FI728" s="1500"/>
      <c r="FJ728" s="1499" t="str">
        <f t="shared" si="34"/>
        <v/>
      </c>
      <c r="FK728" s="1501"/>
      <c r="FL728" s="1501"/>
      <c r="FM728" s="1501"/>
      <c r="FN728" s="1500"/>
      <c r="FO728" s="1499" t="str">
        <f t="shared" si="35"/>
        <v/>
      </c>
      <c r="FP728" s="1501"/>
      <c r="FQ728" s="1501"/>
      <c r="FR728" s="1501"/>
      <c r="FS728" s="1500"/>
      <c r="FT728" s="1499" t="str">
        <f t="shared" si="36"/>
        <v/>
      </c>
      <c r="FU728" s="1501"/>
      <c r="FV728" s="1501"/>
      <c r="FW728" s="1501"/>
      <c r="FX728" s="1500"/>
      <c r="FY728" s="1499" t="str">
        <f t="shared" si="37"/>
        <v/>
      </c>
      <c r="FZ728" s="1501"/>
      <c r="GA728" s="1501"/>
      <c r="GB728" s="1501"/>
      <c r="GC728" s="1500"/>
    </row>
    <row r="729" spans="1:185" ht="12.95" customHeight="1">
      <c r="B729" s="1377" t="s">
        <v>846</v>
      </c>
      <c r="C729" s="1378"/>
      <c r="D729" s="1378"/>
      <c r="E729" s="1378"/>
      <c r="F729" s="1379"/>
      <c r="G729" s="1405">
        <v>1</v>
      </c>
      <c r="H729" s="1406">
        <v>1</v>
      </c>
      <c r="I729" s="1406">
        <v>1</v>
      </c>
      <c r="J729" s="1407">
        <v>1</v>
      </c>
      <c r="K729" s="1412">
        <v>1027</v>
      </c>
      <c r="L729" s="1413"/>
      <c r="M729" s="1413"/>
      <c r="N729" s="1414"/>
      <c r="O729" s="1387">
        <v>720</v>
      </c>
      <c r="P729" s="1388"/>
      <c r="Q729" s="1388"/>
      <c r="R729" s="1388"/>
      <c r="S729" s="1389"/>
      <c r="T729" s="1387">
        <v>161</v>
      </c>
      <c r="U729" s="1388">
        <v>161</v>
      </c>
      <c r="V729" s="1388">
        <v>161</v>
      </c>
      <c r="W729" s="1389">
        <v>161</v>
      </c>
      <c r="X729" s="1433">
        <f t="shared" si="10"/>
        <v>881</v>
      </c>
      <c r="Y729" s="1434"/>
      <c r="Z729" s="1434"/>
      <c r="AA729" s="1434"/>
      <c r="AB729" s="1435"/>
      <c r="AC729" s="1429">
        <v>0.8</v>
      </c>
      <c r="AD729" s="1430">
        <v>0.8</v>
      </c>
      <c r="AE729" s="1430">
        <v>0.8</v>
      </c>
      <c r="AF729" s="1430">
        <v>0.8</v>
      </c>
      <c r="AG729" s="1431">
        <v>0.8</v>
      </c>
      <c r="AH729" s="1408">
        <f t="shared" si="38"/>
        <v>0.5</v>
      </c>
      <c r="AI729" s="1409"/>
      <c r="AJ729" s="1410"/>
      <c r="AK729" s="1377" t="s">
        <v>826</v>
      </c>
      <c r="AL729" s="1378"/>
      <c r="AM729" s="1378"/>
      <c r="AN729" s="1378"/>
      <c r="AO729" s="1379"/>
      <c r="AP729" s="3"/>
      <c r="AQ729" s="3"/>
      <c r="AR729" s="3"/>
      <c r="AS729" s="3"/>
      <c r="AY729" s="85"/>
      <c r="AZ729" s="84">
        <f t="shared" si="11"/>
        <v>1762</v>
      </c>
      <c r="BA729" s="3"/>
      <c r="BB729" s="3"/>
      <c r="BC729" s="3"/>
      <c r="BD729" s="3"/>
      <c r="BE729" s="136"/>
      <c r="BF729" s="203">
        <f t="shared" si="12"/>
        <v>1</v>
      </c>
      <c r="BG729" s="206">
        <f t="shared" si="13"/>
        <v>2.8571428571428571E-2</v>
      </c>
      <c r="BH729" s="207">
        <f t="shared" si="14"/>
        <v>2.2857142857142857E-2</v>
      </c>
      <c r="BI729" s="3"/>
      <c r="BJ729" s="3"/>
      <c r="BK729" s="3"/>
      <c r="BL729" s="3"/>
      <c r="BM729" s="3"/>
      <c r="BN729" s="3"/>
      <c r="BS729" s="203">
        <f t="shared" si="15"/>
        <v>1</v>
      </c>
      <c r="BT729" s="206">
        <f t="shared" si="16"/>
        <v>2.8571428571428571E-2</v>
      </c>
      <c r="BU729" s="207">
        <f t="shared" si="17"/>
        <v>1.4285714285714285E-2</v>
      </c>
      <c r="CC729" s="3"/>
      <c r="CD729" s="3"/>
      <c r="CE729" s="3"/>
      <c r="CF729" s="3"/>
      <c r="CG729" s="1499">
        <f t="shared" si="39"/>
        <v>0</v>
      </c>
      <c r="CH729" s="1500"/>
      <c r="CI729" s="1499">
        <f t="shared" si="40"/>
        <v>0</v>
      </c>
      <c r="CJ729" s="1500"/>
      <c r="CK729" s="1499">
        <f t="shared" si="18"/>
        <v>0</v>
      </c>
      <c r="CL729" s="1500"/>
      <c r="CM729" s="1499">
        <f t="shared" si="19"/>
        <v>0</v>
      </c>
      <c r="CN729" s="1500"/>
      <c r="CO729" s="3"/>
      <c r="CP729" s="1496">
        <f t="shared" si="20"/>
        <v>0</v>
      </c>
      <c r="CQ729" s="1497"/>
      <c r="CR729" s="1497"/>
      <c r="CS729" s="1497"/>
      <c r="CT729" s="1498"/>
      <c r="CU729" s="1494">
        <f t="shared" si="21"/>
        <v>1</v>
      </c>
      <c r="CV729" s="1494"/>
      <c r="CW729" s="1494"/>
      <c r="CX729" s="1494"/>
      <c r="CY729" s="1494"/>
      <c r="CZ729" s="1494">
        <f t="shared" si="22"/>
        <v>0</v>
      </c>
      <c r="DA729" s="1494"/>
      <c r="DB729" s="1494"/>
      <c r="DC729" s="1494"/>
      <c r="DD729" s="1494"/>
      <c r="DE729" s="1494">
        <f t="shared" si="23"/>
        <v>0</v>
      </c>
      <c r="DF729" s="1494"/>
      <c r="DG729" s="1494"/>
      <c r="DH729" s="1494"/>
      <c r="DI729" s="1494"/>
      <c r="DJ729" s="1494">
        <f t="shared" si="24"/>
        <v>0</v>
      </c>
      <c r="DK729" s="1494"/>
      <c r="DL729" s="1494"/>
      <c r="DM729" s="1494"/>
      <c r="DN729" s="1494"/>
      <c r="DO729" s="1494">
        <f t="shared" si="25"/>
        <v>0</v>
      </c>
      <c r="DP729" s="1494"/>
      <c r="DQ729" s="1494"/>
      <c r="DR729" s="1494"/>
      <c r="DS729" s="1494"/>
      <c r="DT729" s="257"/>
      <c r="DU729" s="1502">
        <f t="shared" si="26"/>
        <v>0</v>
      </c>
      <c r="DV729" s="1502"/>
      <c r="DW729" s="1502"/>
      <c r="DX729" s="1502"/>
      <c r="DY729" s="1502"/>
      <c r="DZ729" s="1502">
        <f t="shared" si="27"/>
        <v>0</v>
      </c>
      <c r="EA729" s="1502"/>
      <c r="EB729" s="1502"/>
      <c r="EC729" s="1502"/>
      <c r="ED729" s="1502"/>
      <c r="EE729" s="1502">
        <f t="shared" si="28"/>
        <v>0</v>
      </c>
      <c r="EF729" s="1502"/>
      <c r="EG729" s="1502"/>
      <c r="EH729" s="1502"/>
      <c r="EI729" s="1502"/>
      <c r="EJ729" s="1502">
        <f t="shared" si="29"/>
        <v>0</v>
      </c>
      <c r="EK729" s="1502"/>
      <c r="EL729" s="1502"/>
      <c r="EM729" s="1502"/>
      <c r="EN729" s="1502"/>
      <c r="EO729" s="1502">
        <f t="shared" si="30"/>
        <v>0</v>
      </c>
      <c r="EP729" s="1502"/>
      <c r="EQ729" s="1502"/>
      <c r="ER729" s="1502"/>
      <c r="ES729" s="1502"/>
      <c r="ET729" s="1502">
        <f t="shared" si="31"/>
        <v>0</v>
      </c>
      <c r="EU729" s="1502"/>
      <c r="EV729" s="1502"/>
      <c r="EW729" s="1502"/>
      <c r="EX729" s="1502"/>
      <c r="EZ729" s="1499" t="str">
        <f t="shared" si="32"/>
        <v/>
      </c>
      <c r="FA729" s="1501"/>
      <c r="FB729" s="1501"/>
      <c r="FC729" s="1501"/>
      <c r="FD729" s="1500"/>
      <c r="FE729" s="1499">
        <f t="shared" si="33"/>
        <v>720</v>
      </c>
      <c r="FF729" s="1501"/>
      <c r="FG729" s="1501"/>
      <c r="FH729" s="1501"/>
      <c r="FI729" s="1500"/>
      <c r="FJ729" s="1499" t="str">
        <f t="shared" si="34"/>
        <v/>
      </c>
      <c r="FK729" s="1501"/>
      <c r="FL729" s="1501"/>
      <c r="FM729" s="1501"/>
      <c r="FN729" s="1500"/>
      <c r="FO729" s="1499" t="str">
        <f t="shared" si="35"/>
        <v/>
      </c>
      <c r="FP729" s="1501"/>
      <c r="FQ729" s="1501"/>
      <c r="FR729" s="1501"/>
      <c r="FS729" s="1500"/>
      <c r="FT729" s="1499" t="str">
        <f t="shared" si="36"/>
        <v/>
      </c>
      <c r="FU729" s="1501"/>
      <c r="FV729" s="1501"/>
      <c r="FW729" s="1501"/>
      <c r="FX729" s="1500"/>
      <c r="FY729" s="1499" t="str">
        <f t="shared" si="37"/>
        <v/>
      </c>
      <c r="FZ729" s="1501"/>
      <c r="GA729" s="1501"/>
      <c r="GB729" s="1501"/>
      <c r="GC729" s="1500"/>
    </row>
    <row r="730" spans="1:185" ht="12.95" customHeight="1">
      <c r="B730" s="1377" t="s">
        <v>848</v>
      </c>
      <c r="C730" s="1378"/>
      <c r="D730" s="1378"/>
      <c r="E730" s="1378"/>
      <c r="F730" s="1379"/>
      <c r="G730" s="1405">
        <v>2</v>
      </c>
      <c r="H730" s="1406">
        <v>2</v>
      </c>
      <c r="I730" s="1406">
        <v>2</v>
      </c>
      <c r="J730" s="1407">
        <v>2</v>
      </c>
      <c r="K730" s="1412">
        <v>2123</v>
      </c>
      <c r="L730" s="1413"/>
      <c r="M730" s="1413"/>
      <c r="N730" s="1414"/>
      <c r="O730" s="1387">
        <v>451</v>
      </c>
      <c r="P730" s="1388"/>
      <c r="Q730" s="1388"/>
      <c r="R730" s="1388"/>
      <c r="S730" s="1389"/>
      <c r="T730" s="1387">
        <v>281</v>
      </c>
      <c r="U730" s="1388">
        <v>281</v>
      </c>
      <c r="V730" s="1388">
        <v>281</v>
      </c>
      <c r="W730" s="1389">
        <v>281</v>
      </c>
      <c r="X730" s="1433">
        <f t="shared" si="10"/>
        <v>732</v>
      </c>
      <c r="Y730" s="1434"/>
      <c r="Z730" s="1434"/>
      <c r="AA730" s="1434"/>
      <c r="AB730" s="1435"/>
      <c r="AC730" s="1429">
        <v>0.3</v>
      </c>
      <c r="AD730" s="1430">
        <v>0.3</v>
      </c>
      <c r="AE730" s="1430">
        <v>0.3</v>
      </c>
      <c r="AF730" s="1430">
        <v>0.3</v>
      </c>
      <c r="AG730" s="1431">
        <v>0.3</v>
      </c>
      <c r="AH730" s="1408">
        <f t="shared" si="38"/>
        <v>0.29975429975429974</v>
      </c>
      <c r="AI730" s="1409"/>
      <c r="AJ730" s="1410"/>
      <c r="AK730" s="1377" t="s">
        <v>826</v>
      </c>
      <c r="AL730" s="1378"/>
      <c r="AM730" s="1378"/>
      <c r="AN730" s="1378"/>
      <c r="AO730" s="1379"/>
      <c r="AP730" s="3"/>
      <c r="AQ730" s="3"/>
      <c r="AR730" s="3"/>
      <c r="AS730" s="3"/>
      <c r="AY730" s="85"/>
      <c r="AZ730" s="84">
        <f t="shared" si="11"/>
        <v>2442</v>
      </c>
      <c r="BA730" s="3"/>
      <c r="BB730" s="3"/>
      <c r="BC730" s="3"/>
      <c r="BD730" s="3"/>
      <c r="BE730" s="136"/>
      <c r="BF730" s="203">
        <f t="shared" si="12"/>
        <v>2</v>
      </c>
      <c r="BG730" s="206">
        <f t="shared" si="13"/>
        <v>5.7142857142857141E-2</v>
      </c>
      <c r="BH730" s="207">
        <f t="shared" si="14"/>
        <v>1.714285714285714E-2</v>
      </c>
      <c r="BI730" s="3"/>
      <c r="BJ730" s="3"/>
      <c r="BK730" s="3"/>
      <c r="BL730" s="3"/>
      <c r="BM730" s="3"/>
      <c r="BN730" s="3"/>
      <c r="BS730" s="203">
        <f t="shared" si="15"/>
        <v>2</v>
      </c>
      <c r="BT730" s="206">
        <f t="shared" si="16"/>
        <v>5.7142857142857141E-2</v>
      </c>
      <c r="BU730" s="207">
        <f t="shared" si="17"/>
        <v>1.7128817128817128E-2</v>
      </c>
      <c r="CC730" s="3"/>
      <c r="CD730" s="3"/>
      <c r="CE730" s="3"/>
      <c r="CF730" s="3"/>
      <c r="CG730" s="1499">
        <f t="shared" si="39"/>
        <v>0</v>
      </c>
      <c r="CH730" s="1500"/>
      <c r="CI730" s="1499">
        <f t="shared" si="40"/>
        <v>0</v>
      </c>
      <c r="CJ730" s="1500"/>
      <c r="CK730" s="1499">
        <f t="shared" si="18"/>
        <v>1</v>
      </c>
      <c r="CL730" s="1500"/>
      <c r="CM730" s="1499">
        <f t="shared" si="19"/>
        <v>2</v>
      </c>
      <c r="CN730" s="1500"/>
      <c r="CO730" s="3"/>
      <c r="CP730" s="1496">
        <f t="shared" si="20"/>
        <v>0</v>
      </c>
      <c r="CQ730" s="1497"/>
      <c r="CR730" s="1497"/>
      <c r="CS730" s="1497"/>
      <c r="CT730" s="1498"/>
      <c r="CU730" s="1494">
        <f t="shared" si="21"/>
        <v>0</v>
      </c>
      <c r="CV730" s="1494"/>
      <c r="CW730" s="1494"/>
      <c r="CX730" s="1494"/>
      <c r="CY730" s="1494"/>
      <c r="CZ730" s="1494">
        <f t="shared" si="22"/>
        <v>0</v>
      </c>
      <c r="DA730" s="1494"/>
      <c r="DB730" s="1494"/>
      <c r="DC730" s="1494"/>
      <c r="DD730" s="1494"/>
      <c r="DE730" s="1494">
        <f t="shared" si="23"/>
        <v>2</v>
      </c>
      <c r="DF730" s="1494"/>
      <c r="DG730" s="1494"/>
      <c r="DH730" s="1494"/>
      <c r="DI730" s="1494"/>
      <c r="DJ730" s="1494">
        <f t="shared" si="24"/>
        <v>0</v>
      </c>
      <c r="DK730" s="1494"/>
      <c r="DL730" s="1494"/>
      <c r="DM730" s="1494"/>
      <c r="DN730" s="1494"/>
      <c r="DO730" s="1494">
        <f t="shared" si="25"/>
        <v>0</v>
      </c>
      <c r="DP730" s="1494"/>
      <c r="DQ730" s="1494"/>
      <c r="DR730" s="1494"/>
      <c r="DS730" s="1494"/>
      <c r="DT730" s="257"/>
      <c r="DU730" s="1502">
        <f t="shared" si="26"/>
        <v>0</v>
      </c>
      <c r="DV730" s="1502"/>
      <c r="DW730" s="1502"/>
      <c r="DX730" s="1502"/>
      <c r="DY730" s="1502"/>
      <c r="DZ730" s="1502">
        <f t="shared" si="27"/>
        <v>0</v>
      </c>
      <c r="EA730" s="1502"/>
      <c r="EB730" s="1502"/>
      <c r="EC730" s="1502"/>
      <c r="ED730" s="1502"/>
      <c r="EE730" s="1502">
        <f t="shared" si="28"/>
        <v>0</v>
      </c>
      <c r="EF730" s="1502"/>
      <c r="EG730" s="1502"/>
      <c r="EH730" s="1502"/>
      <c r="EI730" s="1502"/>
      <c r="EJ730" s="1502">
        <f t="shared" si="29"/>
        <v>2</v>
      </c>
      <c r="EK730" s="1502"/>
      <c r="EL730" s="1502"/>
      <c r="EM730" s="1502"/>
      <c r="EN730" s="1502"/>
      <c r="EO730" s="1502">
        <f t="shared" si="30"/>
        <v>0</v>
      </c>
      <c r="EP730" s="1502"/>
      <c r="EQ730" s="1502"/>
      <c r="ER730" s="1502"/>
      <c r="ES730" s="1502"/>
      <c r="ET730" s="1502">
        <f t="shared" si="31"/>
        <v>0</v>
      </c>
      <c r="EU730" s="1502"/>
      <c r="EV730" s="1502"/>
      <c r="EW730" s="1502"/>
      <c r="EX730" s="1502"/>
      <c r="EZ730" s="1499" t="str">
        <f t="shared" si="32"/>
        <v/>
      </c>
      <c r="FA730" s="1501"/>
      <c r="FB730" s="1501"/>
      <c r="FC730" s="1501"/>
      <c r="FD730" s="1500"/>
      <c r="FE730" s="1499" t="str">
        <f t="shared" si="33"/>
        <v/>
      </c>
      <c r="FF730" s="1501"/>
      <c r="FG730" s="1501"/>
      <c r="FH730" s="1501"/>
      <c r="FI730" s="1500"/>
      <c r="FJ730" s="1499" t="str">
        <f t="shared" si="34"/>
        <v/>
      </c>
      <c r="FK730" s="1501"/>
      <c r="FL730" s="1501"/>
      <c r="FM730" s="1501"/>
      <c r="FN730" s="1500"/>
      <c r="FO730" s="1499">
        <f t="shared" si="35"/>
        <v>451</v>
      </c>
      <c r="FP730" s="1501"/>
      <c r="FQ730" s="1501"/>
      <c r="FR730" s="1501"/>
      <c r="FS730" s="1500"/>
      <c r="FT730" s="1499" t="str">
        <f t="shared" si="36"/>
        <v/>
      </c>
      <c r="FU730" s="1501"/>
      <c r="FV730" s="1501"/>
      <c r="FW730" s="1501"/>
      <c r="FX730" s="1500"/>
      <c r="FY730" s="1499" t="str">
        <f t="shared" si="37"/>
        <v/>
      </c>
      <c r="FZ730" s="1501"/>
      <c r="GA730" s="1501"/>
      <c r="GB730" s="1501"/>
      <c r="GC730" s="1500"/>
    </row>
    <row r="731" spans="1:185" ht="12.95" customHeight="1">
      <c r="B731" s="1377" t="s">
        <v>848</v>
      </c>
      <c r="C731" s="1378"/>
      <c r="D731" s="1378"/>
      <c r="E731" s="1378"/>
      <c r="F731" s="1379"/>
      <c r="G731" s="1405">
        <v>8</v>
      </c>
      <c r="H731" s="1406">
        <v>8</v>
      </c>
      <c r="I731" s="1406">
        <v>8</v>
      </c>
      <c r="J731" s="1407">
        <v>8</v>
      </c>
      <c r="K731" s="1412">
        <v>2123</v>
      </c>
      <c r="L731" s="1413"/>
      <c r="M731" s="1413"/>
      <c r="N731" s="1414"/>
      <c r="O731" s="1387">
        <v>940</v>
      </c>
      <c r="P731" s="1388"/>
      <c r="Q731" s="1388"/>
      <c r="R731" s="1388"/>
      <c r="S731" s="1389"/>
      <c r="T731" s="1387">
        <v>281</v>
      </c>
      <c r="U731" s="1388">
        <v>281</v>
      </c>
      <c r="V731" s="1388">
        <v>281</v>
      </c>
      <c r="W731" s="1389">
        <v>281</v>
      </c>
      <c r="X731" s="1433">
        <f t="shared" si="10"/>
        <v>1221</v>
      </c>
      <c r="Y731" s="1434"/>
      <c r="Z731" s="1434"/>
      <c r="AA731" s="1434"/>
      <c r="AB731" s="1435"/>
      <c r="AC731" s="1429">
        <v>0.5</v>
      </c>
      <c r="AD731" s="1430">
        <v>0.5</v>
      </c>
      <c r="AE731" s="1430">
        <v>0.5</v>
      </c>
      <c r="AF731" s="1430">
        <v>0.5</v>
      </c>
      <c r="AG731" s="1431">
        <v>0.5</v>
      </c>
      <c r="AH731" s="1408">
        <f t="shared" si="38"/>
        <v>0.5</v>
      </c>
      <c r="AI731" s="1409"/>
      <c r="AJ731" s="1410"/>
      <c r="AK731" s="1377" t="s">
        <v>826</v>
      </c>
      <c r="AL731" s="1378"/>
      <c r="AM731" s="1378"/>
      <c r="AN731" s="1378"/>
      <c r="AO731" s="1379"/>
      <c r="AP731" s="3"/>
      <c r="AQ731" s="3"/>
      <c r="AR731" s="3"/>
      <c r="AS731" s="3"/>
      <c r="AY731" s="85"/>
      <c r="AZ731" s="84">
        <f t="shared" si="11"/>
        <v>2442</v>
      </c>
      <c r="BA731" s="3"/>
      <c r="BB731" s="3"/>
      <c r="BC731" s="3"/>
      <c r="BD731" s="3"/>
      <c r="BE731" s="136"/>
      <c r="BF731" s="203">
        <f t="shared" si="12"/>
        <v>8</v>
      </c>
      <c r="BG731" s="206">
        <f t="shared" si="13"/>
        <v>0.22857142857142856</v>
      </c>
      <c r="BH731" s="207">
        <f t="shared" si="14"/>
        <v>0.11428571428571428</v>
      </c>
      <c r="BI731" s="3"/>
      <c r="BJ731" s="3"/>
      <c r="BK731" s="3"/>
      <c r="BL731" s="3"/>
      <c r="BM731" s="3"/>
      <c r="BN731" s="3"/>
      <c r="BS731" s="203">
        <f t="shared" si="15"/>
        <v>8</v>
      </c>
      <c r="BT731" s="206">
        <f t="shared" si="16"/>
        <v>0.22857142857142856</v>
      </c>
      <c r="BU731" s="207">
        <f t="shared" si="17"/>
        <v>0.11428571428571428</v>
      </c>
      <c r="CC731" s="3"/>
      <c r="CD731" s="3"/>
      <c r="CE731" s="3"/>
      <c r="CF731" s="3"/>
      <c r="CG731" s="1499">
        <f t="shared" si="39"/>
        <v>1</v>
      </c>
      <c r="CH731" s="1500"/>
      <c r="CI731" s="1499">
        <f t="shared" si="40"/>
        <v>8</v>
      </c>
      <c r="CJ731" s="1500"/>
      <c r="CK731" s="1499">
        <f t="shared" si="18"/>
        <v>0</v>
      </c>
      <c r="CL731" s="1500"/>
      <c r="CM731" s="1499">
        <f t="shared" si="19"/>
        <v>0</v>
      </c>
      <c r="CN731" s="1500"/>
      <c r="CO731" s="3"/>
      <c r="CP731" s="1496">
        <f t="shared" si="20"/>
        <v>0</v>
      </c>
      <c r="CQ731" s="1497"/>
      <c r="CR731" s="1497"/>
      <c r="CS731" s="1497"/>
      <c r="CT731" s="1498"/>
      <c r="CU731" s="1494">
        <f t="shared" si="21"/>
        <v>0</v>
      </c>
      <c r="CV731" s="1494"/>
      <c r="CW731" s="1494"/>
      <c r="CX731" s="1494"/>
      <c r="CY731" s="1494"/>
      <c r="CZ731" s="1494">
        <f t="shared" si="22"/>
        <v>0</v>
      </c>
      <c r="DA731" s="1494"/>
      <c r="DB731" s="1494"/>
      <c r="DC731" s="1494"/>
      <c r="DD731" s="1494"/>
      <c r="DE731" s="1494">
        <f t="shared" si="23"/>
        <v>8</v>
      </c>
      <c r="DF731" s="1494"/>
      <c r="DG731" s="1494"/>
      <c r="DH731" s="1494"/>
      <c r="DI731" s="1494"/>
      <c r="DJ731" s="1494">
        <f t="shared" si="24"/>
        <v>0</v>
      </c>
      <c r="DK731" s="1494"/>
      <c r="DL731" s="1494"/>
      <c r="DM731" s="1494"/>
      <c r="DN731" s="1494"/>
      <c r="DO731" s="1494">
        <f t="shared" si="25"/>
        <v>0</v>
      </c>
      <c r="DP731" s="1494"/>
      <c r="DQ731" s="1494"/>
      <c r="DR731" s="1494"/>
      <c r="DS731" s="1494"/>
      <c r="DT731" s="257"/>
      <c r="DU731" s="1502">
        <f t="shared" si="26"/>
        <v>0</v>
      </c>
      <c r="DV731" s="1502"/>
      <c r="DW731" s="1502"/>
      <c r="DX731" s="1502"/>
      <c r="DY731" s="1502"/>
      <c r="DZ731" s="1502">
        <f t="shared" si="27"/>
        <v>0</v>
      </c>
      <c r="EA731" s="1502"/>
      <c r="EB731" s="1502"/>
      <c r="EC731" s="1502"/>
      <c r="ED731" s="1502"/>
      <c r="EE731" s="1502">
        <f t="shared" si="28"/>
        <v>0</v>
      </c>
      <c r="EF731" s="1502"/>
      <c r="EG731" s="1502"/>
      <c r="EH731" s="1502"/>
      <c r="EI731" s="1502"/>
      <c r="EJ731" s="1502">
        <f t="shared" si="29"/>
        <v>0</v>
      </c>
      <c r="EK731" s="1502"/>
      <c r="EL731" s="1502"/>
      <c r="EM731" s="1502"/>
      <c r="EN731" s="1502"/>
      <c r="EO731" s="1502">
        <f t="shared" si="30"/>
        <v>0</v>
      </c>
      <c r="EP731" s="1502"/>
      <c r="EQ731" s="1502"/>
      <c r="ER731" s="1502"/>
      <c r="ES731" s="1502"/>
      <c r="ET731" s="1502">
        <f t="shared" si="31"/>
        <v>0</v>
      </c>
      <c r="EU731" s="1502"/>
      <c r="EV731" s="1502"/>
      <c r="EW731" s="1502"/>
      <c r="EX731" s="1502"/>
      <c r="EZ731" s="1499" t="str">
        <f t="shared" si="32"/>
        <v/>
      </c>
      <c r="FA731" s="1501"/>
      <c r="FB731" s="1501"/>
      <c r="FC731" s="1501"/>
      <c r="FD731" s="1500"/>
      <c r="FE731" s="1499" t="str">
        <f t="shared" si="33"/>
        <v/>
      </c>
      <c r="FF731" s="1501"/>
      <c r="FG731" s="1501"/>
      <c r="FH731" s="1501"/>
      <c r="FI731" s="1500"/>
      <c r="FJ731" s="1499" t="str">
        <f t="shared" si="34"/>
        <v/>
      </c>
      <c r="FK731" s="1501"/>
      <c r="FL731" s="1501"/>
      <c r="FM731" s="1501"/>
      <c r="FN731" s="1500"/>
      <c r="FO731" s="1499">
        <f t="shared" si="35"/>
        <v>940</v>
      </c>
      <c r="FP731" s="1501"/>
      <c r="FQ731" s="1501"/>
      <c r="FR731" s="1501"/>
      <c r="FS731" s="1500"/>
      <c r="FT731" s="1499" t="str">
        <f t="shared" si="36"/>
        <v/>
      </c>
      <c r="FU731" s="1501"/>
      <c r="FV731" s="1501"/>
      <c r="FW731" s="1501"/>
      <c r="FX731" s="1500"/>
      <c r="FY731" s="1499" t="str">
        <f t="shared" si="37"/>
        <v/>
      </c>
      <c r="FZ731" s="1501"/>
      <c r="GA731" s="1501"/>
      <c r="GB731" s="1501"/>
      <c r="GC731" s="1500"/>
    </row>
    <row r="732" spans="1:185" ht="12.95" customHeight="1">
      <c r="B732" s="1377" t="s">
        <v>848</v>
      </c>
      <c r="C732" s="1378"/>
      <c r="D732" s="1378"/>
      <c r="E732" s="1378"/>
      <c r="F732" s="1379"/>
      <c r="G732" s="1405">
        <v>11</v>
      </c>
      <c r="H732" s="1406">
        <v>11</v>
      </c>
      <c r="I732" s="1406">
        <v>11</v>
      </c>
      <c r="J732" s="1407">
        <v>11</v>
      </c>
      <c r="K732" s="1412">
        <v>2123</v>
      </c>
      <c r="L732" s="1413"/>
      <c r="M732" s="1413"/>
      <c r="N732" s="1414"/>
      <c r="O732" s="1387">
        <v>940</v>
      </c>
      <c r="P732" s="1388"/>
      <c r="Q732" s="1388"/>
      <c r="R732" s="1388"/>
      <c r="S732" s="1389"/>
      <c r="T732" s="1387">
        <v>281</v>
      </c>
      <c r="U732" s="1388">
        <v>281</v>
      </c>
      <c r="V732" s="1388">
        <v>281</v>
      </c>
      <c r="W732" s="1389">
        <v>281</v>
      </c>
      <c r="X732" s="1433">
        <f t="shared" si="10"/>
        <v>1221</v>
      </c>
      <c r="Y732" s="1434"/>
      <c r="Z732" s="1434"/>
      <c r="AA732" s="1434"/>
      <c r="AB732" s="1435"/>
      <c r="AC732" s="1429">
        <v>0.6</v>
      </c>
      <c r="AD732" s="1430">
        <v>0.6</v>
      </c>
      <c r="AE732" s="1430">
        <v>0.6</v>
      </c>
      <c r="AF732" s="1430">
        <v>0.6</v>
      </c>
      <c r="AG732" s="1431">
        <v>0.6</v>
      </c>
      <c r="AH732" s="1408">
        <f t="shared" si="38"/>
        <v>0.5</v>
      </c>
      <c r="AI732" s="1409"/>
      <c r="AJ732" s="1410"/>
      <c r="AK732" s="1377" t="s">
        <v>826</v>
      </c>
      <c r="AL732" s="1378"/>
      <c r="AM732" s="1378"/>
      <c r="AN732" s="1378"/>
      <c r="AO732" s="1379"/>
      <c r="AP732" s="3"/>
      <c r="AQ732" s="3"/>
      <c r="AR732" s="3"/>
      <c r="AS732" s="3"/>
      <c r="AY732" s="85"/>
      <c r="AZ732" s="84">
        <f t="shared" si="11"/>
        <v>2442</v>
      </c>
      <c r="BA732" s="3"/>
      <c r="BB732" s="3"/>
      <c r="BC732" s="3"/>
      <c r="BD732" s="3"/>
      <c r="BE732" s="136"/>
      <c r="BF732" s="203">
        <f t="shared" si="12"/>
        <v>11</v>
      </c>
      <c r="BG732" s="206">
        <f t="shared" si="13"/>
        <v>0.31428571428571428</v>
      </c>
      <c r="BH732" s="207">
        <f t="shared" si="14"/>
        <v>0.18857142857142856</v>
      </c>
      <c r="BI732" s="3"/>
      <c r="BJ732" s="3"/>
      <c r="BK732" s="3"/>
      <c r="BL732" s="3"/>
      <c r="BM732" s="3"/>
      <c r="BN732" s="3"/>
      <c r="BS732" s="203">
        <f t="shared" si="15"/>
        <v>11</v>
      </c>
      <c r="BT732" s="206">
        <f t="shared" si="16"/>
        <v>0.31428571428571428</v>
      </c>
      <c r="BU732" s="207">
        <f t="shared" si="17"/>
        <v>0.15714285714285714</v>
      </c>
      <c r="CC732" s="3"/>
      <c r="CE732" s="3"/>
      <c r="CF732" s="3"/>
      <c r="CG732" s="1499">
        <f t="shared" si="39"/>
        <v>0</v>
      </c>
      <c r="CH732" s="1500"/>
      <c r="CI732" s="1499">
        <f t="shared" si="40"/>
        <v>0</v>
      </c>
      <c r="CJ732" s="1500"/>
      <c r="CK732" s="1499">
        <f t="shared" si="18"/>
        <v>0</v>
      </c>
      <c r="CL732" s="1500"/>
      <c r="CM732" s="1499">
        <f t="shared" si="19"/>
        <v>0</v>
      </c>
      <c r="CN732" s="1500"/>
      <c r="CO732" s="3"/>
      <c r="CP732" s="1496">
        <f t="shared" si="20"/>
        <v>0</v>
      </c>
      <c r="CQ732" s="1497"/>
      <c r="CR732" s="1497"/>
      <c r="CS732" s="1497"/>
      <c r="CT732" s="1498"/>
      <c r="CU732" s="1494">
        <f t="shared" si="21"/>
        <v>0</v>
      </c>
      <c r="CV732" s="1494"/>
      <c r="CW732" s="1494"/>
      <c r="CX732" s="1494"/>
      <c r="CY732" s="1494"/>
      <c r="CZ732" s="1494">
        <f t="shared" si="22"/>
        <v>0</v>
      </c>
      <c r="DA732" s="1494"/>
      <c r="DB732" s="1494"/>
      <c r="DC732" s="1494"/>
      <c r="DD732" s="1494"/>
      <c r="DE732" s="1494">
        <f t="shared" si="23"/>
        <v>11</v>
      </c>
      <c r="DF732" s="1494"/>
      <c r="DG732" s="1494"/>
      <c r="DH732" s="1494"/>
      <c r="DI732" s="1494"/>
      <c r="DJ732" s="1494">
        <f t="shared" si="24"/>
        <v>0</v>
      </c>
      <c r="DK732" s="1494"/>
      <c r="DL732" s="1494"/>
      <c r="DM732" s="1494"/>
      <c r="DN732" s="1494"/>
      <c r="DO732" s="1494">
        <f t="shared" si="25"/>
        <v>0</v>
      </c>
      <c r="DP732" s="1494"/>
      <c r="DQ732" s="1494"/>
      <c r="DR732" s="1494"/>
      <c r="DS732" s="1494"/>
      <c r="DT732" s="257"/>
      <c r="DU732" s="1502">
        <f t="shared" si="26"/>
        <v>0</v>
      </c>
      <c r="DV732" s="1502"/>
      <c r="DW732" s="1502"/>
      <c r="DX732" s="1502"/>
      <c r="DY732" s="1502"/>
      <c r="DZ732" s="1502">
        <f t="shared" si="27"/>
        <v>0</v>
      </c>
      <c r="EA732" s="1502"/>
      <c r="EB732" s="1502"/>
      <c r="EC732" s="1502"/>
      <c r="ED732" s="1502"/>
      <c r="EE732" s="1502">
        <f t="shared" si="28"/>
        <v>0</v>
      </c>
      <c r="EF732" s="1502"/>
      <c r="EG732" s="1502"/>
      <c r="EH732" s="1502"/>
      <c r="EI732" s="1502"/>
      <c r="EJ732" s="1502">
        <f t="shared" si="29"/>
        <v>0</v>
      </c>
      <c r="EK732" s="1502"/>
      <c r="EL732" s="1502"/>
      <c r="EM732" s="1502"/>
      <c r="EN732" s="1502"/>
      <c r="EO732" s="1502">
        <f t="shared" si="30"/>
        <v>0</v>
      </c>
      <c r="EP732" s="1502"/>
      <c r="EQ732" s="1502"/>
      <c r="ER732" s="1502"/>
      <c r="ES732" s="1502"/>
      <c r="ET732" s="1502">
        <f t="shared" si="31"/>
        <v>0</v>
      </c>
      <c r="EU732" s="1502"/>
      <c r="EV732" s="1502"/>
      <c r="EW732" s="1502"/>
      <c r="EX732" s="1502"/>
      <c r="EZ732" s="1499" t="str">
        <f t="shared" si="32"/>
        <v/>
      </c>
      <c r="FA732" s="1501"/>
      <c r="FB732" s="1501"/>
      <c r="FC732" s="1501"/>
      <c r="FD732" s="1500"/>
      <c r="FE732" s="1499" t="str">
        <f t="shared" si="33"/>
        <v/>
      </c>
      <c r="FF732" s="1501"/>
      <c r="FG732" s="1501"/>
      <c r="FH732" s="1501"/>
      <c r="FI732" s="1500"/>
      <c r="FJ732" s="1499" t="str">
        <f t="shared" si="34"/>
        <v/>
      </c>
      <c r="FK732" s="1501"/>
      <c r="FL732" s="1501"/>
      <c r="FM732" s="1501"/>
      <c r="FN732" s="1500"/>
      <c r="FO732" s="1499">
        <f t="shared" si="35"/>
        <v>940</v>
      </c>
      <c r="FP732" s="1501"/>
      <c r="FQ732" s="1501"/>
      <c r="FR732" s="1501"/>
      <c r="FS732" s="1500"/>
      <c r="FT732" s="1499" t="str">
        <f t="shared" si="36"/>
        <v/>
      </c>
      <c r="FU732" s="1501"/>
      <c r="FV732" s="1501"/>
      <c r="FW732" s="1501"/>
      <c r="FX732" s="1500"/>
      <c r="FY732" s="1499" t="str">
        <f t="shared" si="37"/>
        <v/>
      </c>
      <c r="FZ732" s="1501"/>
      <c r="GA732" s="1501"/>
      <c r="GB732" s="1501"/>
      <c r="GC732" s="1500"/>
    </row>
    <row r="733" spans="1:185" ht="12.95" customHeight="1">
      <c r="B733" s="1377" t="s">
        <v>848</v>
      </c>
      <c r="C733" s="1378"/>
      <c r="D733" s="1378"/>
      <c r="E733" s="1378"/>
      <c r="F733" s="1379"/>
      <c r="G733" s="1405">
        <v>2</v>
      </c>
      <c r="H733" s="1406">
        <v>2</v>
      </c>
      <c r="I733" s="1406">
        <v>2</v>
      </c>
      <c r="J733" s="1407">
        <v>2</v>
      </c>
      <c r="K733" s="1412">
        <v>2123</v>
      </c>
      <c r="L733" s="1413"/>
      <c r="M733" s="1413"/>
      <c r="N733" s="1414"/>
      <c r="O733" s="1387">
        <v>940</v>
      </c>
      <c r="P733" s="1388"/>
      <c r="Q733" s="1388"/>
      <c r="R733" s="1388"/>
      <c r="S733" s="1389"/>
      <c r="T733" s="1387">
        <v>281</v>
      </c>
      <c r="U733" s="1388">
        <v>281</v>
      </c>
      <c r="V733" s="1388">
        <v>281</v>
      </c>
      <c r="W733" s="1389">
        <v>281</v>
      </c>
      <c r="X733" s="1433">
        <f t="shared" si="10"/>
        <v>1221</v>
      </c>
      <c r="Y733" s="1434"/>
      <c r="Z733" s="1434"/>
      <c r="AA733" s="1434"/>
      <c r="AB733" s="1435"/>
      <c r="AC733" s="1429">
        <v>0.8</v>
      </c>
      <c r="AD733" s="1430">
        <v>0.8</v>
      </c>
      <c r="AE733" s="1430">
        <v>0.8</v>
      </c>
      <c r="AF733" s="1430">
        <v>0.8</v>
      </c>
      <c r="AG733" s="1431">
        <v>0.8</v>
      </c>
      <c r="AH733" s="1408">
        <f t="shared" si="38"/>
        <v>0.5</v>
      </c>
      <c r="AI733" s="1409"/>
      <c r="AJ733" s="1410"/>
      <c r="AK733" s="1377" t="s">
        <v>826</v>
      </c>
      <c r="AL733" s="1378"/>
      <c r="AM733" s="1378"/>
      <c r="AN733" s="1378"/>
      <c r="AO733" s="1379"/>
      <c r="AP733" s="3"/>
      <c r="AQ733" s="3"/>
      <c r="AR733" s="3"/>
      <c r="AS733" s="3"/>
      <c r="AY733" s="852"/>
      <c r="AZ733" s="84">
        <f t="shared" si="11"/>
        <v>2442</v>
      </c>
      <c r="BA733" s="3"/>
      <c r="BB733" s="3"/>
      <c r="BC733" s="3"/>
      <c r="BD733" s="3"/>
      <c r="BE733" s="136"/>
      <c r="BF733" s="203">
        <f t="shared" si="12"/>
        <v>2</v>
      </c>
      <c r="BG733" s="206">
        <f t="shared" si="13"/>
        <v>5.7142857142857141E-2</v>
      </c>
      <c r="BH733" s="207">
        <f t="shared" si="14"/>
        <v>4.5714285714285714E-2</v>
      </c>
      <c r="BI733" s="3"/>
      <c r="BJ733" s="3"/>
      <c r="BK733" s="3"/>
      <c r="BL733" s="3"/>
      <c r="BM733" s="3"/>
      <c r="BN733" s="3"/>
      <c r="BS733" s="203">
        <f t="shared" si="15"/>
        <v>2</v>
      </c>
      <c r="BT733" s="206">
        <f t="shared" si="16"/>
        <v>5.7142857142857141E-2</v>
      </c>
      <c r="BU733" s="207">
        <f t="shared" si="17"/>
        <v>2.8571428571428571E-2</v>
      </c>
      <c r="BV733" s="1177"/>
      <c r="BW733" s="3"/>
      <c r="BX733" s="3"/>
      <c r="BY733" s="3"/>
      <c r="BZ733" s="3"/>
      <c r="CA733" s="3"/>
      <c r="CB733" s="3"/>
      <c r="CC733" s="3"/>
      <c r="CE733" s="3"/>
      <c r="CF733" s="3"/>
      <c r="CG733" s="1499">
        <f t="shared" si="39"/>
        <v>0</v>
      </c>
      <c r="CH733" s="1500"/>
      <c r="CI733" s="1499">
        <f t="shared" si="40"/>
        <v>0</v>
      </c>
      <c r="CJ733" s="1500"/>
      <c r="CK733" s="1499">
        <f t="shared" si="18"/>
        <v>0</v>
      </c>
      <c r="CL733" s="1500"/>
      <c r="CM733" s="1499">
        <f t="shared" si="19"/>
        <v>0</v>
      </c>
      <c r="CN733" s="1500"/>
      <c r="CO733" s="3"/>
      <c r="CP733" s="1496">
        <f t="shared" si="20"/>
        <v>0</v>
      </c>
      <c r="CQ733" s="1497"/>
      <c r="CR733" s="1497"/>
      <c r="CS733" s="1497"/>
      <c r="CT733" s="1498"/>
      <c r="CU733" s="1494">
        <f t="shared" si="21"/>
        <v>0</v>
      </c>
      <c r="CV733" s="1494"/>
      <c r="CW733" s="1494"/>
      <c r="CX733" s="1494"/>
      <c r="CY733" s="1494"/>
      <c r="CZ733" s="1494">
        <f t="shared" si="22"/>
        <v>0</v>
      </c>
      <c r="DA733" s="1494"/>
      <c r="DB733" s="1494"/>
      <c r="DC733" s="1494"/>
      <c r="DD733" s="1494"/>
      <c r="DE733" s="1494">
        <f t="shared" si="23"/>
        <v>2</v>
      </c>
      <c r="DF733" s="1494"/>
      <c r="DG733" s="1494"/>
      <c r="DH733" s="1494"/>
      <c r="DI733" s="1494"/>
      <c r="DJ733" s="1494">
        <f t="shared" si="24"/>
        <v>0</v>
      </c>
      <c r="DK733" s="1494"/>
      <c r="DL733" s="1494"/>
      <c r="DM733" s="1494"/>
      <c r="DN733" s="1494"/>
      <c r="DO733" s="1494">
        <f t="shared" si="25"/>
        <v>0</v>
      </c>
      <c r="DP733" s="1494"/>
      <c r="DQ733" s="1494"/>
      <c r="DR733" s="1494"/>
      <c r="DS733" s="1494"/>
      <c r="DT733" s="257"/>
      <c r="DU733" s="1502">
        <f t="shared" si="26"/>
        <v>0</v>
      </c>
      <c r="DV733" s="1502"/>
      <c r="DW733" s="1502"/>
      <c r="DX733" s="1502"/>
      <c r="DY733" s="1502"/>
      <c r="DZ733" s="1502">
        <f t="shared" si="27"/>
        <v>0</v>
      </c>
      <c r="EA733" s="1502"/>
      <c r="EB733" s="1502"/>
      <c r="EC733" s="1502"/>
      <c r="ED733" s="1502"/>
      <c r="EE733" s="1502">
        <f t="shared" si="28"/>
        <v>0</v>
      </c>
      <c r="EF733" s="1502"/>
      <c r="EG733" s="1502"/>
      <c r="EH733" s="1502"/>
      <c r="EI733" s="1502"/>
      <c r="EJ733" s="1502">
        <f t="shared" si="29"/>
        <v>0</v>
      </c>
      <c r="EK733" s="1502"/>
      <c r="EL733" s="1502"/>
      <c r="EM733" s="1502"/>
      <c r="EN733" s="1502"/>
      <c r="EO733" s="1502">
        <f t="shared" si="30"/>
        <v>0</v>
      </c>
      <c r="EP733" s="1502"/>
      <c r="EQ733" s="1502"/>
      <c r="ER733" s="1502"/>
      <c r="ES733" s="1502"/>
      <c r="ET733" s="1502">
        <f t="shared" si="31"/>
        <v>0</v>
      </c>
      <c r="EU733" s="1502"/>
      <c r="EV733" s="1502"/>
      <c r="EW733" s="1502"/>
      <c r="EX733" s="1502"/>
      <c r="EZ733" s="1499" t="str">
        <f t="shared" si="32"/>
        <v/>
      </c>
      <c r="FA733" s="1501"/>
      <c r="FB733" s="1501"/>
      <c r="FC733" s="1501"/>
      <c r="FD733" s="1500"/>
      <c r="FE733" s="1499" t="str">
        <f t="shared" si="33"/>
        <v/>
      </c>
      <c r="FF733" s="1501"/>
      <c r="FG733" s="1501"/>
      <c r="FH733" s="1501"/>
      <c r="FI733" s="1500"/>
      <c r="FJ733" s="1499" t="str">
        <f t="shared" si="34"/>
        <v/>
      </c>
      <c r="FK733" s="1501"/>
      <c r="FL733" s="1501"/>
      <c r="FM733" s="1501"/>
      <c r="FN733" s="1500"/>
      <c r="FO733" s="1499">
        <f t="shared" si="35"/>
        <v>940</v>
      </c>
      <c r="FP733" s="1501"/>
      <c r="FQ733" s="1501"/>
      <c r="FR733" s="1501"/>
      <c r="FS733" s="1500"/>
      <c r="FT733" s="1499" t="str">
        <f t="shared" si="36"/>
        <v/>
      </c>
      <c r="FU733" s="1501"/>
      <c r="FV733" s="1501"/>
      <c r="FW733" s="1501"/>
      <c r="FX733" s="1500"/>
      <c r="FY733" s="1499" t="str">
        <f t="shared" si="37"/>
        <v/>
      </c>
      <c r="FZ733" s="1501"/>
      <c r="GA733" s="1501"/>
      <c r="GB733" s="1501"/>
      <c r="GC733" s="1500"/>
    </row>
    <row r="734" spans="1:185" ht="12.95" customHeight="1">
      <c r="B734" s="1377"/>
      <c r="C734" s="1378"/>
      <c r="D734" s="1378"/>
      <c r="E734" s="1378"/>
      <c r="F734" s="1379"/>
      <c r="G734" s="1405"/>
      <c r="H734" s="1406"/>
      <c r="I734" s="1406"/>
      <c r="J734" s="1407"/>
      <c r="K734" s="1412"/>
      <c r="L734" s="1413"/>
      <c r="M734" s="1413"/>
      <c r="N734" s="1414"/>
      <c r="O734" s="1387"/>
      <c r="P734" s="1388"/>
      <c r="Q734" s="1388"/>
      <c r="R734" s="1388"/>
      <c r="S734" s="1389"/>
      <c r="T734" s="1387"/>
      <c r="U734" s="1388"/>
      <c r="V734" s="1388"/>
      <c r="W734" s="1389"/>
      <c r="X734" s="1433">
        <f t="shared" si="10"/>
        <v>0</v>
      </c>
      <c r="Y734" s="1434"/>
      <c r="Z734" s="1434"/>
      <c r="AA734" s="1434"/>
      <c r="AB734" s="1435"/>
      <c r="AC734" s="1429"/>
      <c r="AD734" s="1430"/>
      <c r="AE734" s="1430"/>
      <c r="AF734" s="1430"/>
      <c r="AG734" s="1431"/>
      <c r="AH734" s="1408" t="str">
        <f t="shared" si="38"/>
        <v/>
      </c>
      <c r="AI734" s="1409"/>
      <c r="AJ734" s="1410"/>
      <c r="AK734" s="1377" t="s">
        <v>826</v>
      </c>
      <c r="AL734" s="1378"/>
      <c r="AM734" s="1378"/>
      <c r="AN734" s="1378"/>
      <c r="AO734" s="1379"/>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499">
        <f t="shared" si="39"/>
        <v>0</v>
      </c>
      <c r="CH734" s="1500"/>
      <c r="CI734" s="1499">
        <f t="shared" si="40"/>
        <v>0</v>
      </c>
      <c r="CJ734" s="1500"/>
      <c r="CK734" s="1499">
        <f t="shared" si="18"/>
        <v>0</v>
      </c>
      <c r="CL734" s="1500"/>
      <c r="CM734" s="1499">
        <f t="shared" si="19"/>
        <v>0</v>
      </c>
      <c r="CN734" s="1500"/>
      <c r="CO734" s="3"/>
      <c r="CP734" s="1496">
        <f t="shared" si="20"/>
        <v>0</v>
      </c>
      <c r="CQ734" s="1497"/>
      <c r="CR734" s="1497"/>
      <c r="CS734" s="1497"/>
      <c r="CT734" s="1498"/>
      <c r="CU734" s="1494">
        <f t="shared" si="21"/>
        <v>0</v>
      </c>
      <c r="CV734" s="1494"/>
      <c r="CW734" s="1494"/>
      <c r="CX734" s="1494"/>
      <c r="CY734" s="1494"/>
      <c r="CZ734" s="1494">
        <f t="shared" si="22"/>
        <v>0</v>
      </c>
      <c r="DA734" s="1494"/>
      <c r="DB734" s="1494"/>
      <c r="DC734" s="1494"/>
      <c r="DD734" s="1494"/>
      <c r="DE734" s="1494">
        <f t="shared" si="23"/>
        <v>0</v>
      </c>
      <c r="DF734" s="1494"/>
      <c r="DG734" s="1494"/>
      <c r="DH734" s="1494"/>
      <c r="DI734" s="1494"/>
      <c r="DJ734" s="1494">
        <f t="shared" si="24"/>
        <v>0</v>
      </c>
      <c r="DK734" s="1494"/>
      <c r="DL734" s="1494"/>
      <c r="DM734" s="1494"/>
      <c r="DN734" s="1494"/>
      <c r="DO734" s="1494">
        <f t="shared" si="25"/>
        <v>0</v>
      </c>
      <c r="DP734" s="1494"/>
      <c r="DQ734" s="1494"/>
      <c r="DR734" s="1494"/>
      <c r="DS734" s="1494"/>
      <c r="DT734" s="257"/>
      <c r="DU734" s="1502">
        <f t="shared" si="26"/>
        <v>0</v>
      </c>
      <c r="DV734" s="1502"/>
      <c r="DW734" s="1502"/>
      <c r="DX734" s="1502"/>
      <c r="DY734" s="1502"/>
      <c r="DZ734" s="1502">
        <f t="shared" si="27"/>
        <v>0</v>
      </c>
      <c r="EA734" s="1502"/>
      <c r="EB734" s="1502"/>
      <c r="EC734" s="1502"/>
      <c r="ED734" s="1502"/>
      <c r="EE734" s="1502">
        <f t="shared" si="28"/>
        <v>0</v>
      </c>
      <c r="EF734" s="1502"/>
      <c r="EG734" s="1502"/>
      <c r="EH734" s="1502"/>
      <c r="EI734" s="1502"/>
      <c r="EJ734" s="1502">
        <f t="shared" si="29"/>
        <v>0</v>
      </c>
      <c r="EK734" s="1502"/>
      <c r="EL734" s="1502"/>
      <c r="EM734" s="1502"/>
      <c r="EN734" s="1502"/>
      <c r="EO734" s="1502">
        <f t="shared" si="30"/>
        <v>0</v>
      </c>
      <c r="EP734" s="1502"/>
      <c r="EQ734" s="1502"/>
      <c r="ER734" s="1502"/>
      <c r="ES734" s="1502"/>
      <c r="ET734" s="1502">
        <f t="shared" si="31"/>
        <v>0</v>
      </c>
      <c r="EU734" s="1502"/>
      <c r="EV734" s="1502"/>
      <c r="EW734" s="1502"/>
      <c r="EX734" s="1502"/>
      <c r="EY734" s="3"/>
      <c r="EZ734" s="1499" t="str">
        <f t="shared" si="32"/>
        <v/>
      </c>
      <c r="FA734" s="1501"/>
      <c r="FB734" s="1501"/>
      <c r="FC734" s="1501"/>
      <c r="FD734" s="1500"/>
      <c r="FE734" s="1499" t="str">
        <f t="shared" si="33"/>
        <v/>
      </c>
      <c r="FF734" s="1501"/>
      <c r="FG734" s="1501"/>
      <c r="FH734" s="1501"/>
      <c r="FI734" s="1500"/>
      <c r="FJ734" s="1499" t="str">
        <f t="shared" si="34"/>
        <v/>
      </c>
      <c r="FK734" s="1501"/>
      <c r="FL734" s="1501"/>
      <c r="FM734" s="1501"/>
      <c r="FN734" s="1500"/>
      <c r="FO734" s="1499" t="str">
        <f t="shared" si="35"/>
        <v/>
      </c>
      <c r="FP734" s="1501"/>
      <c r="FQ734" s="1501"/>
      <c r="FR734" s="1501"/>
      <c r="FS734" s="1500"/>
      <c r="FT734" s="1499" t="str">
        <f t="shared" si="36"/>
        <v/>
      </c>
      <c r="FU734" s="1501"/>
      <c r="FV734" s="1501"/>
      <c r="FW734" s="1501"/>
      <c r="FX734" s="1500"/>
      <c r="FY734" s="1499" t="str">
        <f t="shared" si="37"/>
        <v/>
      </c>
      <c r="FZ734" s="1501"/>
      <c r="GA734" s="1501"/>
      <c r="GB734" s="1501"/>
      <c r="GC734" s="1500"/>
    </row>
    <row r="735" spans="1:185" ht="12.95" customHeight="1">
      <c r="A735" s="3"/>
      <c r="B735" s="1377"/>
      <c r="C735" s="1378"/>
      <c r="D735" s="1378"/>
      <c r="E735" s="1378"/>
      <c r="F735" s="1379"/>
      <c r="G735" s="1405"/>
      <c r="H735" s="1406"/>
      <c r="I735" s="1406"/>
      <c r="J735" s="1407"/>
      <c r="K735" s="1412"/>
      <c r="L735" s="1413"/>
      <c r="M735" s="1413"/>
      <c r="N735" s="1414"/>
      <c r="O735" s="1387"/>
      <c r="P735" s="1388"/>
      <c r="Q735" s="1388"/>
      <c r="R735" s="1388"/>
      <c r="S735" s="1389"/>
      <c r="T735" s="1387"/>
      <c r="U735" s="1388"/>
      <c r="V735" s="1388"/>
      <c r="W735" s="1389"/>
      <c r="X735" s="1433">
        <f t="shared" si="10"/>
        <v>0</v>
      </c>
      <c r="Y735" s="1434"/>
      <c r="Z735" s="1434"/>
      <c r="AA735" s="1434"/>
      <c r="AB735" s="1435"/>
      <c r="AC735" s="1429"/>
      <c r="AD735" s="1430"/>
      <c r="AE735" s="1430"/>
      <c r="AF735" s="1430"/>
      <c r="AG735" s="1431"/>
      <c r="AH735" s="1408" t="str">
        <f t="shared" si="38"/>
        <v/>
      </c>
      <c r="AI735" s="1409"/>
      <c r="AJ735" s="1410"/>
      <c r="AK735" s="1377" t="s">
        <v>826</v>
      </c>
      <c r="AL735" s="1378"/>
      <c r="AM735" s="1378"/>
      <c r="AN735" s="1378"/>
      <c r="AO735" s="1379"/>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499">
        <f t="shared" si="39"/>
        <v>0</v>
      </c>
      <c r="CH735" s="1500"/>
      <c r="CI735" s="1499">
        <f t="shared" si="40"/>
        <v>0</v>
      </c>
      <c r="CJ735" s="1500"/>
      <c r="CK735" s="1499">
        <f t="shared" si="18"/>
        <v>0</v>
      </c>
      <c r="CL735" s="1500"/>
      <c r="CM735" s="1499">
        <f t="shared" si="19"/>
        <v>0</v>
      </c>
      <c r="CN735" s="1500"/>
      <c r="CO735" s="3"/>
      <c r="CP735" s="1496">
        <f t="shared" si="20"/>
        <v>0</v>
      </c>
      <c r="CQ735" s="1497"/>
      <c r="CR735" s="1497"/>
      <c r="CS735" s="1497"/>
      <c r="CT735" s="1498"/>
      <c r="CU735" s="1494">
        <f t="shared" si="21"/>
        <v>0</v>
      </c>
      <c r="CV735" s="1494"/>
      <c r="CW735" s="1494"/>
      <c r="CX735" s="1494"/>
      <c r="CY735" s="1494"/>
      <c r="CZ735" s="1494">
        <f t="shared" si="22"/>
        <v>0</v>
      </c>
      <c r="DA735" s="1494"/>
      <c r="DB735" s="1494"/>
      <c r="DC735" s="1494"/>
      <c r="DD735" s="1494"/>
      <c r="DE735" s="1494">
        <f t="shared" si="23"/>
        <v>0</v>
      </c>
      <c r="DF735" s="1494"/>
      <c r="DG735" s="1494"/>
      <c r="DH735" s="1494"/>
      <c r="DI735" s="1494"/>
      <c r="DJ735" s="1494">
        <f t="shared" si="24"/>
        <v>0</v>
      </c>
      <c r="DK735" s="1494"/>
      <c r="DL735" s="1494"/>
      <c r="DM735" s="1494"/>
      <c r="DN735" s="1494"/>
      <c r="DO735" s="1494">
        <f t="shared" si="25"/>
        <v>0</v>
      </c>
      <c r="DP735" s="1494"/>
      <c r="DQ735" s="1494"/>
      <c r="DR735" s="1494"/>
      <c r="DS735" s="1494"/>
      <c r="DT735" s="257"/>
      <c r="DU735" s="1502">
        <f t="shared" si="26"/>
        <v>0</v>
      </c>
      <c r="DV735" s="1502"/>
      <c r="DW735" s="1502"/>
      <c r="DX735" s="1502"/>
      <c r="DY735" s="1502"/>
      <c r="DZ735" s="1502">
        <f t="shared" si="27"/>
        <v>0</v>
      </c>
      <c r="EA735" s="1502"/>
      <c r="EB735" s="1502"/>
      <c r="EC735" s="1502"/>
      <c r="ED735" s="1502"/>
      <c r="EE735" s="1502">
        <f t="shared" si="28"/>
        <v>0</v>
      </c>
      <c r="EF735" s="1502"/>
      <c r="EG735" s="1502"/>
      <c r="EH735" s="1502"/>
      <c r="EI735" s="1502"/>
      <c r="EJ735" s="1502">
        <f t="shared" si="29"/>
        <v>0</v>
      </c>
      <c r="EK735" s="1502"/>
      <c r="EL735" s="1502"/>
      <c r="EM735" s="1502"/>
      <c r="EN735" s="1502"/>
      <c r="EO735" s="1502">
        <f t="shared" si="30"/>
        <v>0</v>
      </c>
      <c r="EP735" s="1502"/>
      <c r="EQ735" s="1502"/>
      <c r="ER735" s="1502"/>
      <c r="ES735" s="1502"/>
      <c r="ET735" s="1502">
        <f t="shared" si="31"/>
        <v>0</v>
      </c>
      <c r="EU735" s="1502"/>
      <c r="EV735" s="1502"/>
      <c r="EW735" s="1502"/>
      <c r="EX735" s="1502"/>
      <c r="EY735" s="3"/>
      <c r="EZ735" s="1499" t="str">
        <f t="shared" si="32"/>
        <v/>
      </c>
      <c r="FA735" s="1501"/>
      <c r="FB735" s="1501"/>
      <c r="FC735" s="1501"/>
      <c r="FD735" s="1500"/>
      <c r="FE735" s="1499" t="str">
        <f t="shared" si="33"/>
        <v/>
      </c>
      <c r="FF735" s="1501"/>
      <c r="FG735" s="1501"/>
      <c r="FH735" s="1501"/>
      <c r="FI735" s="1500"/>
      <c r="FJ735" s="1499" t="str">
        <f t="shared" si="34"/>
        <v/>
      </c>
      <c r="FK735" s="1501"/>
      <c r="FL735" s="1501"/>
      <c r="FM735" s="1501"/>
      <c r="FN735" s="1500"/>
      <c r="FO735" s="1499" t="str">
        <f t="shared" si="35"/>
        <v/>
      </c>
      <c r="FP735" s="1501"/>
      <c r="FQ735" s="1501"/>
      <c r="FR735" s="1501"/>
      <c r="FS735" s="1500"/>
      <c r="FT735" s="1499" t="str">
        <f t="shared" si="36"/>
        <v/>
      </c>
      <c r="FU735" s="1501"/>
      <c r="FV735" s="1501"/>
      <c r="FW735" s="1501"/>
      <c r="FX735" s="1500"/>
      <c r="FY735" s="1499" t="str">
        <f t="shared" si="37"/>
        <v/>
      </c>
      <c r="FZ735" s="1501"/>
      <c r="GA735" s="1501"/>
      <c r="GB735" s="1501"/>
      <c r="GC735" s="1500"/>
    </row>
    <row r="736" spans="1:185" ht="12.95" customHeight="1">
      <c r="A736" s="3"/>
      <c r="B736" s="1377"/>
      <c r="C736" s="1378"/>
      <c r="D736" s="1378"/>
      <c r="E736" s="1378"/>
      <c r="F736" s="1379"/>
      <c r="G736" s="1405"/>
      <c r="H736" s="1406"/>
      <c r="I736" s="1406"/>
      <c r="J736" s="1407"/>
      <c r="K736" s="1412"/>
      <c r="L736" s="1413"/>
      <c r="M736" s="1413"/>
      <c r="N736" s="1414"/>
      <c r="O736" s="1387"/>
      <c r="P736" s="1388"/>
      <c r="Q736" s="1388"/>
      <c r="R736" s="1388"/>
      <c r="S736" s="1389"/>
      <c r="T736" s="1387"/>
      <c r="U736" s="1388"/>
      <c r="V736" s="1388"/>
      <c r="W736" s="1389"/>
      <c r="X736" s="1433">
        <f t="shared" si="10"/>
        <v>0</v>
      </c>
      <c r="Y736" s="1434"/>
      <c r="Z736" s="1434"/>
      <c r="AA736" s="1434"/>
      <c r="AB736" s="1435"/>
      <c r="AC736" s="1429"/>
      <c r="AD736" s="1430"/>
      <c r="AE736" s="1430"/>
      <c r="AF736" s="1430"/>
      <c r="AG736" s="1431"/>
      <c r="AH736" s="1408" t="str">
        <f t="shared" si="38"/>
        <v/>
      </c>
      <c r="AI736" s="1409"/>
      <c r="AJ736" s="1410"/>
      <c r="AK736" s="1377" t="s">
        <v>826</v>
      </c>
      <c r="AL736" s="1378"/>
      <c r="AM736" s="1378"/>
      <c r="AN736" s="1378"/>
      <c r="AO736" s="1379"/>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499">
        <f t="shared" si="39"/>
        <v>0</v>
      </c>
      <c r="CH736" s="1500"/>
      <c r="CI736" s="1499">
        <f t="shared" si="40"/>
        <v>0</v>
      </c>
      <c r="CJ736" s="1500"/>
      <c r="CK736" s="1499">
        <f t="shared" si="18"/>
        <v>0</v>
      </c>
      <c r="CL736" s="1500"/>
      <c r="CM736" s="1499">
        <f t="shared" si="19"/>
        <v>0</v>
      </c>
      <c r="CN736" s="1500"/>
      <c r="CO736" s="3"/>
      <c r="CP736" s="1496">
        <f t="shared" si="20"/>
        <v>0</v>
      </c>
      <c r="CQ736" s="1497"/>
      <c r="CR736" s="1497"/>
      <c r="CS736" s="1497"/>
      <c r="CT736" s="1498"/>
      <c r="CU736" s="1494">
        <f t="shared" si="21"/>
        <v>0</v>
      </c>
      <c r="CV736" s="1494"/>
      <c r="CW736" s="1494"/>
      <c r="CX736" s="1494"/>
      <c r="CY736" s="1494"/>
      <c r="CZ736" s="1494">
        <f t="shared" si="22"/>
        <v>0</v>
      </c>
      <c r="DA736" s="1494"/>
      <c r="DB736" s="1494"/>
      <c r="DC736" s="1494"/>
      <c r="DD736" s="1494"/>
      <c r="DE736" s="1494">
        <f t="shared" si="23"/>
        <v>0</v>
      </c>
      <c r="DF736" s="1494"/>
      <c r="DG736" s="1494"/>
      <c r="DH736" s="1494"/>
      <c r="DI736" s="1494"/>
      <c r="DJ736" s="1494">
        <f t="shared" si="24"/>
        <v>0</v>
      </c>
      <c r="DK736" s="1494"/>
      <c r="DL736" s="1494"/>
      <c r="DM736" s="1494"/>
      <c r="DN736" s="1494"/>
      <c r="DO736" s="1494">
        <f t="shared" si="25"/>
        <v>0</v>
      </c>
      <c r="DP736" s="1494"/>
      <c r="DQ736" s="1494"/>
      <c r="DR736" s="1494"/>
      <c r="DS736" s="1494"/>
      <c r="DT736" s="257"/>
      <c r="DU736" s="1502">
        <f t="shared" si="26"/>
        <v>0</v>
      </c>
      <c r="DV736" s="1502"/>
      <c r="DW736" s="1502"/>
      <c r="DX736" s="1502"/>
      <c r="DY736" s="1502"/>
      <c r="DZ736" s="1502">
        <f t="shared" si="27"/>
        <v>0</v>
      </c>
      <c r="EA736" s="1502"/>
      <c r="EB736" s="1502"/>
      <c r="EC736" s="1502"/>
      <c r="ED736" s="1502"/>
      <c r="EE736" s="1502">
        <f t="shared" si="28"/>
        <v>0</v>
      </c>
      <c r="EF736" s="1502"/>
      <c r="EG736" s="1502"/>
      <c r="EH736" s="1502"/>
      <c r="EI736" s="1502"/>
      <c r="EJ736" s="1502">
        <f t="shared" si="29"/>
        <v>0</v>
      </c>
      <c r="EK736" s="1502"/>
      <c r="EL736" s="1502"/>
      <c r="EM736" s="1502"/>
      <c r="EN736" s="1502"/>
      <c r="EO736" s="1502">
        <f t="shared" si="30"/>
        <v>0</v>
      </c>
      <c r="EP736" s="1502"/>
      <c r="EQ736" s="1502"/>
      <c r="ER736" s="1502"/>
      <c r="ES736" s="1502"/>
      <c r="ET736" s="1502">
        <f t="shared" si="31"/>
        <v>0</v>
      </c>
      <c r="EU736" s="1502"/>
      <c r="EV736" s="1502"/>
      <c r="EW736" s="1502"/>
      <c r="EX736" s="1502"/>
      <c r="EY736" s="3"/>
      <c r="EZ736" s="1499" t="str">
        <f t="shared" si="32"/>
        <v/>
      </c>
      <c r="FA736" s="1501"/>
      <c r="FB736" s="1501"/>
      <c r="FC736" s="1501"/>
      <c r="FD736" s="1500"/>
      <c r="FE736" s="1499" t="str">
        <f t="shared" si="33"/>
        <v/>
      </c>
      <c r="FF736" s="1501"/>
      <c r="FG736" s="1501"/>
      <c r="FH736" s="1501"/>
      <c r="FI736" s="1500"/>
      <c r="FJ736" s="1499" t="str">
        <f t="shared" si="34"/>
        <v/>
      </c>
      <c r="FK736" s="1501"/>
      <c r="FL736" s="1501"/>
      <c r="FM736" s="1501"/>
      <c r="FN736" s="1500"/>
      <c r="FO736" s="1499" t="str">
        <f t="shared" si="35"/>
        <v/>
      </c>
      <c r="FP736" s="1501"/>
      <c r="FQ736" s="1501"/>
      <c r="FR736" s="1501"/>
      <c r="FS736" s="1500"/>
      <c r="FT736" s="1499" t="str">
        <f t="shared" si="36"/>
        <v/>
      </c>
      <c r="FU736" s="1501"/>
      <c r="FV736" s="1501"/>
      <c r="FW736" s="1501"/>
      <c r="FX736" s="1500"/>
      <c r="FY736" s="1499" t="str">
        <f t="shared" si="37"/>
        <v/>
      </c>
      <c r="FZ736" s="1501"/>
      <c r="GA736" s="1501"/>
      <c r="GB736" s="1501"/>
      <c r="GC736" s="1500"/>
    </row>
    <row r="737" spans="1:185" ht="12.95" customHeight="1">
      <c r="A737" s="3"/>
      <c r="B737" s="1377"/>
      <c r="C737" s="1378"/>
      <c r="D737" s="1378"/>
      <c r="E737" s="1378"/>
      <c r="F737" s="1379"/>
      <c r="G737" s="1405"/>
      <c r="H737" s="1406"/>
      <c r="I737" s="1406"/>
      <c r="J737" s="1407"/>
      <c r="K737" s="1412"/>
      <c r="L737" s="1413"/>
      <c r="M737" s="1413"/>
      <c r="N737" s="1414"/>
      <c r="O737" s="1387"/>
      <c r="P737" s="1388"/>
      <c r="Q737" s="1388"/>
      <c r="R737" s="1388"/>
      <c r="S737" s="1389"/>
      <c r="T737" s="1387"/>
      <c r="U737" s="1388"/>
      <c r="V737" s="1388"/>
      <c r="W737" s="1389"/>
      <c r="X737" s="1433">
        <f t="shared" si="10"/>
        <v>0</v>
      </c>
      <c r="Y737" s="1434"/>
      <c r="Z737" s="1434"/>
      <c r="AA737" s="1434"/>
      <c r="AB737" s="1435"/>
      <c r="AC737" s="1429"/>
      <c r="AD737" s="1430"/>
      <c r="AE737" s="1430"/>
      <c r="AF737" s="1430"/>
      <c r="AG737" s="1431"/>
      <c r="AH737" s="1408" t="str">
        <f t="shared" si="38"/>
        <v/>
      </c>
      <c r="AI737" s="1409"/>
      <c r="AJ737" s="1410"/>
      <c r="AK737" s="1377" t="s">
        <v>826</v>
      </c>
      <c r="AL737" s="1378"/>
      <c r="AM737" s="1378"/>
      <c r="AN737" s="1378"/>
      <c r="AO737" s="1379"/>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499">
        <f t="shared" si="39"/>
        <v>0</v>
      </c>
      <c r="CH737" s="1500"/>
      <c r="CI737" s="1499">
        <f t="shared" si="40"/>
        <v>0</v>
      </c>
      <c r="CJ737" s="1500"/>
      <c r="CK737" s="1499">
        <f t="shared" si="18"/>
        <v>0</v>
      </c>
      <c r="CL737" s="1500"/>
      <c r="CM737" s="1499">
        <f t="shared" si="19"/>
        <v>0</v>
      </c>
      <c r="CN737" s="1500"/>
      <c r="CO737" s="3"/>
      <c r="CP737" s="1496">
        <f t="shared" si="20"/>
        <v>0</v>
      </c>
      <c r="CQ737" s="1497"/>
      <c r="CR737" s="1497"/>
      <c r="CS737" s="1497"/>
      <c r="CT737" s="1498"/>
      <c r="CU737" s="1494">
        <f t="shared" si="21"/>
        <v>0</v>
      </c>
      <c r="CV737" s="1494"/>
      <c r="CW737" s="1494"/>
      <c r="CX737" s="1494"/>
      <c r="CY737" s="1494"/>
      <c r="CZ737" s="1494">
        <f t="shared" si="22"/>
        <v>0</v>
      </c>
      <c r="DA737" s="1494"/>
      <c r="DB737" s="1494"/>
      <c r="DC737" s="1494"/>
      <c r="DD737" s="1494"/>
      <c r="DE737" s="1494">
        <f t="shared" si="23"/>
        <v>0</v>
      </c>
      <c r="DF737" s="1494"/>
      <c r="DG737" s="1494"/>
      <c r="DH737" s="1494"/>
      <c r="DI737" s="1494"/>
      <c r="DJ737" s="1494">
        <f t="shared" si="24"/>
        <v>0</v>
      </c>
      <c r="DK737" s="1494"/>
      <c r="DL737" s="1494"/>
      <c r="DM737" s="1494"/>
      <c r="DN737" s="1494"/>
      <c r="DO737" s="1494">
        <f t="shared" si="25"/>
        <v>0</v>
      </c>
      <c r="DP737" s="1494"/>
      <c r="DQ737" s="1494"/>
      <c r="DR737" s="1494"/>
      <c r="DS737" s="1494"/>
      <c r="DT737" s="257"/>
      <c r="DU737" s="1502">
        <f t="shared" si="26"/>
        <v>0</v>
      </c>
      <c r="DV737" s="1502"/>
      <c r="DW737" s="1502"/>
      <c r="DX737" s="1502"/>
      <c r="DY737" s="1502"/>
      <c r="DZ737" s="1502">
        <f t="shared" si="27"/>
        <v>0</v>
      </c>
      <c r="EA737" s="1502"/>
      <c r="EB737" s="1502"/>
      <c r="EC737" s="1502"/>
      <c r="ED737" s="1502"/>
      <c r="EE737" s="1502">
        <f t="shared" si="28"/>
        <v>0</v>
      </c>
      <c r="EF737" s="1502"/>
      <c r="EG737" s="1502"/>
      <c r="EH737" s="1502"/>
      <c r="EI737" s="1502"/>
      <c r="EJ737" s="1502">
        <f t="shared" si="29"/>
        <v>0</v>
      </c>
      <c r="EK737" s="1502"/>
      <c r="EL737" s="1502"/>
      <c r="EM737" s="1502"/>
      <c r="EN737" s="1502"/>
      <c r="EO737" s="1502">
        <f t="shared" si="30"/>
        <v>0</v>
      </c>
      <c r="EP737" s="1502"/>
      <c r="EQ737" s="1502"/>
      <c r="ER737" s="1502"/>
      <c r="ES737" s="1502"/>
      <c r="ET737" s="1502">
        <f t="shared" si="31"/>
        <v>0</v>
      </c>
      <c r="EU737" s="1502"/>
      <c r="EV737" s="1502"/>
      <c r="EW737" s="1502"/>
      <c r="EX737" s="1502"/>
      <c r="EZ737" s="1499" t="str">
        <f t="shared" si="32"/>
        <v/>
      </c>
      <c r="FA737" s="1501"/>
      <c r="FB737" s="1501"/>
      <c r="FC737" s="1501"/>
      <c r="FD737" s="1500"/>
      <c r="FE737" s="1499" t="str">
        <f t="shared" si="33"/>
        <v/>
      </c>
      <c r="FF737" s="1501"/>
      <c r="FG737" s="1501"/>
      <c r="FH737" s="1501"/>
      <c r="FI737" s="1500"/>
      <c r="FJ737" s="1499" t="str">
        <f t="shared" si="34"/>
        <v/>
      </c>
      <c r="FK737" s="1501"/>
      <c r="FL737" s="1501"/>
      <c r="FM737" s="1501"/>
      <c r="FN737" s="1500"/>
      <c r="FO737" s="1499" t="str">
        <f t="shared" si="35"/>
        <v/>
      </c>
      <c r="FP737" s="1501"/>
      <c r="FQ737" s="1501"/>
      <c r="FR737" s="1501"/>
      <c r="FS737" s="1500"/>
      <c r="FT737" s="1499" t="str">
        <f t="shared" si="36"/>
        <v/>
      </c>
      <c r="FU737" s="1501"/>
      <c r="FV737" s="1501"/>
      <c r="FW737" s="1501"/>
      <c r="FX737" s="1500"/>
      <c r="FY737" s="1499" t="str">
        <f t="shared" si="37"/>
        <v/>
      </c>
      <c r="FZ737" s="1501"/>
      <c r="GA737" s="1501"/>
      <c r="GB737" s="1501"/>
      <c r="GC737" s="1500"/>
    </row>
    <row r="738" spans="1:185" ht="12.95" customHeight="1">
      <c r="B738" s="1377"/>
      <c r="C738" s="1378"/>
      <c r="D738" s="1378"/>
      <c r="E738" s="1378"/>
      <c r="F738" s="1379"/>
      <c r="G738" s="1405"/>
      <c r="H738" s="1406"/>
      <c r="I738" s="1406"/>
      <c r="J738" s="1407"/>
      <c r="K738" s="1412"/>
      <c r="L738" s="1413"/>
      <c r="M738" s="1413"/>
      <c r="N738" s="1414"/>
      <c r="O738" s="1387"/>
      <c r="P738" s="1388"/>
      <c r="Q738" s="1388"/>
      <c r="R738" s="1388"/>
      <c r="S738" s="1389"/>
      <c r="T738" s="1387"/>
      <c r="U738" s="1388"/>
      <c r="V738" s="1388"/>
      <c r="W738" s="1389"/>
      <c r="X738" s="1433">
        <f t="shared" si="10"/>
        <v>0</v>
      </c>
      <c r="Y738" s="1434"/>
      <c r="Z738" s="1434"/>
      <c r="AA738" s="1434"/>
      <c r="AB738" s="1435"/>
      <c r="AC738" s="1429"/>
      <c r="AD738" s="1430"/>
      <c r="AE738" s="1430"/>
      <c r="AF738" s="1430"/>
      <c r="AG738" s="1431"/>
      <c r="AH738" s="1408" t="str">
        <f t="shared" si="38"/>
        <v/>
      </c>
      <c r="AI738" s="1409"/>
      <c r="AJ738" s="1410"/>
      <c r="AK738" s="1377" t="s">
        <v>826</v>
      </c>
      <c r="AL738" s="1378"/>
      <c r="AM738" s="1378"/>
      <c r="AN738" s="1378"/>
      <c r="AO738" s="1379"/>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499">
        <f t="shared" si="39"/>
        <v>0</v>
      </c>
      <c r="CH738" s="1500"/>
      <c r="CI738" s="1499">
        <f t="shared" si="40"/>
        <v>0</v>
      </c>
      <c r="CJ738" s="1500"/>
      <c r="CK738" s="1499">
        <f t="shared" si="18"/>
        <v>0</v>
      </c>
      <c r="CL738" s="1500"/>
      <c r="CM738" s="1499">
        <f t="shared" si="19"/>
        <v>0</v>
      </c>
      <c r="CN738" s="1500"/>
      <c r="CO738" s="3"/>
      <c r="CP738" s="1496">
        <f t="shared" si="20"/>
        <v>0</v>
      </c>
      <c r="CQ738" s="1497"/>
      <c r="CR738" s="1497"/>
      <c r="CS738" s="1497"/>
      <c r="CT738" s="1498"/>
      <c r="CU738" s="1494">
        <f t="shared" si="21"/>
        <v>0</v>
      </c>
      <c r="CV738" s="1494"/>
      <c r="CW738" s="1494"/>
      <c r="CX738" s="1494"/>
      <c r="CY738" s="1494"/>
      <c r="CZ738" s="1494">
        <f t="shared" si="22"/>
        <v>0</v>
      </c>
      <c r="DA738" s="1494"/>
      <c r="DB738" s="1494"/>
      <c r="DC738" s="1494"/>
      <c r="DD738" s="1494"/>
      <c r="DE738" s="1494">
        <f t="shared" si="23"/>
        <v>0</v>
      </c>
      <c r="DF738" s="1494"/>
      <c r="DG738" s="1494"/>
      <c r="DH738" s="1494"/>
      <c r="DI738" s="1494"/>
      <c r="DJ738" s="1494">
        <f t="shared" si="24"/>
        <v>0</v>
      </c>
      <c r="DK738" s="1494"/>
      <c r="DL738" s="1494"/>
      <c r="DM738" s="1494"/>
      <c r="DN738" s="1494"/>
      <c r="DO738" s="1494">
        <f t="shared" si="25"/>
        <v>0</v>
      </c>
      <c r="DP738" s="1494"/>
      <c r="DQ738" s="1494"/>
      <c r="DR738" s="1494"/>
      <c r="DS738" s="1494"/>
      <c r="DT738" s="257"/>
      <c r="DU738" s="1502">
        <f t="shared" si="26"/>
        <v>0</v>
      </c>
      <c r="DV738" s="1502"/>
      <c r="DW738" s="1502"/>
      <c r="DX738" s="1502"/>
      <c r="DY738" s="1502"/>
      <c r="DZ738" s="1502">
        <f t="shared" si="27"/>
        <v>0</v>
      </c>
      <c r="EA738" s="1502"/>
      <c r="EB738" s="1502"/>
      <c r="EC738" s="1502"/>
      <c r="ED738" s="1502"/>
      <c r="EE738" s="1502">
        <f t="shared" si="28"/>
        <v>0</v>
      </c>
      <c r="EF738" s="1502"/>
      <c r="EG738" s="1502"/>
      <c r="EH738" s="1502"/>
      <c r="EI738" s="1502"/>
      <c r="EJ738" s="1502">
        <f t="shared" si="29"/>
        <v>0</v>
      </c>
      <c r="EK738" s="1502"/>
      <c r="EL738" s="1502"/>
      <c r="EM738" s="1502"/>
      <c r="EN738" s="1502"/>
      <c r="EO738" s="1502">
        <f t="shared" si="30"/>
        <v>0</v>
      </c>
      <c r="EP738" s="1502"/>
      <c r="EQ738" s="1502"/>
      <c r="ER738" s="1502"/>
      <c r="ES738" s="1502"/>
      <c r="ET738" s="1502">
        <f t="shared" si="31"/>
        <v>0</v>
      </c>
      <c r="EU738" s="1502"/>
      <c r="EV738" s="1502"/>
      <c r="EW738" s="1502"/>
      <c r="EX738" s="1502"/>
      <c r="EZ738" s="1499" t="str">
        <f t="shared" si="32"/>
        <v/>
      </c>
      <c r="FA738" s="1501"/>
      <c r="FB738" s="1501"/>
      <c r="FC738" s="1501"/>
      <c r="FD738" s="1500"/>
      <c r="FE738" s="1499" t="str">
        <f t="shared" si="33"/>
        <v/>
      </c>
      <c r="FF738" s="1501"/>
      <c r="FG738" s="1501"/>
      <c r="FH738" s="1501"/>
      <c r="FI738" s="1500"/>
      <c r="FJ738" s="1499" t="str">
        <f t="shared" si="34"/>
        <v/>
      </c>
      <c r="FK738" s="1501"/>
      <c r="FL738" s="1501"/>
      <c r="FM738" s="1501"/>
      <c r="FN738" s="1500"/>
      <c r="FO738" s="1499" t="str">
        <f t="shared" si="35"/>
        <v/>
      </c>
      <c r="FP738" s="1501"/>
      <c r="FQ738" s="1501"/>
      <c r="FR738" s="1501"/>
      <c r="FS738" s="1500"/>
      <c r="FT738" s="1499" t="str">
        <f t="shared" si="36"/>
        <v/>
      </c>
      <c r="FU738" s="1501"/>
      <c r="FV738" s="1501"/>
      <c r="FW738" s="1501"/>
      <c r="FX738" s="1500"/>
      <c r="FY738" s="1499" t="str">
        <f t="shared" si="37"/>
        <v/>
      </c>
      <c r="FZ738" s="1501"/>
      <c r="GA738" s="1501"/>
      <c r="GB738" s="1501"/>
      <c r="GC738" s="1500"/>
    </row>
    <row r="739" spans="1:185" ht="12.95" customHeight="1">
      <c r="B739" s="1377"/>
      <c r="C739" s="1378"/>
      <c r="D739" s="1378"/>
      <c r="E739" s="1378"/>
      <c r="F739" s="1379"/>
      <c r="G739" s="1405"/>
      <c r="H739" s="1406"/>
      <c r="I739" s="1406"/>
      <c r="J739" s="1407"/>
      <c r="K739" s="1412"/>
      <c r="L739" s="1413"/>
      <c r="M739" s="1413"/>
      <c r="N739" s="1414"/>
      <c r="O739" s="1387"/>
      <c r="P739" s="1388"/>
      <c r="Q739" s="1388"/>
      <c r="R739" s="1388"/>
      <c r="S739" s="1389"/>
      <c r="T739" s="1387"/>
      <c r="U739" s="1388"/>
      <c r="V739" s="1388"/>
      <c r="W739" s="1389"/>
      <c r="X739" s="1433">
        <f t="shared" si="10"/>
        <v>0</v>
      </c>
      <c r="Y739" s="1434"/>
      <c r="Z739" s="1434"/>
      <c r="AA739" s="1434"/>
      <c r="AB739" s="1435"/>
      <c r="AC739" s="1429"/>
      <c r="AD739" s="1430"/>
      <c r="AE739" s="1430"/>
      <c r="AF739" s="1430"/>
      <c r="AG739" s="1431"/>
      <c r="AH739" s="1408" t="str">
        <f t="shared" si="38"/>
        <v/>
      </c>
      <c r="AI739" s="1409"/>
      <c r="AJ739" s="1410"/>
      <c r="AK739" s="1377" t="s">
        <v>826</v>
      </c>
      <c r="AL739" s="1378"/>
      <c r="AM739" s="1378"/>
      <c r="AN739" s="1378"/>
      <c r="AO739" s="1379"/>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99">
        <f t="shared" si="39"/>
        <v>0</v>
      </c>
      <c r="CH739" s="1500"/>
      <c r="CI739" s="1499">
        <f t="shared" si="40"/>
        <v>0</v>
      </c>
      <c r="CJ739" s="1500"/>
      <c r="CK739" s="1499">
        <f t="shared" si="18"/>
        <v>0</v>
      </c>
      <c r="CL739" s="1500"/>
      <c r="CM739" s="1499">
        <f t="shared" si="19"/>
        <v>0</v>
      </c>
      <c r="CN739" s="1500"/>
      <c r="CO739" s="3"/>
      <c r="CP739" s="1496">
        <f t="shared" si="20"/>
        <v>0</v>
      </c>
      <c r="CQ739" s="1497"/>
      <c r="CR739" s="1497"/>
      <c r="CS739" s="1497"/>
      <c r="CT739" s="1498"/>
      <c r="CU739" s="1494">
        <f t="shared" si="21"/>
        <v>0</v>
      </c>
      <c r="CV739" s="1494"/>
      <c r="CW739" s="1494"/>
      <c r="CX739" s="1494"/>
      <c r="CY739" s="1494"/>
      <c r="CZ739" s="1494">
        <f t="shared" si="22"/>
        <v>0</v>
      </c>
      <c r="DA739" s="1494"/>
      <c r="DB739" s="1494"/>
      <c r="DC739" s="1494"/>
      <c r="DD739" s="1494"/>
      <c r="DE739" s="1494">
        <f t="shared" si="23"/>
        <v>0</v>
      </c>
      <c r="DF739" s="1494"/>
      <c r="DG739" s="1494"/>
      <c r="DH739" s="1494"/>
      <c r="DI739" s="1494"/>
      <c r="DJ739" s="1494">
        <f t="shared" si="24"/>
        <v>0</v>
      </c>
      <c r="DK739" s="1494"/>
      <c r="DL739" s="1494"/>
      <c r="DM739" s="1494"/>
      <c r="DN739" s="1494"/>
      <c r="DO739" s="1494">
        <f t="shared" si="25"/>
        <v>0</v>
      </c>
      <c r="DP739" s="1494"/>
      <c r="DQ739" s="1494"/>
      <c r="DR739" s="1494"/>
      <c r="DS739" s="1494"/>
      <c r="DT739" s="257"/>
      <c r="DU739" s="1502">
        <f t="shared" si="26"/>
        <v>0</v>
      </c>
      <c r="DV739" s="1502"/>
      <c r="DW739" s="1502"/>
      <c r="DX739" s="1502"/>
      <c r="DY739" s="1502"/>
      <c r="DZ739" s="1502">
        <f t="shared" si="27"/>
        <v>0</v>
      </c>
      <c r="EA739" s="1502"/>
      <c r="EB739" s="1502"/>
      <c r="EC739" s="1502"/>
      <c r="ED739" s="1502"/>
      <c r="EE739" s="1502">
        <f t="shared" si="28"/>
        <v>0</v>
      </c>
      <c r="EF739" s="1502"/>
      <c r="EG739" s="1502"/>
      <c r="EH739" s="1502"/>
      <c r="EI739" s="1502"/>
      <c r="EJ739" s="1502">
        <f t="shared" si="29"/>
        <v>0</v>
      </c>
      <c r="EK739" s="1502"/>
      <c r="EL739" s="1502"/>
      <c r="EM739" s="1502"/>
      <c r="EN739" s="1502"/>
      <c r="EO739" s="1502">
        <f t="shared" si="30"/>
        <v>0</v>
      </c>
      <c r="EP739" s="1502"/>
      <c r="EQ739" s="1502"/>
      <c r="ER739" s="1502"/>
      <c r="ES739" s="1502"/>
      <c r="ET739" s="1502">
        <f t="shared" si="31"/>
        <v>0</v>
      </c>
      <c r="EU739" s="1502"/>
      <c r="EV739" s="1502"/>
      <c r="EW739" s="1502"/>
      <c r="EX739" s="1502"/>
      <c r="EZ739" s="1499" t="str">
        <f t="shared" si="32"/>
        <v/>
      </c>
      <c r="FA739" s="1501"/>
      <c r="FB739" s="1501"/>
      <c r="FC739" s="1501"/>
      <c r="FD739" s="1500"/>
      <c r="FE739" s="1499" t="str">
        <f t="shared" si="33"/>
        <v/>
      </c>
      <c r="FF739" s="1501"/>
      <c r="FG739" s="1501"/>
      <c r="FH739" s="1501"/>
      <c r="FI739" s="1500"/>
      <c r="FJ739" s="1499" t="str">
        <f t="shared" si="34"/>
        <v/>
      </c>
      <c r="FK739" s="1501"/>
      <c r="FL739" s="1501"/>
      <c r="FM739" s="1501"/>
      <c r="FN739" s="1500"/>
      <c r="FO739" s="1499" t="str">
        <f t="shared" si="35"/>
        <v/>
      </c>
      <c r="FP739" s="1501"/>
      <c r="FQ739" s="1501"/>
      <c r="FR739" s="1501"/>
      <c r="FS739" s="1500"/>
      <c r="FT739" s="1499" t="str">
        <f t="shared" si="36"/>
        <v/>
      </c>
      <c r="FU739" s="1501"/>
      <c r="FV739" s="1501"/>
      <c r="FW739" s="1501"/>
      <c r="FX739" s="1500"/>
      <c r="FY739" s="1499" t="str">
        <f t="shared" si="37"/>
        <v/>
      </c>
      <c r="FZ739" s="1501"/>
      <c r="GA739" s="1501"/>
      <c r="GB739" s="1501"/>
      <c r="GC739" s="1500"/>
    </row>
    <row r="740" spans="1:185" ht="12.95" customHeight="1">
      <c r="B740" s="1377"/>
      <c r="C740" s="1378"/>
      <c r="D740" s="1378"/>
      <c r="E740" s="1378"/>
      <c r="F740" s="1379"/>
      <c r="G740" s="1405"/>
      <c r="H740" s="1406"/>
      <c r="I740" s="1406"/>
      <c r="J740" s="1407"/>
      <c r="K740" s="1412"/>
      <c r="L740" s="1413"/>
      <c r="M740" s="1413"/>
      <c r="N740" s="1414"/>
      <c r="O740" s="1387"/>
      <c r="P740" s="1388"/>
      <c r="Q740" s="1388"/>
      <c r="R740" s="1388"/>
      <c r="S740" s="1389"/>
      <c r="T740" s="1387"/>
      <c r="U740" s="1388"/>
      <c r="V740" s="1388"/>
      <c r="W740" s="1389"/>
      <c r="X740" s="1433">
        <f t="shared" si="10"/>
        <v>0</v>
      </c>
      <c r="Y740" s="1434"/>
      <c r="Z740" s="1434"/>
      <c r="AA740" s="1434"/>
      <c r="AB740" s="1435"/>
      <c r="AC740" s="1429"/>
      <c r="AD740" s="1430"/>
      <c r="AE740" s="1430"/>
      <c r="AF740" s="1430"/>
      <c r="AG740" s="1431"/>
      <c r="AH740" s="1408" t="str">
        <f t="shared" si="38"/>
        <v/>
      </c>
      <c r="AI740" s="1409"/>
      <c r="AJ740" s="1410"/>
      <c r="AK740" s="1377" t="s">
        <v>826</v>
      </c>
      <c r="AL740" s="1378"/>
      <c r="AM740" s="1378"/>
      <c r="AN740" s="1378"/>
      <c r="AO740" s="1379"/>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99">
        <f t="shared" si="39"/>
        <v>0</v>
      </c>
      <c r="CH740" s="1500"/>
      <c r="CI740" s="1499">
        <f t="shared" si="40"/>
        <v>0</v>
      </c>
      <c r="CJ740" s="1500"/>
      <c r="CK740" s="1499">
        <f t="shared" si="18"/>
        <v>0</v>
      </c>
      <c r="CL740" s="1500"/>
      <c r="CM740" s="1499">
        <f t="shared" si="19"/>
        <v>0</v>
      </c>
      <c r="CN740" s="1500"/>
      <c r="CO740" s="3"/>
      <c r="CP740" s="1496">
        <f t="shared" si="20"/>
        <v>0</v>
      </c>
      <c r="CQ740" s="1497"/>
      <c r="CR740" s="1497"/>
      <c r="CS740" s="1497"/>
      <c r="CT740" s="1498"/>
      <c r="CU740" s="1494">
        <f t="shared" si="21"/>
        <v>0</v>
      </c>
      <c r="CV740" s="1494"/>
      <c r="CW740" s="1494"/>
      <c r="CX740" s="1494"/>
      <c r="CY740" s="1494"/>
      <c r="CZ740" s="1494">
        <f t="shared" si="22"/>
        <v>0</v>
      </c>
      <c r="DA740" s="1494"/>
      <c r="DB740" s="1494"/>
      <c r="DC740" s="1494"/>
      <c r="DD740" s="1494"/>
      <c r="DE740" s="1494">
        <f t="shared" si="23"/>
        <v>0</v>
      </c>
      <c r="DF740" s="1494"/>
      <c r="DG740" s="1494"/>
      <c r="DH740" s="1494"/>
      <c r="DI740" s="1494"/>
      <c r="DJ740" s="1494">
        <f t="shared" si="24"/>
        <v>0</v>
      </c>
      <c r="DK740" s="1494"/>
      <c r="DL740" s="1494"/>
      <c r="DM740" s="1494"/>
      <c r="DN740" s="1494"/>
      <c r="DO740" s="1494">
        <f t="shared" si="25"/>
        <v>0</v>
      </c>
      <c r="DP740" s="1494"/>
      <c r="DQ740" s="1494"/>
      <c r="DR740" s="1494"/>
      <c r="DS740" s="1494"/>
      <c r="DT740" s="257"/>
      <c r="DU740" s="1502">
        <f t="shared" si="26"/>
        <v>0</v>
      </c>
      <c r="DV740" s="1502"/>
      <c r="DW740" s="1502"/>
      <c r="DX740" s="1502"/>
      <c r="DY740" s="1502"/>
      <c r="DZ740" s="1502">
        <f t="shared" si="27"/>
        <v>0</v>
      </c>
      <c r="EA740" s="1502"/>
      <c r="EB740" s="1502"/>
      <c r="EC740" s="1502"/>
      <c r="ED740" s="1502"/>
      <c r="EE740" s="1502">
        <f t="shared" si="28"/>
        <v>0</v>
      </c>
      <c r="EF740" s="1502"/>
      <c r="EG740" s="1502"/>
      <c r="EH740" s="1502"/>
      <c r="EI740" s="1502"/>
      <c r="EJ740" s="1502">
        <f t="shared" si="29"/>
        <v>0</v>
      </c>
      <c r="EK740" s="1502"/>
      <c r="EL740" s="1502"/>
      <c r="EM740" s="1502"/>
      <c r="EN740" s="1502"/>
      <c r="EO740" s="1502">
        <f t="shared" si="30"/>
        <v>0</v>
      </c>
      <c r="EP740" s="1502"/>
      <c r="EQ740" s="1502"/>
      <c r="ER740" s="1502"/>
      <c r="ES740" s="1502"/>
      <c r="ET740" s="1502">
        <f t="shared" si="31"/>
        <v>0</v>
      </c>
      <c r="EU740" s="1502"/>
      <c r="EV740" s="1502"/>
      <c r="EW740" s="1502"/>
      <c r="EX740" s="1502"/>
      <c r="EZ740" s="1499" t="str">
        <f t="shared" si="32"/>
        <v/>
      </c>
      <c r="FA740" s="1501"/>
      <c r="FB740" s="1501"/>
      <c r="FC740" s="1501"/>
      <c r="FD740" s="1500"/>
      <c r="FE740" s="1499" t="str">
        <f t="shared" si="33"/>
        <v/>
      </c>
      <c r="FF740" s="1501"/>
      <c r="FG740" s="1501"/>
      <c r="FH740" s="1501"/>
      <c r="FI740" s="1500"/>
      <c r="FJ740" s="1499" t="str">
        <f t="shared" si="34"/>
        <v/>
      </c>
      <c r="FK740" s="1501"/>
      <c r="FL740" s="1501"/>
      <c r="FM740" s="1501"/>
      <c r="FN740" s="1500"/>
      <c r="FO740" s="1499" t="str">
        <f t="shared" si="35"/>
        <v/>
      </c>
      <c r="FP740" s="1501"/>
      <c r="FQ740" s="1501"/>
      <c r="FR740" s="1501"/>
      <c r="FS740" s="1500"/>
      <c r="FT740" s="1499" t="str">
        <f t="shared" si="36"/>
        <v/>
      </c>
      <c r="FU740" s="1501"/>
      <c r="FV740" s="1501"/>
      <c r="FW740" s="1501"/>
      <c r="FX740" s="1500"/>
      <c r="FY740" s="1499" t="str">
        <f t="shared" si="37"/>
        <v/>
      </c>
      <c r="FZ740" s="1501"/>
      <c r="GA740" s="1501"/>
      <c r="GB740" s="1501"/>
      <c r="GC740" s="1500"/>
    </row>
    <row r="741" spans="1:185" ht="12.95" customHeight="1">
      <c r="B741" s="1377"/>
      <c r="C741" s="1378"/>
      <c r="D741" s="1378"/>
      <c r="E741" s="1378"/>
      <c r="F741" s="1379"/>
      <c r="G741" s="1405"/>
      <c r="H741" s="1406"/>
      <c r="I741" s="1406"/>
      <c r="J741" s="1407"/>
      <c r="K741" s="1412"/>
      <c r="L741" s="1413"/>
      <c r="M741" s="1413"/>
      <c r="N741" s="1414"/>
      <c r="O741" s="1387"/>
      <c r="P741" s="1388"/>
      <c r="Q741" s="1388"/>
      <c r="R741" s="1388"/>
      <c r="S741" s="1389"/>
      <c r="T741" s="1387"/>
      <c r="U741" s="1388"/>
      <c r="V741" s="1388"/>
      <c r="W741" s="1389"/>
      <c r="X741" s="1433">
        <f t="shared" si="10"/>
        <v>0</v>
      </c>
      <c r="Y741" s="1434"/>
      <c r="Z741" s="1434"/>
      <c r="AA741" s="1434"/>
      <c r="AB741" s="1435"/>
      <c r="AC741" s="1429"/>
      <c r="AD741" s="1430"/>
      <c r="AE741" s="1430"/>
      <c r="AF741" s="1430"/>
      <c r="AG741" s="1431"/>
      <c r="AH741" s="1408" t="str">
        <f t="shared" si="38"/>
        <v/>
      </c>
      <c r="AI741" s="1409"/>
      <c r="AJ741" s="1410"/>
      <c r="AK741" s="1377" t="s">
        <v>826</v>
      </c>
      <c r="AL741" s="1378"/>
      <c r="AM741" s="1378"/>
      <c r="AN741" s="1378"/>
      <c r="AO741" s="1379"/>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99">
        <f t="shared" si="39"/>
        <v>0</v>
      </c>
      <c r="CH741" s="1500"/>
      <c r="CI741" s="1499">
        <f t="shared" si="40"/>
        <v>0</v>
      </c>
      <c r="CJ741" s="1500"/>
      <c r="CK741" s="1499">
        <f t="shared" si="18"/>
        <v>0</v>
      </c>
      <c r="CL741" s="1500"/>
      <c r="CM741" s="1499">
        <f t="shared" si="19"/>
        <v>0</v>
      </c>
      <c r="CN741" s="1500"/>
      <c r="CO741" s="3"/>
      <c r="CP741" s="1496">
        <f t="shared" si="20"/>
        <v>0</v>
      </c>
      <c r="CQ741" s="1497"/>
      <c r="CR741" s="1497"/>
      <c r="CS741" s="1497"/>
      <c r="CT741" s="1498"/>
      <c r="CU741" s="1494">
        <f t="shared" si="21"/>
        <v>0</v>
      </c>
      <c r="CV741" s="1494"/>
      <c r="CW741" s="1494"/>
      <c r="CX741" s="1494"/>
      <c r="CY741" s="1494"/>
      <c r="CZ741" s="1494">
        <f t="shared" si="22"/>
        <v>0</v>
      </c>
      <c r="DA741" s="1494"/>
      <c r="DB741" s="1494"/>
      <c r="DC741" s="1494"/>
      <c r="DD741" s="1494"/>
      <c r="DE741" s="1494">
        <f t="shared" si="23"/>
        <v>0</v>
      </c>
      <c r="DF741" s="1494"/>
      <c r="DG741" s="1494"/>
      <c r="DH741" s="1494"/>
      <c r="DI741" s="1494"/>
      <c r="DJ741" s="1494">
        <f t="shared" si="24"/>
        <v>0</v>
      </c>
      <c r="DK741" s="1494"/>
      <c r="DL741" s="1494"/>
      <c r="DM741" s="1494"/>
      <c r="DN741" s="1494"/>
      <c r="DO741" s="1494">
        <f t="shared" si="25"/>
        <v>0</v>
      </c>
      <c r="DP741" s="1494"/>
      <c r="DQ741" s="1494"/>
      <c r="DR741" s="1494"/>
      <c r="DS741" s="1494"/>
      <c r="DT741" s="257"/>
      <c r="DU741" s="1502">
        <f t="shared" si="26"/>
        <v>0</v>
      </c>
      <c r="DV741" s="1502"/>
      <c r="DW741" s="1502"/>
      <c r="DX741" s="1502"/>
      <c r="DY741" s="1502"/>
      <c r="DZ741" s="1502">
        <f t="shared" si="27"/>
        <v>0</v>
      </c>
      <c r="EA741" s="1502"/>
      <c r="EB741" s="1502"/>
      <c r="EC741" s="1502"/>
      <c r="ED741" s="1502"/>
      <c r="EE741" s="1502">
        <f t="shared" si="28"/>
        <v>0</v>
      </c>
      <c r="EF741" s="1502"/>
      <c r="EG741" s="1502"/>
      <c r="EH741" s="1502"/>
      <c r="EI741" s="1502"/>
      <c r="EJ741" s="1502">
        <f t="shared" si="29"/>
        <v>0</v>
      </c>
      <c r="EK741" s="1502"/>
      <c r="EL741" s="1502"/>
      <c r="EM741" s="1502"/>
      <c r="EN741" s="1502"/>
      <c r="EO741" s="1502">
        <f t="shared" si="30"/>
        <v>0</v>
      </c>
      <c r="EP741" s="1502"/>
      <c r="EQ741" s="1502"/>
      <c r="ER741" s="1502"/>
      <c r="ES741" s="1502"/>
      <c r="ET741" s="1502">
        <f t="shared" si="31"/>
        <v>0</v>
      </c>
      <c r="EU741" s="1502"/>
      <c r="EV741" s="1502"/>
      <c r="EW741" s="1502"/>
      <c r="EX741" s="1502"/>
      <c r="EZ741" s="1499" t="str">
        <f t="shared" si="32"/>
        <v/>
      </c>
      <c r="FA741" s="1501"/>
      <c r="FB741" s="1501"/>
      <c r="FC741" s="1501"/>
      <c r="FD741" s="1500"/>
      <c r="FE741" s="1499" t="str">
        <f t="shared" si="33"/>
        <v/>
      </c>
      <c r="FF741" s="1501"/>
      <c r="FG741" s="1501"/>
      <c r="FH741" s="1501"/>
      <c r="FI741" s="1500"/>
      <c r="FJ741" s="1499" t="str">
        <f t="shared" si="34"/>
        <v/>
      </c>
      <c r="FK741" s="1501"/>
      <c r="FL741" s="1501"/>
      <c r="FM741" s="1501"/>
      <c r="FN741" s="1500"/>
      <c r="FO741" s="1499" t="str">
        <f t="shared" si="35"/>
        <v/>
      </c>
      <c r="FP741" s="1501"/>
      <c r="FQ741" s="1501"/>
      <c r="FR741" s="1501"/>
      <c r="FS741" s="1500"/>
      <c r="FT741" s="1499" t="str">
        <f t="shared" si="36"/>
        <v/>
      </c>
      <c r="FU741" s="1501"/>
      <c r="FV741" s="1501"/>
      <c r="FW741" s="1501"/>
      <c r="FX741" s="1500"/>
      <c r="FY741" s="1499" t="str">
        <f t="shared" si="37"/>
        <v/>
      </c>
      <c r="FZ741" s="1501"/>
      <c r="GA741" s="1501"/>
      <c r="GB741" s="1501"/>
      <c r="GC741" s="1500"/>
    </row>
    <row r="742" spans="1:185" ht="12.95" customHeight="1">
      <c r="B742" s="1377"/>
      <c r="C742" s="1378"/>
      <c r="D742" s="1378"/>
      <c r="E742" s="1378"/>
      <c r="F742" s="1379"/>
      <c r="G742" s="1405"/>
      <c r="H742" s="1406"/>
      <c r="I742" s="1406"/>
      <c r="J742" s="1407"/>
      <c r="K742" s="1412"/>
      <c r="L742" s="1413"/>
      <c r="M742" s="1413"/>
      <c r="N742" s="1414"/>
      <c r="O742" s="1387"/>
      <c r="P742" s="1388"/>
      <c r="Q742" s="1388"/>
      <c r="R742" s="1388"/>
      <c r="S742" s="1389"/>
      <c r="T742" s="1387"/>
      <c r="U742" s="1388"/>
      <c r="V742" s="1388"/>
      <c r="W742" s="1389"/>
      <c r="X742" s="1433">
        <f t="shared" si="10"/>
        <v>0</v>
      </c>
      <c r="Y742" s="1434"/>
      <c r="Z742" s="1434"/>
      <c r="AA742" s="1434"/>
      <c r="AB742" s="1435"/>
      <c r="AC742" s="1429"/>
      <c r="AD742" s="1430"/>
      <c r="AE742" s="1430"/>
      <c r="AF742" s="1430"/>
      <c r="AG742" s="1431"/>
      <c r="AH742" s="1408" t="str">
        <f t="shared" si="38"/>
        <v/>
      </c>
      <c r="AI742" s="1409"/>
      <c r="AJ742" s="1410"/>
      <c r="AK742" s="1377" t="s">
        <v>826</v>
      </c>
      <c r="AL742" s="1378"/>
      <c r="AM742" s="1378"/>
      <c r="AN742" s="1378"/>
      <c r="AO742" s="1379"/>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499">
        <f t="shared" si="39"/>
        <v>0</v>
      </c>
      <c r="CH742" s="1500"/>
      <c r="CI742" s="1499">
        <f t="shared" si="40"/>
        <v>0</v>
      </c>
      <c r="CJ742" s="1500"/>
      <c r="CK742" s="1499">
        <f t="shared" si="18"/>
        <v>0</v>
      </c>
      <c r="CL742" s="1500"/>
      <c r="CM742" s="1499">
        <f t="shared" si="19"/>
        <v>0</v>
      </c>
      <c r="CN742" s="1500"/>
      <c r="CO742" s="3"/>
      <c r="CP742" s="1496">
        <f t="shared" si="20"/>
        <v>0</v>
      </c>
      <c r="CQ742" s="1497"/>
      <c r="CR742" s="1497"/>
      <c r="CS742" s="1497"/>
      <c r="CT742" s="1498"/>
      <c r="CU742" s="1494">
        <f t="shared" si="21"/>
        <v>0</v>
      </c>
      <c r="CV742" s="1494"/>
      <c r="CW742" s="1494"/>
      <c r="CX742" s="1494"/>
      <c r="CY742" s="1494"/>
      <c r="CZ742" s="1494">
        <f t="shared" si="22"/>
        <v>0</v>
      </c>
      <c r="DA742" s="1494"/>
      <c r="DB742" s="1494"/>
      <c r="DC742" s="1494"/>
      <c r="DD742" s="1494"/>
      <c r="DE742" s="1494">
        <f t="shared" si="23"/>
        <v>0</v>
      </c>
      <c r="DF742" s="1494"/>
      <c r="DG742" s="1494"/>
      <c r="DH742" s="1494"/>
      <c r="DI742" s="1494"/>
      <c r="DJ742" s="1494">
        <f t="shared" si="24"/>
        <v>0</v>
      </c>
      <c r="DK742" s="1494"/>
      <c r="DL742" s="1494"/>
      <c r="DM742" s="1494"/>
      <c r="DN742" s="1494"/>
      <c r="DO742" s="1494">
        <f t="shared" si="25"/>
        <v>0</v>
      </c>
      <c r="DP742" s="1494"/>
      <c r="DQ742" s="1494"/>
      <c r="DR742" s="1494"/>
      <c r="DS742" s="1494"/>
      <c r="DT742" s="257"/>
      <c r="DU742" s="1502">
        <f t="shared" si="26"/>
        <v>0</v>
      </c>
      <c r="DV742" s="1502"/>
      <c r="DW742" s="1502"/>
      <c r="DX742" s="1502"/>
      <c r="DY742" s="1502"/>
      <c r="DZ742" s="1502">
        <f t="shared" si="27"/>
        <v>0</v>
      </c>
      <c r="EA742" s="1502"/>
      <c r="EB742" s="1502"/>
      <c r="EC742" s="1502"/>
      <c r="ED742" s="1502"/>
      <c r="EE742" s="1502">
        <f t="shared" si="28"/>
        <v>0</v>
      </c>
      <c r="EF742" s="1502"/>
      <c r="EG742" s="1502"/>
      <c r="EH742" s="1502"/>
      <c r="EI742" s="1502"/>
      <c r="EJ742" s="1502">
        <f t="shared" si="29"/>
        <v>0</v>
      </c>
      <c r="EK742" s="1502"/>
      <c r="EL742" s="1502"/>
      <c r="EM742" s="1502"/>
      <c r="EN742" s="1502"/>
      <c r="EO742" s="1502">
        <f t="shared" si="30"/>
        <v>0</v>
      </c>
      <c r="EP742" s="1502"/>
      <c r="EQ742" s="1502"/>
      <c r="ER742" s="1502"/>
      <c r="ES742" s="1502"/>
      <c r="ET742" s="1502">
        <f t="shared" si="31"/>
        <v>0</v>
      </c>
      <c r="EU742" s="1502"/>
      <c r="EV742" s="1502"/>
      <c r="EW742" s="1502"/>
      <c r="EX742" s="1502"/>
      <c r="EZ742" s="1499" t="str">
        <f t="shared" si="32"/>
        <v/>
      </c>
      <c r="FA742" s="1501"/>
      <c r="FB742" s="1501"/>
      <c r="FC742" s="1501"/>
      <c r="FD742" s="1500"/>
      <c r="FE742" s="1499" t="str">
        <f t="shared" si="33"/>
        <v/>
      </c>
      <c r="FF742" s="1501"/>
      <c r="FG742" s="1501"/>
      <c r="FH742" s="1501"/>
      <c r="FI742" s="1500"/>
      <c r="FJ742" s="1499" t="str">
        <f t="shared" si="34"/>
        <v/>
      </c>
      <c r="FK742" s="1501"/>
      <c r="FL742" s="1501"/>
      <c r="FM742" s="1501"/>
      <c r="FN742" s="1500"/>
      <c r="FO742" s="1499" t="str">
        <f t="shared" si="35"/>
        <v/>
      </c>
      <c r="FP742" s="1501"/>
      <c r="FQ742" s="1501"/>
      <c r="FR742" s="1501"/>
      <c r="FS742" s="1500"/>
      <c r="FT742" s="1499" t="str">
        <f t="shared" si="36"/>
        <v/>
      </c>
      <c r="FU742" s="1501"/>
      <c r="FV742" s="1501"/>
      <c r="FW742" s="1501"/>
      <c r="FX742" s="1500"/>
      <c r="FY742" s="1499" t="str">
        <f t="shared" si="37"/>
        <v/>
      </c>
      <c r="FZ742" s="1501"/>
      <c r="GA742" s="1501"/>
      <c r="GB742" s="1501"/>
      <c r="GC742" s="1500"/>
    </row>
    <row r="743" spans="1:185" ht="12.95" customHeight="1">
      <c r="B743" s="1377"/>
      <c r="C743" s="1378"/>
      <c r="D743" s="1378"/>
      <c r="E743" s="1378"/>
      <c r="F743" s="1379"/>
      <c r="G743" s="1405"/>
      <c r="H743" s="1406"/>
      <c r="I743" s="1406"/>
      <c r="J743" s="1407"/>
      <c r="K743" s="1412"/>
      <c r="L743" s="1413"/>
      <c r="M743" s="1413"/>
      <c r="N743" s="1414"/>
      <c r="O743" s="1387"/>
      <c r="P743" s="1388"/>
      <c r="Q743" s="1388"/>
      <c r="R743" s="1388"/>
      <c r="S743" s="1389"/>
      <c r="T743" s="1387"/>
      <c r="U743" s="1388"/>
      <c r="V743" s="1388"/>
      <c r="W743" s="1389"/>
      <c r="X743" s="1433">
        <f t="shared" si="10"/>
        <v>0</v>
      </c>
      <c r="Y743" s="1434"/>
      <c r="Z743" s="1434"/>
      <c r="AA743" s="1434"/>
      <c r="AB743" s="1435"/>
      <c r="AC743" s="1429"/>
      <c r="AD743" s="1430"/>
      <c r="AE743" s="1430"/>
      <c r="AF743" s="1430"/>
      <c r="AG743" s="1431"/>
      <c r="AH743" s="1408" t="str">
        <f t="shared" si="38"/>
        <v/>
      </c>
      <c r="AI743" s="1409"/>
      <c r="AJ743" s="1410"/>
      <c r="AK743" s="1377" t="s">
        <v>826</v>
      </c>
      <c r="AL743" s="1378"/>
      <c r="AM743" s="1378"/>
      <c r="AN743" s="1378"/>
      <c r="AO743" s="1379"/>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499">
        <f t="shared" si="39"/>
        <v>0</v>
      </c>
      <c r="CH743" s="1500"/>
      <c r="CI743" s="1499">
        <f t="shared" si="40"/>
        <v>0</v>
      </c>
      <c r="CJ743" s="1500"/>
      <c r="CK743" s="1499">
        <f t="shared" si="18"/>
        <v>0</v>
      </c>
      <c r="CL743" s="1500"/>
      <c r="CM743" s="1499">
        <f t="shared" si="19"/>
        <v>0</v>
      </c>
      <c r="CN743" s="1500"/>
      <c r="CO743" s="3"/>
      <c r="CP743" s="1496">
        <f t="shared" si="20"/>
        <v>0</v>
      </c>
      <c r="CQ743" s="1497"/>
      <c r="CR743" s="1497"/>
      <c r="CS743" s="1497"/>
      <c r="CT743" s="1498"/>
      <c r="CU743" s="1494">
        <f t="shared" si="21"/>
        <v>0</v>
      </c>
      <c r="CV743" s="1494"/>
      <c r="CW743" s="1494"/>
      <c r="CX743" s="1494"/>
      <c r="CY743" s="1494"/>
      <c r="CZ743" s="1494">
        <f t="shared" si="22"/>
        <v>0</v>
      </c>
      <c r="DA743" s="1494"/>
      <c r="DB743" s="1494"/>
      <c r="DC743" s="1494"/>
      <c r="DD743" s="1494"/>
      <c r="DE743" s="1494">
        <f t="shared" si="23"/>
        <v>0</v>
      </c>
      <c r="DF743" s="1494"/>
      <c r="DG743" s="1494"/>
      <c r="DH743" s="1494"/>
      <c r="DI743" s="1494"/>
      <c r="DJ743" s="1494">
        <f t="shared" si="24"/>
        <v>0</v>
      </c>
      <c r="DK743" s="1494"/>
      <c r="DL743" s="1494"/>
      <c r="DM743" s="1494"/>
      <c r="DN743" s="1494"/>
      <c r="DO743" s="1494">
        <f t="shared" si="25"/>
        <v>0</v>
      </c>
      <c r="DP743" s="1494"/>
      <c r="DQ743" s="1494"/>
      <c r="DR743" s="1494"/>
      <c r="DS743" s="1494"/>
      <c r="DT743" s="257"/>
      <c r="DU743" s="1502">
        <f t="shared" si="26"/>
        <v>0</v>
      </c>
      <c r="DV743" s="1502"/>
      <c r="DW743" s="1502"/>
      <c r="DX743" s="1502"/>
      <c r="DY743" s="1502"/>
      <c r="DZ743" s="1502">
        <f t="shared" si="27"/>
        <v>0</v>
      </c>
      <c r="EA743" s="1502"/>
      <c r="EB743" s="1502"/>
      <c r="EC743" s="1502"/>
      <c r="ED743" s="1502"/>
      <c r="EE743" s="1502">
        <f t="shared" si="28"/>
        <v>0</v>
      </c>
      <c r="EF743" s="1502"/>
      <c r="EG743" s="1502"/>
      <c r="EH743" s="1502"/>
      <c r="EI743" s="1502"/>
      <c r="EJ743" s="1502">
        <f t="shared" si="29"/>
        <v>0</v>
      </c>
      <c r="EK743" s="1502"/>
      <c r="EL743" s="1502"/>
      <c r="EM743" s="1502"/>
      <c r="EN743" s="1502"/>
      <c r="EO743" s="1502">
        <f t="shared" si="30"/>
        <v>0</v>
      </c>
      <c r="EP743" s="1502"/>
      <c r="EQ743" s="1502"/>
      <c r="ER743" s="1502"/>
      <c r="ES743" s="1502"/>
      <c r="ET743" s="1502">
        <f t="shared" si="31"/>
        <v>0</v>
      </c>
      <c r="EU743" s="1502"/>
      <c r="EV743" s="1502"/>
      <c r="EW743" s="1502"/>
      <c r="EX743" s="1502"/>
      <c r="EZ743" s="1499" t="str">
        <f t="shared" si="32"/>
        <v/>
      </c>
      <c r="FA743" s="1501"/>
      <c r="FB743" s="1501"/>
      <c r="FC743" s="1501"/>
      <c r="FD743" s="1500"/>
      <c r="FE743" s="1499" t="str">
        <f t="shared" si="33"/>
        <v/>
      </c>
      <c r="FF743" s="1501"/>
      <c r="FG743" s="1501"/>
      <c r="FH743" s="1501"/>
      <c r="FI743" s="1500"/>
      <c r="FJ743" s="1499" t="str">
        <f t="shared" si="34"/>
        <v/>
      </c>
      <c r="FK743" s="1501"/>
      <c r="FL743" s="1501"/>
      <c r="FM743" s="1501"/>
      <c r="FN743" s="1500"/>
      <c r="FO743" s="1499" t="str">
        <f t="shared" si="35"/>
        <v/>
      </c>
      <c r="FP743" s="1501"/>
      <c r="FQ743" s="1501"/>
      <c r="FR743" s="1501"/>
      <c r="FS743" s="1500"/>
      <c r="FT743" s="1499" t="str">
        <f t="shared" si="36"/>
        <v/>
      </c>
      <c r="FU743" s="1501"/>
      <c r="FV743" s="1501"/>
      <c r="FW743" s="1501"/>
      <c r="FX743" s="1500"/>
      <c r="FY743" s="1499" t="str">
        <f t="shared" si="37"/>
        <v/>
      </c>
      <c r="FZ743" s="1501"/>
      <c r="GA743" s="1501"/>
      <c r="GB743" s="1501"/>
      <c r="GC743" s="1500"/>
    </row>
    <row r="744" spans="1:185" ht="12.95" customHeight="1">
      <c r="B744" s="1377"/>
      <c r="C744" s="1378"/>
      <c r="D744" s="1378"/>
      <c r="E744" s="1378"/>
      <c r="F744" s="1379"/>
      <c r="G744" s="1405"/>
      <c r="H744" s="1406"/>
      <c r="I744" s="1406"/>
      <c r="J744" s="1407"/>
      <c r="K744" s="1412"/>
      <c r="L744" s="1413"/>
      <c r="M744" s="1413"/>
      <c r="N744" s="1414"/>
      <c r="O744" s="1387"/>
      <c r="P744" s="1388"/>
      <c r="Q744" s="1388"/>
      <c r="R744" s="1388"/>
      <c r="S744" s="1389"/>
      <c r="T744" s="1387"/>
      <c r="U744" s="1388"/>
      <c r="V744" s="1388"/>
      <c r="W744" s="1389"/>
      <c r="X744" s="1433">
        <f t="shared" si="10"/>
        <v>0</v>
      </c>
      <c r="Y744" s="1434"/>
      <c r="Z744" s="1434"/>
      <c r="AA744" s="1434"/>
      <c r="AB744" s="1435"/>
      <c r="AC744" s="1429"/>
      <c r="AD744" s="1430"/>
      <c r="AE744" s="1430"/>
      <c r="AF744" s="1430"/>
      <c r="AG744" s="1431"/>
      <c r="AH744" s="1408" t="str">
        <f t="shared" si="38"/>
        <v/>
      </c>
      <c r="AI744" s="1409"/>
      <c r="AJ744" s="1410"/>
      <c r="AK744" s="1377" t="s">
        <v>826</v>
      </c>
      <c r="AL744" s="1378"/>
      <c r="AM744" s="1378"/>
      <c r="AN744" s="1378"/>
      <c r="AO744" s="1379"/>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99">
        <f t="shared" si="39"/>
        <v>0</v>
      </c>
      <c r="CH744" s="1500"/>
      <c r="CI744" s="1499">
        <f t="shared" si="40"/>
        <v>0</v>
      </c>
      <c r="CJ744" s="1500"/>
      <c r="CK744" s="1499">
        <f t="shared" si="18"/>
        <v>0</v>
      </c>
      <c r="CL744" s="1500"/>
      <c r="CM744" s="1499">
        <f t="shared" si="19"/>
        <v>0</v>
      </c>
      <c r="CN744" s="1500"/>
      <c r="CO744" s="3"/>
      <c r="CP744" s="1496">
        <f t="shared" si="20"/>
        <v>0</v>
      </c>
      <c r="CQ744" s="1497"/>
      <c r="CR744" s="1497"/>
      <c r="CS744" s="1497"/>
      <c r="CT744" s="1498"/>
      <c r="CU744" s="1494">
        <f t="shared" si="21"/>
        <v>0</v>
      </c>
      <c r="CV744" s="1494"/>
      <c r="CW744" s="1494"/>
      <c r="CX744" s="1494"/>
      <c r="CY744" s="1494"/>
      <c r="CZ744" s="1494">
        <f t="shared" si="22"/>
        <v>0</v>
      </c>
      <c r="DA744" s="1494"/>
      <c r="DB744" s="1494"/>
      <c r="DC744" s="1494"/>
      <c r="DD744" s="1494"/>
      <c r="DE744" s="1494">
        <f t="shared" si="23"/>
        <v>0</v>
      </c>
      <c r="DF744" s="1494"/>
      <c r="DG744" s="1494"/>
      <c r="DH744" s="1494"/>
      <c r="DI744" s="1494"/>
      <c r="DJ744" s="1494">
        <f t="shared" si="24"/>
        <v>0</v>
      </c>
      <c r="DK744" s="1494"/>
      <c r="DL744" s="1494"/>
      <c r="DM744" s="1494"/>
      <c r="DN744" s="1494"/>
      <c r="DO744" s="1494">
        <f t="shared" si="25"/>
        <v>0</v>
      </c>
      <c r="DP744" s="1494"/>
      <c r="DQ744" s="1494"/>
      <c r="DR744" s="1494"/>
      <c r="DS744" s="1494"/>
      <c r="DT744" s="257"/>
      <c r="DU744" s="1502">
        <f t="shared" si="26"/>
        <v>0</v>
      </c>
      <c r="DV744" s="1502"/>
      <c r="DW744" s="1502"/>
      <c r="DX744" s="1502"/>
      <c r="DY744" s="1502"/>
      <c r="DZ744" s="1502">
        <f t="shared" si="27"/>
        <v>0</v>
      </c>
      <c r="EA744" s="1502"/>
      <c r="EB744" s="1502"/>
      <c r="EC744" s="1502"/>
      <c r="ED744" s="1502"/>
      <c r="EE744" s="1502">
        <f t="shared" si="28"/>
        <v>0</v>
      </c>
      <c r="EF744" s="1502"/>
      <c r="EG744" s="1502"/>
      <c r="EH744" s="1502"/>
      <c r="EI744" s="1502"/>
      <c r="EJ744" s="1502">
        <f t="shared" si="29"/>
        <v>0</v>
      </c>
      <c r="EK744" s="1502"/>
      <c r="EL744" s="1502"/>
      <c r="EM744" s="1502"/>
      <c r="EN744" s="1502"/>
      <c r="EO744" s="1502">
        <f t="shared" si="30"/>
        <v>0</v>
      </c>
      <c r="EP744" s="1502"/>
      <c r="EQ744" s="1502"/>
      <c r="ER744" s="1502"/>
      <c r="ES744" s="1502"/>
      <c r="ET744" s="1502">
        <f t="shared" si="31"/>
        <v>0</v>
      </c>
      <c r="EU744" s="1502"/>
      <c r="EV744" s="1502"/>
      <c r="EW744" s="1502"/>
      <c r="EX744" s="1502"/>
      <c r="EZ744" s="1499" t="str">
        <f t="shared" si="32"/>
        <v/>
      </c>
      <c r="FA744" s="1501"/>
      <c r="FB744" s="1501"/>
      <c r="FC744" s="1501"/>
      <c r="FD744" s="1500"/>
      <c r="FE744" s="1499" t="str">
        <f t="shared" si="33"/>
        <v/>
      </c>
      <c r="FF744" s="1501"/>
      <c r="FG744" s="1501"/>
      <c r="FH744" s="1501"/>
      <c r="FI744" s="1500"/>
      <c r="FJ744" s="1499" t="str">
        <f t="shared" si="34"/>
        <v/>
      </c>
      <c r="FK744" s="1501"/>
      <c r="FL744" s="1501"/>
      <c r="FM744" s="1501"/>
      <c r="FN744" s="1500"/>
      <c r="FO744" s="1499" t="str">
        <f t="shared" si="35"/>
        <v/>
      </c>
      <c r="FP744" s="1501"/>
      <c r="FQ744" s="1501"/>
      <c r="FR744" s="1501"/>
      <c r="FS744" s="1500"/>
      <c r="FT744" s="1499" t="str">
        <f t="shared" si="36"/>
        <v/>
      </c>
      <c r="FU744" s="1501"/>
      <c r="FV744" s="1501"/>
      <c r="FW744" s="1501"/>
      <c r="FX744" s="1500"/>
      <c r="FY744" s="1499" t="str">
        <f t="shared" si="37"/>
        <v/>
      </c>
      <c r="FZ744" s="1501"/>
      <c r="GA744" s="1501"/>
      <c r="GB744" s="1501"/>
      <c r="GC744" s="1500"/>
    </row>
    <row r="745" spans="1:185" ht="12.95" customHeight="1">
      <c r="B745" s="1377"/>
      <c r="C745" s="1378"/>
      <c r="D745" s="1378"/>
      <c r="E745" s="1378"/>
      <c r="F745" s="1379"/>
      <c r="G745" s="1405"/>
      <c r="H745" s="1406"/>
      <c r="I745" s="1406"/>
      <c r="J745" s="1407"/>
      <c r="K745" s="1412"/>
      <c r="L745" s="1413"/>
      <c r="M745" s="1413"/>
      <c r="N745" s="1414"/>
      <c r="O745" s="1387"/>
      <c r="P745" s="1388"/>
      <c r="Q745" s="1388"/>
      <c r="R745" s="1388"/>
      <c r="S745" s="1389"/>
      <c r="T745" s="1387"/>
      <c r="U745" s="1388"/>
      <c r="V745" s="1388"/>
      <c r="W745" s="1389"/>
      <c r="X745" s="1433">
        <f t="shared" si="10"/>
        <v>0</v>
      </c>
      <c r="Y745" s="1434"/>
      <c r="Z745" s="1434"/>
      <c r="AA745" s="1434"/>
      <c r="AB745" s="1435"/>
      <c r="AC745" s="1429"/>
      <c r="AD745" s="1430"/>
      <c r="AE745" s="1430"/>
      <c r="AF745" s="1430"/>
      <c r="AG745" s="1431"/>
      <c r="AH745" s="1408" t="str">
        <f t="shared" si="38"/>
        <v/>
      </c>
      <c r="AI745" s="1409"/>
      <c r="AJ745" s="1410"/>
      <c r="AK745" s="1377" t="s">
        <v>826</v>
      </c>
      <c r="AL745" s="1378"/>
      <c r="AM745" s="1378"/>
      <c r="AN745" s="1378"/>
      <c r="AO745" s="1379"/>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99">
        <f t="shared" si="39"/>
        <v>0</v>
      </c>
      <c r="CH745" s="1500"/>
      <c r="CI745" s="1499">
        <f t="shared" si="40"/>
        <v>0</v>
      </c>
      <c r="CJ745" s="1500"/>
      <c r="CK745" s="1499">
        <f t="shared" si="18"/>
        <v>0</v>
      </c>
      <c r="CL745" s="1500"/>
      <c r="CM745" s="1499">
        <f t="shared" si="19"/>
        <v>0</v>
      </c>
      <c r="CN745" s="1500"/>
      <c r="CO745" s="3"/>
      <c r="CP745" s="1496">
        <f t="shared" si="20"/>
        <v>0</v>
      </c>
      <c r="CQ745" s="1497"/>
      <c r="CR745" s="1497"/>
      <c r="CS745" s="1497"/>
      <c r="CT745" s="1498"/>
      <c r="CU745" s="1494">
        <f t="shared" si="21"/>
        <v>0</v>
      </c>
      <c r="CV745" s="1494"/>
      <c r="CW745" s="1494"/>
      <c r="CX745" s="1494"/>
      <c r="CY745" s="1494"/>
      <c r="CZ745" s="1494">
        <f t="shared" si="22"/>
        <v>0</v>
      </c>
      <c r="DA745" s="1494"/>
      <c r="DB745" s="1494"/>
      <c r="DC745" s="1494"/>
      <c r="DD745" s="1494"/>
      <c r="DE745" s="1494">
        <f t="shared" si="23"/>
        <v>0</v>
      </c>
      <c r="DF745" s="1494"/>
      <c r="DG745" s="1494"/>
      <c r="DH745" s="1494"/>
      <c r="DI745" s="1494"/>
      <c r="DJ745" s="1494">
        <f t="shared" si="24"/>
        <v>0</v>
      </c>
      <c r="DK745" s="1494"/>
      <c r="DL745" s="1494"/>
      <c r="DM745" s="1494"/>
      <c r="DN745" s="1494"/>
      <c r="DO745" s="1494">
        <f t="shared" si="25"/>
        <v>0</v>
      </c>
      <c r="DP745" s="1494"/>
      <c r="DQ745" s="1494"/>
      <c r="DR745" s="1494"/>
      <c r="DS745" s="1494"/>
      <c r="DT745" s="257"/>
      <c r="DU745" s="1502">
        <f t="shared" si="26"/>
        <v>0</v>
      </c>
      <c r="DV745" s="1502"/>
      <c r="DW745" s="1502"/>
      <c r="DX745" s="1502"/>
      <c r="DY745" s="1502"/>
      <c r="DZ745" s="1502">
        <f t="shared" si="27"/>
        <v>0</v>
      </c>
      <c r="EA745" s="1502"/>
      <c r="EB745" s="1502"/>
      <c r="EC745" s="1502"/>
      <c r="ED745" s="1502"/>
      <c r="EE745" s="1502">
        <f t="shared" si="28"/>
        <v>0</v>
      </c>
      <c r="EF745" s="1502"/>
      <c r="EG745" s="1502"/>
      <c r="EH745" s="1502"/>
      <c r="EI745" s="1502"/>
      <c r="EJ745" s="1502">
        <f t="shared" si="29"/>
        <v>0</v>
      </c>
      <c r="EK745" s="1502"/>
      <c r="EL745" s="1502"/>
      <c r="EM745" s="1502"/>
      <c r="EN745" s="1502"/>
      <c r="EO745" s="1502">
        <f t="shared" si="30"/>
        <v>0</v>
      </c>
      <c r="EP745" s="1502"/>
      <c r="EQ745" s="1502"/>
      <c r="ER745" s="1502"/>
      <c r="ES745" s="1502"/>
      <c r="ET745" s="1502">
        <f t="shared" si="31"/>
        <v>0</v>
      </c>
      <c r="EU745" s="1502"/>
      <c r="EV745" s="1502"/>
      <c r="EW745" s="1502"/>
      <c r="EX745" s="1502"/>
      <c r="EZ745" s="1499" t="str">
        <f t="shared" si="32"/>
        <v/>
      </c>
      <c r="FA745" s="1501"/>
      <c r="FB745" s="1501"/>
      <c r="FC745" s="1501"/>
      <c r="FD745" s="1500"/>
      <c r="FE745" s="1499" t="str">
        <f t="shared" si="33"/>
        <v/>
      </c>
      <c r="FF745" s="1501"/>
      <c r="FG745" s="1501"/>
      <c r="FH745" s="1501"/>
      <c r="FI745" s="1500"/>
      <c r="FJ745" s="1499" t="str">
        <f t="shared" si="34"/>
        <v/>
      </c>
      <c r="FK745" s="1501"/>
      <c r="FL745" s="1501"/>
      <c r="FM745" s="1501"/>
      <c r="FN745" s="1500"/>
      <c r="FO745" s="1499" t="str">
        <f t="shared" si="35"/>
        <v/>
      </c>
      <c r="FP745" s="1501"/>
      <c r="FQ745" s="1501"/>
      <c r="FR745" s="1501"/>
      <c r="FS745" s="1500"/>
      <c r="FT745" s="1499" t="str">
        <f t="shared" si="36"/>
        <v/>
      </c>
      <c r="FU745" s="1501"/>
      <c r="FV745" s="1501"/>
      <c r="FW745" s="1501"/>
      <c r="FX745" s="1500"/>
      <c r="FY745" s="1499" t="str">
        <f t="shared" si="37"/>
        <v/>
      </c>
      <c r="FZ745" s="1501"/>
      <c r="GA745" s="1501"/>
      <c r="GB745" s="1501"/>
      <c r="GC745" s="1500"/>
    </row>
    <row r="746" spans="1:185" ht="12.95" customHeight="1">
      <c r="B746" s="1377"/>
      <c r="C746" s="1378"/>
      <c r="D746" s="1378"/>
      <c r="E746" s="1378"/>
      <c r="F746" s="1379"/>
      <c r="G746" s="1405"/>
      <c r="H746" s="1406"/>
      <c r="I746" s="1406"/>
      <c r="J746" s="1407"/>
      <c r="K746" s="1412"/>
      <c r="L746" s="1413"/>
      <c r="M746" s="1413"/>
      <c r="N746" s="1414"/>
      <c r="O746" s="1387"/>
      <c r="P746" s="1388"/>
      <c r="Q746" s="1388"/>
      <c r="R746" s="1388"/>
      <c r="S746" s="1389"/>
      <c r="T746" s="1387"/>
      <c r="U746" s="1388"/>
      <c r="V746" s="1388"/>
      <c r="W746" s="1389"/>
      <c r="X746" s="1433">
        <f t="shared" si="10"/>
        <v>0</v>
      </c>
      <c r="Y746" s="1434"/>
      <c r="Z746" s="1434"/>
      <c r="AA746" s="1434"/>
      <c r="AB746" s="1435"/>
      <c r="AC746" s="1429"/>
      <c r="AD746" s="1430"/>
      <c r="AE746" s="1430"/>
      <c r="AF746" s="1430"/>
      <c r="AG746" s="1431"/>
      <c r="AH746" s="1408" t="str">
        <f t="shared" si="38"/>
        <v/>
      </c>
      <c r="AI746" s="1409"/>
      <c r="AJ746" s="1410"/>
      <c r="AK746" s="1377" t="s">
        <v>826</v>
      </c>
      <c r="AL746" s="1378"/>
      <c r="AM746" s="1378"/>
      <c r="AN746" s="1378"/>
      <c r="AO746" s="1379"/>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99">
        <f t="shared" si="39"/>
        <v>0</v>
      </c>
      <c r="CH746" s="1500"/>
      <c r="CI746" s="1499">
        <f t="shared" si="40"/>
        <v>0</v>
      </c>
      <c r="CJ746" s="1500"/>
      <c r="CK746" s="1499">
        <f t="shared" si="18"/>
        <v>0</v>
      </c>
      <c r="CL746" s="1500"/>
      <c r="CM746" s="1499">
        <f t="shared" si="19"/>
        <v>0</v>
      </c>
      <c r="CN746" s="1500"/>
      <c r="CO746" s="3"/>
      <c r="CP746" s="1496">
        <f t="shared" si="20"/>
        <v>0</v>
      </c>
      <c r="CQ746" s="1497"/>
      <c r="CR746" s="1497"/>
      <c r="CS746" s="1497"/>
      <c r="CT746" s="1498"/>
      <c r="CU746" s="1494">
        <f t="shared" si="21"/>
        <v>0</v>
      </c>
      <c r="CV746" s="1494"/>
      <c r="CW746" s="1494"/>
      <c r="CX746" s="1494"/>
      <c r="CY746" s="1494"/>
      <c r="CZ746" s="1494">
        <f t="shared" si="22"/>
        <v>0</v>
      </c>
      <c r="DA746" s="1494"/>
      <c r="DB746" s="1494"/>
      <c r="DC746" s="1494"/>
      <c r="DD746" s="1494"/>
      <c r="DE746" s="1494">
        <f t="shared" si="23"/>
        <v>0</v>
      </c>
      <c r="DF746" s="1494"/>
      <c r="DG746" s="1494"/>
      <c r="DH746" s="1494"/>
      <c r="DI746" s="1494"/>
      <c r="DJ746" s="1494">
        <f t="shared" si="24"/>
        <v>0</v>
      </c>
      <c r="DK746" s="1494"/>
      <c r="DL746" s="1494"/>
      <c r="DM746" s="1494"/>
      <c r="DN746" s="1494"/>
      <c r="DO746" s="1494">
        <f t="shared" si="25"/>
        <v>0</v>
      </c>
      <c r="DP746" s="1494"/>
      <c r="DQ746" s="1494"/>
      <c r="DR746" s="1494"/>
      <c r="DS746" s="1494"/>
      <c r="DT746" s="257"/>
      <c r="DU746" s="1502">
        <f t="shared" si="26"/>
        <v>0</v>
      </c>
      <c r="DV746" s="1502"/>
      <c r="DW746" s="1502"/>
      <c r="DX746" s="1502"/>
      <c r="DY746" s="1502"/>
      <c r="DZ746" s="1502">
        <f t="shared" si="27"/>
        <v>0</v>
      </c>
      <c r="EA746" s="1502"/>
      <c r="EB746" s="1502"/>
      <c r="EC746" s="1502"/>
      <c r="ED746" s="1502"/>
      <c r="EE746" s="1502">
        <f t="shared" si="28"/>
        <v>0</v>
      </c>
      <c r="EF746" s="1502"/>
      <c r="EG746" s="1502"/>
      <c r="EH746" s="1502"/>
      <c r="EI746" s="1502"/>
      <c r="EJ746" s="1502">
        <f t="shared" si="29"/>
        <v>0</v>
      </c>
      <c r="EK746" s="1502"/>
      <c r="EL746" s="1502"/>
      <c r="EM746" s="1502"/>
      <c r="EN746" s="1502"/>
      <c r="EO746" s="1502">
        <f t="shared" si="30"/>
        <v>0</v>
      </c>
      <c r="EP746" s="1502"/>
      <c r="EQ746" s="1502"/>
      <c r="ER746" s="1502"/>
      <c r="ES746" s="1502"/>
      <c r="ET746" s="1502">
        <f t="shared" si="31"/>
        <v>0</v>
      </c>
      <c r="EU746" s="1502"/>
      <c r="EV746" s="1502"/>
      <c r="EW746" s="1502"/>
      <c r="EX746" s="1502"/>
      <c r="EZ746" s="1499" t="str">
        <f t="shared" si="32"/>
        <v/>
      </c>
      <c r="FA746" s="1501"/>
      <c r="FB746" s="1501"/>
      <c r="FC746" s="1501"/>
      <c r="FD746" s="1500"/>
      <c r="FE746" s="1499" t="str">
        <f t="shared" si="33"/>
        <v/>
      </c>
      <c r="FF746" s="1501"/>
      <c r="FG746" s="1501"/>
      <c r="FH746" s="1501"/>
      <c r="FI746" s="1500"/>
      <c r="FJ746" s="1499" t="str">
        <f t="shared" si="34"/>
        <v/>
      </c>
      <c r="FK746" s="1501"/>
      <c r="FL746" s="1501"/>
      <c r="FM746" s="1501"/>
      <c r="FN746" s="1500"/>
      <c r="FO746" s="1499" t="str">
        <f t="shared" si="35"/>
        <v/>
      </c>
      <c r="FP746" s="1501"/>
      <c r="FQ746" s="1501"/>
      <c r="FR746" s="1501"/>
      <c r="FS746" s="1500"/>
      <c r="FT746" s="1499" t="str">
        <f t="shared" si="36"/>
        <v/>
      </c>
      <c r="FU746" s="1501"/>
      <c r="FV746" s="1501"/>
      <c r="FW746" s="1501"/>
      <c r="FX746" s="1500"/>
      <c r="FY746" s="1499" t="str">
        <f t="shared" si="37"/>
        <v/>
      </c>
      <c r="FZ746" s="1501"/>
      <c r="GA746" s="1501"/>
      <c r="GB746" s="1501"/>
      <c r="GC746" s="1500"/>
    </row>
    <row r="747" spans="1:185" ht="12.95" customHeight="1">
      <c r="B747" s="1377"/>
      <c r="C747" s="1378"/>
      <c r="D747" s="1378"/>
      <c r="E747" s="1378"/>
      <c r="F747" s="1379"/>
      <c r="G747" s="1405"/>
      <c r="H747" s="1406"/>
      <c r="I747" s="1406"/>
      <c r="J747" s="1407"/>
      <c r="K747" s="1412"/>
      <c r="L747" s="1413"/>
      <c r="M747" s="1413"/>
      <c r="N747" s="1414"/>
      <c r="O747" s="1387"/>
      <c r="P747" s="1388"/>
      <c r="Q747" s="1388"/>
      <c r="R747" s="1388"/>
      <c r="S747" s="1389"/>
      <c r="T747" s="1387"/>
      <c r="U747" s="1388"/>
      <c r="V747" s="1388"/>
      <c r="W747" s="1389"/>
      <c r="X747" s="1433">
        <f t="shared" si="10"/>
        <v>0</v>
      </c>
      <c r="Y747" s="1434"/>
      <c r="Z747" s="1434"/>
      <c r="AA747" s="1434"/>
      <c r="AB747" s="1435"/>
      <c r="AC747" s="1429"/>
      <c r="AD747" s="1430"/>
      <c r="AE747" s="1430"/>
      <c r="AF747" s="1430"/>
      <c r="AG747" s="1431"/>
      <c r="AH747" s="1408" t="str">
        <f t="shared" si="38"/>
        <v/>
      </c>
      <c r="AI747" s="1409"/>
      <c r="AJ747" s="1410"/>
      <c r="AK747" s="1377" t="s">
        <v>826</v>
      </c>
      <c r="AL747" s="1378"/>
      <c r="AM747" s="1378"/>
      <c r="AN747" s="1378"/>
      <c r="AO747" s="1379"/>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99">
        <f t="shared" si="39"/>
        <v>0</v>
      </c>
      <c r="CH747" s="1500"/>
      <c r="CI747" s="1499">
        <f t="shared" si="40"/>
        <v>0</v>
      </c>
      <c r="CJ747" s="1500"/>
      <c r="CK747" s="1499">
        <f t="shared" si="18"/>
        <v>0</v>
      </c>
      <c r="CL747" s="1500"/>
      <c r="CM747" s="1499">
        <f t="shared" si="19"/>
        <v>0</v>
      </c>
      <c r="CN747" s="1500"/>
      <c r="CO747" s="3"/>
      <c r="CP747" s="1496">
        <f t="shared" si="20"/>
        <v>0</v>
      </c>
      <c r="CQ747" s="1497"/>
      <c r="CR747" s="1497"/>
      <c r="CS747" s="1497"/>
      <c r="CT747" s="1498"/>
      <c r="CU747" s="1494">
        <f t="shared" si="21"/>
        <v>0</v>
      </c>
      <c r="CV747" s="1494"/>
      <c r="CW747" s="1494"/>
      <c r="CX747" s="1494"/>
      <c r="CY747" s="1494"/>
      <c r="CZ747" s="1494">
        <f t="shared" si="22"/>
        <v>0</v>
      </c>
      <c r="DA747" s="1494"/>
      <c r="DB747" s="1494"/>
      <c r="DC747" s="1494"/>
      <c r="DD747" s="1494"/>
      <c r="DE747" s="1494">
        <f t="shared" si="23"/>
        <v>0</v>
      </c>
      <c r="DF747" s="1494"/>
      <c r="DG747" s="1494"/>
      <c r="DH747" s="1494"/>
      <c r="DI747" s="1494"/>
      <c r="DJ747" s="1494">
        <f t="shared" si="24"/>
        <v>0</v>
      </c>
      <c r="DK747" s="1494"/>
      <c r="DL747" s="1494"/>
      <c r="DM747" s="1494"/>
      <c r="DN747" s="1494"/>
      <c r="DO747" s="1494">
        <f t="shared" si="25"/>
        <v>0</v>
      </c>
      <c r="DP747" s="1494"/>
      <c r="DQ747" s="1494"/>
      <c r="DR747" s="1494"/>
      <c r="DS747" s="1494"/>
      <c r="DT747" s="257"/>
      <c r="DU747" s="1502">
        <f t="shared" si="26"/>
        <v>0</v>
      </c>
      <c r="DV747" s="1502"/>
      <c r="DW747" s="1502"/>
      <c r="DX747" s="1502"/>
      <c r="DY747" s="1502"/>
      <c r="DZ747" s="1502">
        <f t="shared" si="27"/>
        <v>0</v>
      </c>
      <c r="EA747" s="1502"/>
      <c r="EB747" s="1502"/>
      <c r="EC747" s="1502"/>
      <c r="ED747" s="1502"/>
      <c r="EE747" s="1502">
        <f t="shared" si="28"/>
        <v>0</v>
      </c>
      <c r="EF747" s="1502"/>
      <c r="EG747" s="1502"/>
      <c r="EH747" s="1502"/>
      <c r="EI747" s="1502"/>
      <c r="EJ747" s="1502">
        <f t="shared" si="29"/>
        <v>0</v>
      </c>
      <c r="EK747" s="1502"/>
      <c r="EL747" s="1502"/>
      <c r="EM747" s="1502"/>
      <c r="EN747" s="1502"/>
      <c r="EO747" s="1502">
        <f t="shared" si="30"/>
        <v>0</v>
      </c>
      <c r="EP747" s="1502"/>
      <c r="EQ747" s="1502"/>
      <c r="ER747" s="1502"/>
      <c r="ES747" s="1502"/>
      <c r="ET747" s="1502">
        <f t="shared" si="31"/>
        <v>0</v>
      </c>
      <c r="EU747" s="1502"/>
      <c r="EV747" s="1502"/>
      <c r="EW747" s="1502"/>
      <c r="EX747" s="1502"/>
      <c r="EZ747" s="1499" t="str">
        <f t="shared" si="32"/>
        <v/>
      </c>
      <c r="FA747" s="1501"/>
      <c r="FB747" s="1501"/>
      <c r="FC747" s="1501"/>
      <c r="FD747" s="1500"/>
      <c r="FE747" s="1499" t="str">
        <f t="shared" si="33"/>
        <v/>
      </c>
      <c r="FF747" s="1501"/>
      <c r="FG747" s="1501"/>
      <c r="FH747" s="1501"/>
      <c r="FI747" s="1500"/>
      <c r="FJ747" s="1499" t="str">
        <f t="shared" si="34"/>
        <v/>
      </c>
      <c r="FK747" s="1501"/>
      <c r="FL747" s="1501"/>
      <c r="FM747" s="1501"/>
      <c r="FN747" s="1500"/>
      <c r="FO747" s="1499" t="str">
        <f t="shared" si="35"/>
        <v/>
      </c>
      <c r="FP747" s="1501"/>
      <c r="FQ747" s="1501"/>
      <c r="FR747" s="1501"/>
      <c r="FS747" s="1500"/>
      <c r="FT747" s="1499" t="str">
        <f t="shared" si="36"/>
        <v/>
      </c>
      <c r="FU747" s="1501"/>
      <c r="FV747" s="1501"/>
      <c r="FW747" s="1501"/>
      <c r="FX747" s="1500"/>
      <c r="FY747" s="1499" t="str">
        <f t="shared" si="37"/>
        <v/>
      </c>
      <c r="FZ747" s="1501"/>
      <c r="GA747" s="1501"/>
      <c r="GB747" s="1501"/>
      <c r="GC747" s="1500"/>
    </row>
    <row r="748" spans="1:185" ht="12.95" customHeight="1">
      <c r="B748" s="1377"/>
      <c r="C748" s="1378"/>
      <c r="D748" s="1378"/>
      <c r="E748" s="1378"/>
      <c r="F748" s="1379"/>
      <c r="G748" s="1405"/>
      <c r="H748" s="1406"/>
      <c r="I748" s="1406"/>
      <c r="J748" s="1407"/>
      <c r="K748" s="1412"/>
      <c r="L748" s="1413"/>
      <c r="M748" s="1413"/>
      <c r="N748" s="1414"/>
      <c r="O748" s="1387"/>
      <c r="P748" s="1388"/>
      <c r="Q748" s="1388"/>
      <c r="R748" s="1388"/>
      <c r="S748" s="1389"/>
      <c r="T748" s="1387"/>
      <c r="U748" s="1388"/>
      <c r="V748" s="1388"/>
      <c r="W748" s="1389"/>
      <c r="X748" s="1433">
        <f t="shared" si="10"/>
        <v>0</v>
      </c>
      <c r="Y748" s="1434"/>
      <c r="Z748" s="1434"/>
      <c r="AA748" s="1434"/>
      <c r="AB748" s="1435"/>
      <c r="AC748" s="1429"/>
      <c r="AD748" s="1430"/>
      <c r="AE748" s="1430"/>
      <c r="AF748" s="1430"/>
      <c r="AG748" s="1431"/>
      <c r="AH748" s="1408" t="str">
        <f t="shared" si="38"/>
        <v/>
      </c>
      <c r="AI748" s="1409"/>
      <c r="AJ748" s="1410"/>
      <c r="AK748" s="1377" t="s">
        <v>826</v>
      </c>
      <c r="AL748" s="1378"/>
      <c r="AM748" s="1378"/>
      <c r="AN748" s="1378"/>
      <c r="AO748" s="1379"/>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499">
        <f t="shared" si="39"/>
        <v>0</v>
      </c>
      <c r="CH748" s="1500"/>
      <c r="CI748" s="1499">
        <f t="shared" si="40"/>
        <v>0</v>
      </c>
      <c r="CJ748" s="1500"/>
      <c r="CK748" s="1499">
        <f t="shared" si="18"/>
        <v>0</v>
      </c>
      <c r="CL748" s="1500"/>
      <c r="CM748" s="1499">
        <f t="shared" si="19"/>
        <v>0</v>
      </c>
      <c r="CN748" s="1500"/>
      <c r="CO748" s="3"/>
      <c r="CP748" s="1496">
        <f t="shared" si="20"/>
        <v>0</v>
      </c>
      <c r="CQ748" s="1497"/>
      <c r="CR748" s="1497"/>
      <c r="CS748" s="1497"/>
      <c r="CT748" s="1498"/>
      <c r="CU748" s="1494">
        <f t="shared" si="21"/>
        <v>0</v>
      </c>
      <c r="CV748" s="1494"/>
      <c r="CW748" s="1494"/>
      <c r="CX748" s="1494"/>
      <c r="CY748" s="1494"/>
      <c r="CZ748" s="1494">
        <f t="shared" si="22"/>
        <v>0</v>
      </c>
      <c r="DA748" s="1494"/>
      <c r="DB748" s="1494"/>
      <c r="DC748" s="1494"/>
      <c r="DD748" s="1494"/>
      <c r="DE748" s="1494">
        <f t="shared" si="23"/>
        <v>0</v>
      </c>
      <c r="DF748" s="1494"/>
      <c r="DG748" s="1494"/>
      <c r="DH748" s="1494"/>
      <c r="DI748" s="1494"/>
      <c r="DJ748" s="1494">
        <f t="shared" si="24"/>
        <v>0</v>
      </c>
      <c r="DK748" s="1494"/>
      <c r="DL748" s="1494"/>
      <c r="DM748" s="1494"/>
      <c r="DN748" s="1494"/>
      <c r="DO748" s="1494">
        <f t="shared" si="25"/>
        <v>0</v>
      </c>
      <c r="DP748" s="1494"/>
      <c r="DQ748" s="1494"/>
      <c r="DR748" s="1494"/>
      <c r="DS748" s="1494"/>
      <c r="DT748" s="257"/>
      <c r="DU748" s="1502">
        <f t="shared" si="26"/>
        <v>0</v>
      </c>
      <c r="DV748" s="1502"/>
      <c r="DW748" s="1502"/>
      <c r="DX748" s="1502"/>
      <c r="DY748" s="1502"/>
      <c r="DZ748" s="1502">
        <f t="shared" si="27"/>
        <v>0</v>
      </c>
      <c r="EA748" s="1502"/>
      <c r="EB748" s="1502"/>
      <c r="EC748" s="1502"/>
      <c r="ED748" s="1502"/>
      <c r="EE748" s="1502">
        <f t="shared" si="28"/>
        <v>0</v>
      </c>
      <c r="EF748" s="1502"/>
      <c r="EG748" s="1502"/>
      <c r="EH748" s="1502"/>
      <c r="EI748" s="1502"/>
      <c r="EJ748" s="1502">
        <f t="shared" si="29"/>
        <v>0</v>
      </c>
      <c r="EK748" s="1502"/>
      <c r="EL748" s="1502"/>
      <c r="EM748" s="1502"/>
      <c r="EN748" s="1502"/>
      <c r="EO748" s="1502">
        <f t="shared" si="30"/>
        <v>0</v>
      </c>
      <c r="EP748" s="1502"/>
      <c r="EQ748" s="1502"/>
      <c r="ER748" s="1502"/>
      <c r="ES748" s="1502"/>
      <c r="ET748" s="1502">
        <f t="shared" si="31"/>
        <v>0</v>
      </c>
      <c r="EU748" s="1502"/>
      <c r="EV748" s="1502"/>
      <c r="EW748" s="1502"/>
      <c r="EX748" s="1502"/>
      <c r="EZ748" s="1499" t="str">
        <f t="shared" si="32"/>
        <v/>
      </c>
      <c r="FA748" s="1501"/>
      <c r="FB748" s="1501"/>
      <c r="FC748" s="1501"/>
      <c r="FD748" s="1500"/>
      <c r="FE748" s="1499" t="str">
        <f t="shared" si="33"/>
        <v/>
      </c>
      <c r="FF748" s="1501"/>
      <c r="FG748" s="1501"/>
      <c r="FH748" s="1501"/>
      <c r="FI748" s="1500"/>
      <c r="FJ748" s="1499" t="str">
        <f t="shared" si="34"/>
        <v/>
      </c>
      <c r="FK748" s="1501"/>
      <c r="FL748" s="1501"/>
      <c r="FM748" s="1501"/>
      <c r="FN748" s="1500"/>
      <c r="FO748" s="1499" t="str">
        <f t="shared" si="35"/>
        <v/>
      </c>
      <c r="FP748" s="1501"/>
      <c r="FQ748" s="1501"/>
      <c r="FR748" s="1501"/>
      <c r="FS748" s="1500"/>
      <c r="FT748" s="1499" t="str">
        <f t="shared" si="36"/>
        <v/>
      </c>
      <c r="FU748" s="1501"/>
      <c r="FV748" s="1501"/>
      <c r="FW748" s="1501"/>
      <c r="FX748" s="1500"/>
      <c r="FY748" s="1499" t="str">
        <f t="shared" si="37"/>
        <v/>
      </c>
      <c r="FZ748" s="1501"/>
      <c r="GA748" s="1501"/>
      <c r="GB748" s="1501"/>
      <c r="GC748" s="1500"/>
    </row>
    <row r="749" spans="1:185" ht="12.95" customHeight="1">
      <c r="B749" s="1377"/>
      <c r="C749" s="1378"/>
      <c r="D749" s="1378"/>
      <c r="E749" s="1378"/>
      <c r="F749" s="1379"/>
      <c r="G749" s="1405"/>
      <c r="H749" s="1406"/>
      <c r="I749" s="1406"/>
      <c r="J749" s="1407"/>
      <c r="K749" s="1412"/>
      <c r="L749" s="1413"/>
      <c r="M749" s="1413"/>
      <c r="N749" s="1414"/>
      <c r="O749" s="1387"/>
      <c r="P749" s="1388"/>
      <c r="Q749" s="1388"/>
      <c r="R749" s="1388"/>
      <c r="S749" s="1389"/>
      <c r="T749" s="1387"/>
      <c r="U749" s="1388"/>
      <c r="V749" s="1388"/>
      <c r="W749" s="1389"/>
      <c r="X749" s="1433">
        <f t="shared" si="10"/>
        <v>0</v>
      </c>
      <c r="Y749" s="1434"/>
      <c r="Z749" s="1434"/>
      <c r="AA749" s="1434"/>
      <c r="AB749" s="1435"/>
      <c r="AC749" s="1429"/>
      <c r="AD749" s="1430"/>
      <c r="AE749" s="1430"/>
      <c r="AF749" s="1430"/>
      <c r="AG749" s="1431"/>
      <c r="AH749" s="1408" t="str">
        <f t="shared" si="38"/>
        <v/>
      </c>
      <c r="AI749" s="1409"/>
      <c r="AJ749" s="1410"/>
      <c r="AK749" s="1377" t="s">
        <v>826</v>
      </c>
      <c r="AL749" s="1378"/>
      <c r="AM749" s="1378"/>
      <c r="AN749" s="1378"/>
      <c r="AO749" s="1379"/>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499">
        <f t="shared" si="39"/>
        <v>0</v>
      </c>
      <c r="CH749" s="1500"/>
      <c r="CI749" s="1499">
        <f t="shared" si="40"/>
        <v>0</v>
      </c>
      <c r="CJ749" s="1500"/>
      <c r="CK749" s="1499">
        <f t="shared" si="18"/>
        <v>0</v>
      </c>
      <c r="CL749" s="1500"/>
      <c r="CM749" s="1499">
        <f t="shared" si="19"/>
        <v>0</v>
      </c>
      <c r="CN749" s="1500"/>
      <c r="CO749" s="3"/>
      <c r="CP749" s="1496">
        <f t="shared" si="20"/>
        <v>0</v>
      </c>
      <c r="CQ749" s="1497"/>
      <c r="CR749" s="1497"/>
      <c r="CS749" s="1497"/>
      <c r="CT749" s="1498"/>
      <c r="CU749" s="1494">
        <f t="shared" si="21"/>
        <v>0</v>
      </c>
      <c r="CV749" s="1494"/>
      <c r="CW749" s="1494"/>
      <c r="CX749" s="1494"/>
      <c r="CY749" s="1494"/>
      <c r="CZ749" s="1494">
        <f t="shared" si="22"/>
        <v>0</v>
      </c>
      <c r="DA749" s="1494"/>
      <c r="DB749" s="1494"/>
      <c r="DC749" s="1494"/>
      <c r="DD749" s="1494"/>
      <c r="DE749" s="1494">
        <f t="shared" si="23"/>
        <v>0</v>
      </c>
      <c r="DF749" s="1494"/>
      <c r="DG749" s="1494"/>
      <c r="DH749" s="1494"/>
      <c r="DI749" s="1494"/>
      <c r="DJ749" s="1494">
        <f t="shared" si="24"/>
        <v>0</v>
      </c>
      <c r="DK749" s="1494"/>
      <c r="DL749" s="1494"/>
      <c r="DM749" s="1494"/>
      <c r="DN749" s="1494"/>
      <c r="DO749" s="1494">
        <f t="shared" si="25"/>
        <v>0</v>
      </c>
      <c r="DP749" s="1494"/>
      <c r="DQ749" s="1494"/>
      <c r="DR749" s="1494"/>
      <c r="DS749" s="1494"/>
      <c r="DT749" s="257"/>
      <c r="DU749" s="1502">
        <f t="shared" si="26"/>
        <v>0</v>
      </c>
      <c r="DV749" s="1502"/>
      <c r="DW749" s="1502"/>
      <c r="DX749" s="1502"/>
      <c r="DY749" s="1502"/>
      <c r="DZ749" s="1502">
        <f t="shared" si="27"/>
        <v>0</v>
      </c>
      <c r="EA749" s="1502"/>
      <c r="EB749" s="1502"/>
      <c r="EC749" s="1502"/>
      <c r="ED749" s="1502"/>
      <c r="EE749" s="1502">
        <f t="shared" si="28"/>
        <v>0</v>
      </c>
      <c r="EF749" s="1502"/>
      <c r="EG749" s="1502"/>
      <c r="EH749" s="1502"/>
      <c r="EI749" s="1502"/>
      <c r="EJ749" s="1502">
        <f t="shared" si="29"/>
        <v>0</v>
      </c>
      <c r="EK749" s="1502"/>
      <c r="EL749" s="1502"/>
      <c r="EM749" s="1502"/>
      <c r="EN749" s="1502"/>
      <c r="EO749" s="1502">
        <f t="shared" si="30"/>
        <v>0</v>
      </c>
      <c r="EP749" s="1502"/>
      <c r="EQ749" s="1502"/>
      <c r="ER749" s="1502"/>
      <c r="ES749" s="1502"/>
      <c r="ET749" s="1502">
        <f t="shared" si="31"/>
        <v>0</v>
      </c>
      <c r="EU749" s="1502"/>
      <c r="EV749" s="1502"/>
      <c r="EW749" s="1502"/>
      <c r="EX749" s="1502"/>
      <c r="EZ749" s="1499" t="str">
        <f t="shared" si="32"/>
        <v/>
      </c>
      <c r="FA749" s="1501"/>
      <c r="FB749" s="1501"/>
      <c r="FC749" s="1501"/>
      <c r="FD749" s="1500"/>
      <c r="FE749" s="1499" t="str">
        <f t="shared" si="33"/>
        <v/>
      </c>
      <c r="FF749" s="1501"/>
      <c r="FG749" s="1501"/>
      <c r="FH749" s="1501"/>
      <c r="FI749" s="1500"/>
      <c r="FJ749" s="1499" t="str">
        <f t="shared" si="34"/>
        <v/>
      </c>
      <c r="FK749" s="1501"/>
      <c r="FL749" s="1501"/>
      <c r="FM749" s="1501"/>
      <c r="FN749" s="1500"/>
      <c r="FO749" s="1499" t="str">
        <f t="shared" si="35"/>
        <v/>
      </c>
      <c r="FP749" s="1501"/>
      <c r="FQ749" s="1501"/>
      <c r="FR749" s="1501"/>
      <c r="FS749" s="1500"/>
      <c r="FT749" s="1499" t="str">
        <f t="shared" si="36"/>
        <v/>
      </c>
      <c r="FU749" s="1501"/>
      <c r="FV749" s="1501"/>
      <c r="FW749" s="1501"/>
      <c r="FX749" s="1500"/>
      <c r="FY749" s="1499" t="str">
        <f t="shared" si="37"/>
        <v/>
      </c>
      <c r="FZ749" s="1501"/>
      <c r="GA749" s="1501"/>
      <c r="GB749" s="1501"/>
      <c r="GC749" s="1500"/>
    </row>
    <row r="750" spans="1:185" ht="12.95" customHeight="1">
      <c r="B750" s="1377"/>
      <c r="C750" s="1378"/>
      <c r="D750" s="1378"/>
      <c r="E750" s="1378"/>
      <c r="F750" s="1379"/>
      <c r="G750" s="1405"/>
      <c r="H750" s="1406"/>
      <c r="I750" s="1406"/>
      <c r="J750" s="1407"/>
      <c r="K750" s="1412"/>
      <c r="L750" s="1413"/>
      <c r="M750" s="1413"/>
      <c r="N750" s="1414"/>
      <c r="O750" s="1387"/>
      <c r="P750" s="1388"/>
      <c r="Q750" s="1388"/>
      <c r="R750" s="1388"/>
      <c r="S750" s="1389"/>
      <c r="T750" s="1387"/>
      <c r="U750" s="1388"/>
      <c r="V750" s="1388"/>
      <c r="W750" s="1389"/>
      <c r="X750" s="1433">
        <f t="shared" ref="X750:X759" si="41">O750+T750</f>
        <v>0</v>
      </c>
      <c r="Y750" s="1434"/>
      <c r="Z750" s="1434"/>
      <c r="AA750" s="1434"/>
      <c r="AB750" s="1435"/>
      <c r="AC750" s="1429"/>
      <c r="AD750" s="1430"/>
      <c r="AE750" s="1430"/>
      <c r="AF750" s="1430"/>
      <c r="AG750" s="1431"/>
      <c r="AH750" s="1408" t="str">
        <f t="shared" si="38"/>
        <v/>
      </c>
      <c r="AI750" s="1409"/>
      <c r="AJ750" s="1410"/>
      <c r="AK750" s="1377" t="s">
        <v>826</v>
      </c>
      <c r="AL750" s="1378"/>
      <c r="AM750" s="1378"/>
      <c r="AN750" s="1378"/>
      <c r="AO750" s="1379"/>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499">
        <f t="shared" si="39"/>
        <v>0</v>
      </c>
      <c r="CH750" s="1500"/>
      <c r="CI750" s="1499">
        <f t="shared" si="40"/>
        <v>0</v>
      </c>
      <c r="CJ750" s="1500"/>
      <c r="CK750" s="1499">
        <f t="shared" si="18"/>
        <v>0</v>
      </c>
      <c r="CL750" s="1500"/>
      <c r="CM750" s="1499">
        <f t="shared" si="19"/>
        <v>0</v>
      </c>
      <c r="CN750" s="1500"/>
      <c r="CO750" s="3"/>
      <c r="CP750" s="1496">
        <f t="shared" si="20"/>
        <v>0</v>
      </c>
      <c r="CQ750" s="1497"/>
      <c r="CR750" s="1497"/>
      <c r="CS750" s="1497"/>
      <c r="CT750" s="1498"/>
      <c r="CU750" s="1494">
        <f t="shared" si="21"/>
        <v>0</v>
      </c>
      <c r="CV750" s="1494"/>
      <c r="CW750" s="1494"/>
      <c r="CX750" s="1494"/>
      <c r="CY750" s="1494"/>
      <c r="CZ750" s="1494">
        <f t="shared" si="22"/>
        <v>0</v>
      </c>
      <c r="DA750" s="1494"/>
      <c r="DB750" s="1494"/>
      <c r="DC750" s="1494"/>
      <c r="DD750" s="1494"/>
      <c r="DE750" s="1494">
        <f t="shared" si="23"/>
        <v>0</v>
      </c>
      <c r="DF750" s="1494"/>
      <c r="DG750" s="1494"/>
      <c r="DH750" s="1494"/>
      <c r="DI750" s="1494"/>
      <c r="DJ750" s="1494">
        <f t="shared" si="24"/>
        <v>0</v>
      </c>
      <c r="DK750" s="1494"/>
      <c r="DL750" s="1494"/>
      <c r="DM750" s="1494"/>
      <c r="DN750" s="1494"/>
      <c r="DO750" s="1494">
        <f t="shared" si="25"/>
        <v>0</v>
      </c>
      <c r="DP750" s="1494"/>
      <c r="DQ750" s="1494"/>
      <c r="DR750" s="1494"/>
      <c r="DS750" s="1494"/>
      <c r="DT750" s="257"/>
      <c r="DU750" s="1502">
        <f t="shared" si="26"/>
        <v>0</v>
      </c>
      <c r="DV750" s="1502"/>
      <c r="DW750" s="1502"/>
      <c r="DX750" s="1502"/>
      <c r="DY750" s="1502"/>
      <c r="DZ750" s="1502">
        <f t="shared" si="27"/>
        <v>0</v>
      </c>
      <c r="EA750" s="1502"/>
      <c r="EB750" s="1502"/>
      <c r="EC750" s="1502"/>
      <c r="ED750" s="1502"/>
      <c r="EE750" s="1502">
        <f t="shared" si="28"/>
        <v>0</v>
      </c>
      <c r="EF750" s="1502"/>
      <c r="EG750" s="1502"/>
      <c r="EH750" s="1502"/>
      <c r="EI750" s="1502"/>
      <c r="EJ750" s="1502">
        <f t="shared" si="29"/>
        <v>0</v>
      </c>
      <c r="EK750" s="1502"/>
      <c r="EL750" s="1502"/>
      <c r="EM750" s="1502"/>
      <c r="EN750" s="1502"/>
      <c r="EO750" s="1502">
        <f t="shared" si="30"/>
        <v>0</v>
      </c>
      <c r="EP750" s="1502"/>
      <c r="EQ750" s="1502"/>
      <c r="ER750" s="1502"/>
      <c r="ES750" s="1502"/>
      <c r="ET750" s="1502">
        <f t="shared" si="31"/>
        <v>0</v>
      </c>
      <c r="EU750" s="1502"/>
      <c r="EV750" s="1502"/>
      <c r="EW750" s="1502"/>
      <c r="EX750" s="1502"/>
      <c r="EZ750" s="1499" t="str">
        <f t="shared" si="32"/>
        <v/>
      </c>
      <c r="FA750" s="1501"/>
      <c r="FB750" s="1501"/>
      <c r="FC750" s="1501"/>
      <c r="FD750" s="1500"/>
      <c r="FE750" s="1499" t="str">
        <f t="shared" si="33"/>
        <v/>
      </c>
      <c r="FF750" s="1501"/>
      <c r="FG750" s="1501"/>
      <c r="FH750" s="1501"/>
      <c r="FI750" s="1500"/>
      <c r="FJ750" s="1499" t="str">
        <f t="shared" si="34"/>
        <v/>
      </c>
      <c r="FK750" s="1501"/>
      <c r="FL750" s="1501"/>
      <c r="FM750" s="1501"/>
      <c r="FN750" s="1500"/>
      <c r="FO750" s="1499" t="str">
        <f t="shared" si="35"/>
        <v/>
      </c>
      <c r="FP750" s="1501"/>
      <c r="FQ750" s="1501"/>
      <c r="FR750" s="1501"/>
      <c r="FS750" s="1500"/>
      <c r="FT750" s="1499" t="str">
        <f t="shared" si="36"/>
        <v/>
      </c>
      <c r="FU750" s="1501"/>
      <c r="FV750" s="1501"/>
      <c r="FW750" s="1501"/>
      <c r="FX750" s="1500"/>
      <c r="FY750" s="1499" t="str">
        <f t="shared" si="37"/>
        <v/>
      </c>
      <c r="FZ750" s="1501"/>
      <c r="GA750" s="1501"/>
      <c r="GB750" s="1501"/>
      <c r="GC750" s="1500"/>
    </row>
    <row r="751" spans="1:185" s="3" customFormat="1" ht="12.95" customHeight="1">
      <c r="A751"/>
      <c r="B751" s="1377"/>
      <c r="C751" s="1378"/>
      <c r="D751" s="1378"/>
      <c r="E751" s="1378"/>
      <c r="F751" s="1379"/>
      <c r="G751" s="1405"/>
      <c r="H751" s="1406"/>
      <c r="I751" s="1406"/>
      <c r="J751" s="1407"/>
      <c r="K751" s="1412"/>
      <c r="L751" s="1413"/>
      <c r="M751" s="1413"/>
      <c r="N751" s="1414"/>
      <c r="O751" s="1387"/>
      <c r="P751" s="1388"/>
      <c r="Q751" s="1388"/>
      <c r="R751" s="1388"/>
      <c r="S751" s="1389"/>
      <c r="T751" s="1387"/>
      <c r="U751" s="1388"/>
      <c r="V751" s="1388"/>
      <c r="W751" s="1389"/>
      <c r="X751" s="1433">
        <f t="shared" si="41"/>
        <v>0</v>
      </c>
      <c r="Y751" s="1434"/>
      <c r="Z751" s="1434"/>
      <c r="AA751" s="1434"/>
      <c r="AB751" s="1435"/>
      <c r="AC751" s="1429"/>
      <c r="AD751" s="1430"/>
      <c r="AE751" s="1430"/>
      <c r="AF751" s="1430"/>
      <c r="AG751" s="1431"/>
      <c r="AH751" s="1408" t="str">
        <f t="shared" si="38"/>
        <v/>
      </c>
      <c r="AI751" s="1409"/>
      <c r="AJ751" s="1410"/>
      <c r="AK751" s="1377" t="s">
        <v>826</v>
      </c>
      <c r="AL751" s="1378"/>
      <c r="AM751" s="1378"/>
      <c r="AN751" s="1378"/>
      <c r="AO751" s="1379"/>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499">
        <f t="shared" si="39"/>
        <v>0</v>
      </c>
      <c r="CH751" s="1500"/>
      <c r="CI751" s="1499">
        <f t="shared" si="40"/>
        <v>0</v>
      </c>
      <c r="CJ751" s="1500"/>
      <c r="CK751" s="1499">
        <f t="shared" si="18"/>
        <v>0</v>
      </c>
      <c r="CL751" s="1500"/>
      <c r="CM751" s="1499">
        <f t="shared" si="19"/>
        <v>0</v>
      </c>
      <c r="CN751" s="1500"/>
      <c r="CP751" s="1496">
        <f t="shared" si="20"/>
        <v>0</v>
      </c>
      <c r="CQ751" s="1497"/>
      <c r="CR751" s="1497"/>
      <c r="CS751" s="1497"/>
      <c r="CT751" s="1498"/>
      <c r="CU751" s="1494">
        <f t="shared" si="21"/>
        <v>0</v>
      </c>
      <c r="CV751" s="1494"/>
      <c r="CW751" s="1494"/>
      <c r="CX751" s="1494"/>
      <c r="CY751" s="1494"/>
      <c r="CZ751" s="1494">
        <f t="shared" si="22"/>
        <v>0</v>
      </c>
      <c r="DA751" s="1494"/>
      <c r="DB751" s="1494"/>
      <c r="DC751" s="1494"/>
      <c r="DD751" s="1494"/>
      <c r="DE751" s="1494">
        <f t="shared" si="23"/>
        <v>0</v>
      </c>
      <c r="DF751" s="1494"/>
      <c r="DG751" s="1494"/>
      <c r="DH751" s="1494"/>
      <c r="DI751" s="1494"/>
      <c r="DJ751" s="1494">
        <f t="shared" si="24"/>
        <v>0</v>
      </c>
      <c r="DK751" s="1494"/>
      <c r="DL751" s="1494"/>
      <c r="DM751" s="1494"/>
      <c r="DN751" s="1494"/>
      <c r="DO751" s="1494">
        <f t="shared" si="25"/>
        <v>0</v>
      </c>
      <c r="DP751" s="1494"/>
      <c r="DQ751" s="1494"/>
      <c r="DR751" s="1494"/>
      <c r="DS751" s="1494"/>
      <c r="DT751" s="257"/>
      <c r="DU751" s="1502">
        <f t="shared" si="26"/>
        <v>0</v>
      </c>
      <c r="DV751" s="1502"/>
      <c r="DW751" s="1502"/>
      <c r="DX751" s="1502"/>
      <c r="DY751" s="1502"/>
      <c r="DZ751" s="1502">
        <f t="shared" si="27"/>
        <v>0</v>
      </c>
      <c r="EA751" s="1502"/>
      <c r="EB751" s="1502"/>
      <c r="EC751" s="1502"/>
      <c r="ED751" s="1502"/>
      <c r="EE751" s="1502">
        <f t="shared" si="28"/>
        <v>0</v>
      </c>
      <c r="EF751" s="1502"/>
      <c r="EG751" s="1502"/>
      <c r="EH751" s="1502"/>
      <c r="EI751" s="1502"/>
      <c r="EJ751" s="1502">
        <f t="shared" si="29"/>
        <v>0</v>
      </c>
      <c r="EK751" s="1502"/>
      <c r="EL751" s="1502"/>
      <c r="EM751" s="1502"/>
      <c r="EN751" s="1502"/>
      <c r="EO751" s="1502">
        <f t="shared" si="30"/>
        <v>0</v>
      </c>
      <c r="EP751" s="1502"/>
      <c r="EQ751" s="1502"/>
      <c r="ER751" s="1502"/>
      <c r="ES751" s="1502"/>
      <c r="ET751" s="1502">
        <f t="shared" si="31"/>
        <v>0</v>
      </c>
      <c r="EU751" s="1502"/>
      <c r="EV751" s="1502"/>
      <c r="EW751" s="1502"/>
      <c r="EX751" s="1502"/>
      <c r="EY751"/>
      <c r="EZ751" s="1499" t="str">
        <f t="shared" si="32"/>
        <v/>
      </c>
      <c r="FA751" s="1501"/>
      <c r="FB751" s="1501"/>
      <c r="FC751" s="1501"/>
      <c r="FD751" s="1500"/>
      <c r="FE751" s="1499" t="str">
        <f t="shared" si="33"/>
        <v/>
      </c>
      <c r="FF751" s="1501"/>
      <c r="FG751" s="1501"/>
      <c r="FH751" s="1501"/>
      <c r="FI751" s="1500"/>
      <c r="FJ751" s="1499" t="str">
        <f t="shared" si="34"/>
        <v/>
      </c>
      <c r="FK751" s="1501"/>
      <c r="FL751" s="1501"/>
      <c r="FM751" s="1501"/>
      <c r="FN751" s="1500"/>
      <c r="FO751" s="1499" t="str">
        <f t="shared" si="35"/>
        <v/>
      </c>
      <c r="FP751" s="1501"/>
      <c r="FQ751" s="1501"/>
      <c r="FR751" s="1501"/>
      <c r="FS751" s="1500"/>
      <c r="FT751" s="1499" t="str">
        <f t="shared" si="36"/>
        <v/>
      </c>
      <c r="FU751" s="1501"/>
      <c r="FV751" s="1501"/>
      <c r="FW751" s="1501"/>
      <c r="FX751" s="1500"/>
      <c r="FY751" s="1499" t="str">
        <f t="shared" si="37"/>
        <v/>
      </c>
      <c r="FZ751" s="1501"/>
      <c r="GA751" s="1501"/>
      <c r="GB751" s="1501"/>
      <c r="GC751" s="1500"/>
    </row>
    <row r="752" spans="1:185" ht="12.95" customHeight="1">
      <c r="B752" s="1377"/>
      <c r="C752" s="1378"/>
      <c r="D752" s="1378"/>
      <c r="E752" s="1378"/>
      <c r="F752" s="1379"/>
      <c r="G752" s="1405"/>
      <c r="H752" s="1406"/>
      <c r="I752" s="1406"/>
      <c r="J752" s="1407"/>
      <c r="K752" s="1412"/>
      <c r="L752" s="1413"/>
      <c r="M752" s="1413"/>
      <c r="N752" s="1414"/>
      <c r="O752" s="1387"/>
      <c r="P752" s="1388"/>
      <c r="Q752" s="1388"/>
      <c r="R752" s="1388"/>
      <c r="S752" s="1389"/>
      <c r="T752" s="1387"/>
      <c r="U752" s="1388"/>
      <c r="V752" s="1388"/>
      <c r="W752" s="1389"/>
      <c r="X752" s="1433">
        <f t="shared" si="41"/>
        <v>0</v>
      </c>
      <c r="Y752" s="1434"/>
      <c r="Z752" s="1434"/>
      <c r="AA752" s="1434"/>
      <c r="AB752" s="1435"/>
      <c r="AC752" s="1429"/>
      <c r="AD752" s="1430"/>
      <c r="AE752" s="1430"/>
      <c r="AF752" s="1430"/>
      <c r="AG752" s="1431"/>
      <c r="AH752" s="1408" t="str">
        <f t="shared" si="38"/>
        <v/>
      </c>
      <c r="AI752" s="1409"/>
      <c r="AJ752" s="1410"/>
      <c r="AK752" s="1377" t="s">
        <v>826</v>
      </c>
      <c r="AL752" s="1378"/>
      <c r="AM752" s="1378"/>
      <c r="AN752" s="1378"/>
      <c r="AO752" s="1379"/>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499">
        <f t="shared" si="39"/>
        <v>0</v>
      </c>
      <c r="CH752" s="1500"/>
      <c r="CI752" s="1499">
        <f t="shared" si="40"/>
        <v>0</v>
      </c>
      <c r="CJ752" s="1500"/>
      <c r="CK752" s="1499">
        <f t="shared" si="18"/>
        <v>0</v>
      </c>
      <c r="CL752" s="1500"/>
      <c r="CM752" s="1499">
        <f t="shared" si="19"/>
        <v>0</v>
      </c>
      <c r="CN752" s="1500"/>
      <c r="CO752" s="3"/>
      <c r="CP752" s="1496">
        <f t="shared" si="20"/>
        <v>0</v>
      </c>
      <c r="CQ752" s="1497"/>
      <c r="CR752" s="1497"/>
      <c r="CS752" s="1497"/>
      <c r="CT752" s="1498"/>
      <c r="CU752" s="1494">
        <f t="shared" si="21"/>
        <v>0</v>
      </c>
      <c r="CV752" s="1494"/>
      <c r="CW752" s="1494"/>
      <c r="CX752" s="1494"/>
      <c r="CY752" s="1494"/>
      <c r="CZ752" s="1494">
        <f t="shared" si="22"/>
        <v>0</v>
      </c>
      <c r="DA752" s="1494"/>
      <c r="DB752" s="1494"/>
      <c r="DC752" s="1494"/>
      <c r="DD752" s="1494"/>
      <c r="DE752" s="1494">
        <f t="shared" si="23"/>
        <v>0</v>
      </c>
      <c r="DF752" s="1494"/>
      <c r="DG752" s="1494"/>
      <c r="DH752" s="1494"/>
      <c r="DI752" s="1494"/>
      <c r="DJ752" s="1494">
        <f t="shared" si="24"/>
        <v>0</v>
      </c>
      <c r="DK752" s="1494"/>
      <c r="DL752" s="1494"/>
      <c r="DM752" s="1494"/>
      <c r="DN752" s="1494"/>
      <c r="DO752" s="1494">
        <f t="shared" si="25"/>
        <v>0</v>
      </c>
      <c r="DP752" s="1494"/>
      <c r="DQ752" s="1494"/>
      <c r="DR752" s="1494"/>
      <c r="DS752" s="1494"/>
      <c r="DT752" s="257"/>
      <c r="DU752" s="1502">
        <f t="shared" si="26"/>
        <v>0</v>
      </c>
      <c r="DV752" s="1502"/>
      <c r="DW752" s="1502"/>
      <c r="DX752" s="1502"/>
      <c r="DY752" s="1502"/>
      <c r="DZ752" s="1502">
        <f t="shared" si="27"/>
        <v>0</v>
      </c>
      <c r="EA752" s="1502"/>
      <c r="EB752" s="1502"/>
      <c r="EC752" s="1502"/>
      <c r="ED752" s="1502"/>
      <c r="EE752" s="1502">
        <f t="shared" si="28"/>
        <v>0</v>
      </c>
      <c r="EF752" s="1502"/>
      <c r="EG752" s="1502"/>
      <c r="EH752" s="1502"/>
      <c r="EI752" s="1502"/>
      <c r="EJ752" s="1502">
        <f t="shared" si="29"/>
        <v>0</v>
      </c>
      <c r="EK752" s="1502"/>
      <c r="EL752" s="1502"/>
      <c r="EM752" s="1502"/>
      <c r="EN752" s="1502"/>
      <c r="EO752" s="1502">
        <f t="shared" si="30"/>
        <v>0</v>
      </c>
      <c r="EP752" s="1502"/>
      <c r="EQ752" s="1502"/>
      <c r="ER752" s="1502"/>
      <c r="ES752" s="1502"/>
      <c r="ET752" s="1502">
        <f t="shared" si="31"/>
        <v>0</v>
      </c>
      <c r="EU752" s="1502"/>
      <c r="EV752" s="1502"/>
      <c r="EW752" s="1502"/>
      <c r="EX752" s="1502"/>
      <c r="EZ752" s="1499" t="str">
        <f t="shared" si="32"/>
        <v/>
      </c>
      <c r="FA752" s="1501"/>
      <c r="FB752" s="1501"/>
      <c r="FC752" s="1501"/>
      <c r="FD752" s="1500"/>
      <c r="FE752" s="1499" t="str">
        <f t="shared" si="33"/>
        <v/>
      </c>
      <c r="FF752" s="1501"/>
      <c r="FG752" s="1501"/>
      <c r="FH752" s="1501"/>
      <c r="FI752" s="1500"/>
      <c r="FJ752" s="1499" t="str">
        <f t="shared" si="34"/>
        <v/>
      </c>
      <c r="FK752" s="1501"/>
      <c r="FL752" s="1501"/>
      <c r="FM752" s="1501"/>
      <c r="FN752" s="1500"/>
      <c r="FO752" s="1499" t="str">
        <f t="shared" si="35"/>
        <v/>
      </c>
      <c r="FP752" s="1501"/>
      <c r="FQ752" s="1501"/>
      <c r="FR752" s="1501"/>
      <c r="FS752" s="1500"/>
      <c r="FT752" s="1499" t="str">
        <f t="shared" si="36"/>
        <v/>
      </c>
      <c r="FU752" s="1501"/>
      <c r="FV752" s="1501"/>
      <c r="FW752" s="1501"/>
      <c r="FX752" s="1500"/>
      <c r="FY752" s="1499" t="str">
        <f t="shared" si="37"/>
        <v/>
      </c>
      <c r="FZ752" s="1501"/>
      <c r="GA752" s="1501"/>
      <c r="GB752" s="1501"/>
      <c r="GC752" s="1500"/>
    </row>
    <row r="753" spans="1:185" ht="12.95" customHeight="1">
      <c r="B753" s="1377"/>
      <c r="C753" s="1378"/>
      <c r="D753" s="1378"/>
      <c r="E753" s="1378"/>
      <c r="F753" s="1379"/>
      <c r="G753" s="1405"/>
      <c r="H753" s="1406"/>
      <c r="I753" s="1406"/>
      <c r="J753" s="1407"/>
      <c r="K753" s="1412"/>
      <c r="L753" s="1413"/>
      <c r="M753" s="1413"/>
      <c r="N753" s="1414"/>
      <c r="O753" s="1387"/>
      <c r="P753" s="1388"/>
      <c r="Q753" s="1388"/>
      <c r="R753" s="1388"/>
      <c r="S753" s="1389"/>
      <c r="T753" s="1387"/>
      <c r="U753" s="1388"/>
      <c r="V753" s="1388"/>
      <c r="W753" s="1389"/>
      <c r="X753" s="1433">
        <f t="shared" si="41"/>
        <v>0</v>
      </c>
      <c r="Y753" s="1434"/>
      <c r="Z753" s="1434"/>
      <c r="AA753" s="1434"/>
      <c r="AB753" s="1435"/>
      <c r="AC753" s="1429"/>
      <c r="AD753" s="1430"/>
      <c r="AE753" s="1430"/>
      <c r="AF753" s="1430"/>
      <c r="AG753" s="1431"/>
      <c r="AH753" s="1408" t="str">
        <f t="shared" si="38"/>
        <v/>
      </c>
      <c r="AI753" s="1409"/>
      <c r="AJ753" s="1410"/>
      <c r="AK753" s="1377" t="s">
        <v>826</v>
      </c>
      <c r="AL753" s="1378"/>
      <c r="AM753" s="1378"/>
      <c r="AN753" s="1378"/>
      <c r="AO753" s="1379"/>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499">
        <f t="shared" si="39"/>
        <v>0</v>
      </c>
      <c r="CH753" s="1500"/>
      <c r="CI753" s="1499">
        <f t="shared" si="40"/>
        <v>0</v>
      </c>
      <c r="CJ753" s="1500"/>
      <c r="CK753" s="1499">
        <f t="shared" si="18"/>
        <v>0</v>
      </c>
      <c r="CL753" s="1500"/>
      <c r="CM753" s="1499">
        <f t="shared" si="19"/>
        <v>0</v>
      </c>
      <c r="CN753" s="1500"/>
      <c r="CO753" s="3"/>
      <c r="CP753" s="1496">
        <f t="shared" si="20"/>
        <v>0</v>
      </c>
      <c r="CQ753" s="1497"/>
      <c r="CR753" s="1497"/>
      <c r="CS753" s="1497"/>
      <c r="CT753" s="1498"/>
      <c r="CU753" s="1494">
        <f t="shared" si="21"/>
        <v>0</v>
      </c>
      <c r="CV753" s="1494"/>
      <c r="CW753" s="1494"/>
      <c r="CX753" s="1494"/>
      <c r="CY753" s="1494"/>
      <c r="CZ753" s="1494">
        <f t="shared" si="22"/>
        <v>0</v>
      </c>
      <c r="DA753" s="1494"/>
      <c r="DB753" s="1494"/>
      <c r="DC753" s="1494"/>
      <c r="DD753" s="1494"/>
      <c r="DE753" s="1494">
        <f t="shared" si="23"/>
        <v>0</v>
      </c>
      <c r="DF753" s="1494"/>
      <c r="DG753" s="1494"/>
      <c r="DH753" s="1494"/>
      <c r="DI753" s="1494"/>
      <c r="DJ753" s="1494">
        <f t="shared" si="24"/>
        <v>0</v>
      </c>
      <c r="DK753" s="1494"/>
      <c r="DL753" s="1494"/>
      <c r="DM753" s="1494"/>
      <c r="DN753" s="1494"/>
      <c r="DO753" s="1494">
        <f t="shared" si="25"/>
        <v>0</v>
      </c>
      <c r="DP753" s="1494"/>
      <c r="DQ753" s="1494"/>
      <c r="DR753" s="1494"/>
      <c r="DS753" s="1494"/>
      <c r="DT753" s="257"/>
      <c r="DU753" s="1502">
        <f t="shared" si="26"/>
        <v>0</v>
      </c>
      <c r="DV753" s="1502"/>
      <c r="DW753" s="1502"/>
      <c r="DX753" s="1502"/>
      <c r="DY753" s="1502"/>
      <c r="DZ753" s="1502">
        <f t="shared" si="27"/>
        <v>0</v>
      </c>
      <c r="EA753" s="1502"/>
      <c r="EB753" s="1502"/>
      <c r="EC753" s="1502"/>
      <c r="ED753" s="1502"/>
      <c r="EE753" s="1502">
        <f t="shared" si="28"/>
        <v>0</v>
      </c>
      <c r="EF753" s="1502"/>
      <c r="EG753" s="1502"/>
      <c r="EH753" s="1502"/>
      <c r="EI753" s="1502"/>
      <c r="EJ753" s="1502">
        <f t="shared" si="29"/>
        <v>0</v>
      </c>
      <c r="EK753" s="1502"/>
      <c r="EL753" s="1502"/>
      <c r="EM753" s="1502"/>
      <c r="EN753" s="1502"/>
      <c r="EO753" s="1502">
        <f t="shared" si="30"/>
        <v>0</v>
      </c>
      <c r="EP753" s="1502"/>
      <c r="EQ753" s="1502"/>
      <c r="ER753" s="1502"/>
      <c r="ES753" s="1502"/>
      <c r="ET753" s="1502">
        <f t="shared" si="31"/>
        <v>0</v>
      </c>
      <c r="EU753" s="1502"/>
      <c r="EV753" s="1502"/>
      <c r="EW753" s="1502"/>
      <c r="EX753" s="1502"/>
      <c r="EZ753" s="1499" t="str">
        <f t="shared" si="32"/>
        <v/>
      </c>
      <c r="FA753" s="1501"/>
      <c r="FB753" s="1501"/>
      <c r="FC753" s="1501"/>
      <c r="FD753" s="1500"/>
      <c r="FE753" s="1499" t="str">
        <f t="shared" si="33"/>
        <v/>
      </c>
      <c r="FF753" s="1501"/>
      <c r="FG753" s="1501"/>
      <c r="FH753" s="1501"/>
      <c r="FI753" s="1500"/>
      <c r="FJ753" s="1499" t="str">
        <f t="shared" si="34"/>
        <v/>
      </c>
      <c r="FK753" s="1501"/>
      <c r="FL753" s="1501"/>
      <c r="FM753" s="1501"/>
      <c r="FN753" s="1500"/>
      <c r="FO753" s="1499" t="str">
        <f t="shared" si="35"/>
        <v/>
      </c>
      <c r="FP753" s="1501"/>
      <c r="FQ753" s="1501"/>
      <c r="FR753" s="1501"/>
      <c r="FS753" s="1500"/>
      <c r="FT753" s="1499" t="str">
        <f t="shared" si="36"/>
        <v/>
      </c>
      <c r="FU753" s="1501"/>
      <c r="FV753" s="1501"/>
      <c r="FW753" s="1501"/>
      <c r="FX753" s="1500"/>
      <c r="FY753" s="1499" t="str">
        <f t="shared" si="37"/>
        <v/>
      </c>
      <c r="FZ753" s="1501"/>
      <c r="GA753" s="1501"/>
      <c r="GB753" s="1501"/>
      <c r="GC753" s="1500"/>
    </row>
    <row r="754" spans="1:185" ht="12.95" customHeight="1">
      <c r="B754" s="1377"/>
      <c r="C754" s="1378"/>
      <c r="D754" s="1378"/>
      <c r="E754" s="1378"/>
      <c r="F754" s="1379"/>
      <c r="G754" s="1405"/>
      <c r="H754" s="1406"/>
      <c r="I754" s="1406"/>
      <c r="J754" s="1407"/>
      <c r="K754" s="1412"/>
      <c r="L754" s="1413"/>
      <c r="M754" s="1413"/>
      <c r="N754" s="1414"/>
      <c r="O754" s="1387"/>
      <c r="P754" s="1388"/>
      <c r="Q754" s="1388"/>
      <c r="R754" s="1388"/>
      <c r="S754" s="1389"/>
      <c r="T754" s="1387"/>
      <c r="U754" s="1388"/>
      <c r="V754" s="1388"/>
      <c r="W754" s="1389"/>
      <c r="X754" s="1433">
        <f t="shared" si="41"/>
        <v>0</v>
      </c>
      <c r="Y754" s="1434"/>
      <c r="Z754" s="1434"/>
      <c r="AA754" s="1434"/>
      <c r="AB754" s="1435"/>
      <c r="AC754" s="1429"/>
      <c r="AD754" s="1430"/>
      <c r="AE754" s="1430"/>
      <c r="AF754" s="1430"/>
      <c r="AG754" s="1431"/>
      <c r="AH754" s="1408" t="str">
        <f t="shared" si="38"/>
        <v/>
      </c>
      <c r="AI754" s="1409"/>
      <c r="AJ754" s="1410"/>
      <c r="AK754" s="1377" t="s">
        <v>826</v>
      </c>
      <c r="AL754" s="1378"/>
      <c r="AM754" s="1378"/>
      <c r="AN754" s="1378"/>
      <c r="AO754" s="1379"/>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499">
        <f t="shared" si="39"/>
        <v>0</v>
      </c>
      <c r="CH754" s="1500"/>
      <c r="CI754" s="1499">
        <f t="shared" si="40"/>
        <v>0</v>
      </c>
      <c r="CJ754" s="1500"/>
      <c r="CK754" s="1499">
        <f t="shared" si="18"/>
        <v>0</v>
      </c>
      <c r="CL754" s="1500"/>
      <c r="CM754" s="1499">
        <f t="shared" si="19"/>
        <v>0</v>
      </c>
      <c r="CN754" s="1500"/>
      <c r="CO754" s="3"/>
      <c r="CP754" s="1496">
        <f t="shared" si="20"/>
        <v>0</v>
      </c>
      <c r="CQ754" s="1497"/>
      <c r="CR754" s="1497"/>
      <c r="CS754" s="1497"/>
      <c r="CT754" s="1498"/>
      <c r="CU754" s="1494">
        <f t="shared" si="21"/>
        <v>0</v>
      </c>
      <c r="CV754" s="1494"/>
      <c r="CW754" s="1494"/>
      <c r="CX754" s="1494"/>
      <c r="CY754" s="1494"/>
      <c r="CZ754" s="1494">
        <f t="shared" si="22"/>
        <v>0</v>
      </c>
      <c r="DA754" s="1494"/>
      <c r="DB754" s="1494"/>
      <c r="DC754" s="1494"/>
      <c r="DD754" s="1494"/>
      <c r="DE754" s="1494">
        <f t="shared" si="23"/>
        <v>0</v>
      </c>
      <c r="DF754" s="1494"/>
      <c r="DG754" s="1494"/>
      <c r="DH754" s="1494"/>
      <c r="DI754" s="1494"/>
      <c r="DJ754" s="1494">
        <f t="shared" si="24"/>
        <v>0</v>
      </c>
      <c r="DK754" s="1494"/>
      <c r="DL754" s="1494"/>
      <c r="DM754" s="1494"/>
      <c r="DN754" s="1494"/>
      <c r="DO754" s="1494">
        <f t="shared" si="25"/>
        <v>0</v>
      </c>
      <c r="DP754" s="1494"/>
      <c r="DQ754" s="1494"/>
      <c r="DR754" s="1494"/>
      <c r="DS754" s="1494"/>
      <c r="DT754" s="257"/>
      <c r="DU754" s="1502">
        <f t="shared" si="26"/>
        <v>0</v>
      </c>
      <c r="DV754" s="1502"/>
      <c r="DW754" s="1502"/>
      <c r="DX754" s="1502"/>
      <c r="DY754" s="1502"/>
      <c r="DZ754" s="1502">
        <f t="shared" si="27"/>
        <v>0</v>
      </c>
      <c r="EA754" s="1502"/>
      <c r="EB754" s="1502"/>
      <c r="EC754" s="1502"/>
      <c r="ED754" s="1502"/>
      <c r="EE754" s="1502">
        <f t="shared" si="28"/>
        <v>0</v>
      </c>
      <c r="EF754" s="1502"/>
      <c r="EG754" s="1502"/>
      <c r="EH754" s="1502"/>
      <c r="EI754" s="1502"/>
      <c r="EJ754" s="1502">
        <f t="shared" si="29"/>
        <v>0</v>
      </c>
      <c r="EK754" s="1502"/>
      <c r="EL754" s="1502"/>
      <c r="EM754" s="1502"/>
      <c r="EN754" s="1502"/>
      <c r="EO754" s="1502">
        <f t="shared" si="30"/>
        <v>0</v>
      </c>
      <c r="EP754" s="1502"/>
      <c r="EQ754" s="1502"/>
      <c r="ER754" s="1502"/>
      <c r="ES754" s="1502"/>
      <c r="ET754" s="1502">
        <f t="shared" si="31"/>
        <v>0</v>
      </c>
      <c r="EU754" s="1502"/>
      <c r="EV754" s="1502"/>
      <c r="EW754" s="1502"/>
      <c r="EX754" s="1502"/>
      <c r="EZ754" s="1499" t="str">
        <f t="shared" si="32"/>
        <v/>
      </c>
      <c r="FA754" s="1501"/>
      <c r="FB754" s="1501"/>
      <c r="FC754" s="1501"/>
      <c r="FD754" s="1500"/>
      <c r="FE754" s="1499" t="str">
        <f t="shared" si="33"/>
        <v/>
      </c>
      <c r="FF754" s="1501"/>
      <c r="FG754" s="1501"/>
      <c r="FH754" s="1501"/>
      <c r="FI754" s="1500"/>
      <c r="FJ754" s="1499" t="str">
        <f t="shared" si="34"/>
        <v/>
      </c>
      <c r="FK754" s="1501"/>
      <c r="FL754" s="1501"/>
      <c r="FM754" s="1501"/>
      <c r="FN754" s="1500"/>
      <c r="FO754" s="1499" t="str">
        <f t="shared" si="35"/>
        <v/>
      </c>
      <c r="FP754" s="1501"/>
      <c r="FQ754" s="1501"/>
      <c r="FR754" s="1501"/>
      <c r="FS754" s="1500"/>
      <c r="FT754" s="1499" t="str">
        <f t="shared" si="36"/>
        <v/>
      </c>
      <c r="FU754" s="1501"/>
      <c r="FV754" s="1501"/>
      <c r="FW754" s="1501"/>
      <c r="FX754" s="1500"/>
      <c r="FY754" s="1499" t="str">
        <f t="shared" si="37"/>
        <v/>
      </c>
      <c r="FZ754" s="1501"/>
      <c r="GA754" s="1501"/>
      <c r="GB754" s="1501"/>
      <c r="GC754" s="1500"/>
    </row>
    <row r="755" spans="1:185" ht="12.95" customHeight="1">
      <c r="B755" s="1377"/>
      <c r="C755" s="1378"/>
      <c r="D755" s="1378"/>
      <c r="E755" s="1378"/>
      <c r="F755" s="1379"/>
      <c r="G755" s="1405"/>
      <c r="H755" s="1406"/>
      <c r="I755" s="1406"/>
      <c r="J755" s="1407"/>
      <c r="K755" s="1412"/>
      <c r="L755" s="1413"/>
      <c r="M755" s="1413"/>
      <c r="N755" s="1414"/>
      <c r="O755" s="1387"/>
      <c r="P755" s="1388"/>
      <c r="Q755" s="1388"/>
      <c r="R755" s="1388"/>
      <c r="S755" s="1389"/>
      <c r="T755" s="1387"/>
      <c r="U755" s="1388"/>
      <c r="V755" s="1388"/>
      <c r="W755" s="1389"/>
      <c r="X755" s="1433">
        <f t="shared" si="41"/>
        <v>0</v>
      </c>
      <c r="Y755" s="1434"/>
      <c r="Z755" s="1434"/>
      <c r="AA755" s="1434"/>
      <c r="AB755" s="1435"/>
      <c r="AC755" s="1429"/>
      <c r="AD755" s="1430"/>
      <c r="AE755" s="1430"/>
      <c r="AF755" s="1430"/>
      <c r="AG755" s="1431"/>
      <c r="AH755" s="1408" t="str">
        <f t="shared" si="38"/>
        <v/>
      </c>
      <c r="AI755" s="1409"/>
      <c r="AJ755" s="1410"/>
      <c r="AK755" s="1377" t="s">
        <v>826</v>
      </c>
      <c r="AL755" s="1378"/>
      <c r="AM755" s="1378"/>
      <c r="AN755" s="1378"/>
      <c r="AO755" s="1379"/>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499">
        <f t="shared" si="39"/>
        <v>0</v>
      </c>
      <c r="CH755" s="1500"/>
      <c r="CI755" s="1499">
        <f t="shared" si="40"/>
        <v>0</v>
      </c>
      <c r="CJ755" s="1500"/>
      <c r="CK755" s="1499">
        <f t="shared" si="18"/>
        <v>0</v>
      </c>
      <c r="CL755" s="1500"/>
      <c r="CM755" s="1499">
        <f t="shared" si="19"/>
        <v>0</v>
      </c>
      <c r="CN755" s="1500"/>
      <c r="CO755" s="3"/>
      <c r="CP755" s="1496">
        <f t="shared" si="20"/>
        <v>0</v>
      </c>
      <c r="CQ755" s="1497"/>
      <c r="CR755" s="1497"/>
      <c r="CS755" s="1497"/>
      <c r="CT755" s="1498"/>
      <c r="CU755" s="1494">
        <f t="shared" si="21"/>
        <v>0</v>
      </c>
      <c r="CV755" s="1494"/>
      <c r="CW755" s="1494"/>
      <c r="CX755" s="1494"/>
      <c r="CY755" s="1494"/>
      <c r="CZ755" s="1494">
        <f t="shared" si="22"/>
        <v>0</v>
      </c>
      <c r="DA755" s="1494"/>
      <c r="DB755" s="1494"/>
      <c r="DC755" s="1494"/>
      <c r="DD755" s="1494"/>
      <c r="DE755" s="1494">
        <f t="shared" si="23"/>
        <v>0</v>
      </c>
      <c r="DF755" s="1494"/>
      <c r="DG755" s="1494"/>
      <c r="DH755" s="1494"/>
      <c r="DI755" s="1494"/>
      <c r="DJ755" s="1494">
        <f t="shared" si="24"/>
        <v>0</v>
      </c>
      <c r="DK755" s="1494"/>
      <c r="DL755" s="1494"/>
      <c r="DM755" s="1494"/>
      <c r="DN755" s="1494"/>
      <c r="DO755" s="1494">
        <f t="shared" si="25"/>
        <v>0</v>
      </c>
      <c r="DP755" s="1494"/>
      <c r="DQ755" s="1494"/>
      <c r="DR755" s="1494"/>
      <c r="DS755" s="1494"/>
      <c r="DT755" s="257"/>
      <c r="DU755" s="1502">
        <f t="shared" si="26"/>
        <v>0</v>
      </c>
      <c r="DV755" s="1502"/>
      <c r="DW755" s="1502"/>
      <c r="DX755" s="1502"/>
      <c r="DY755" s="1502"/>
      <c r="DZ755" s="1502">
        <f t="shared" si="27"/>
        <v>0</v>
      </c>
      <c r="EA755" s="1502"/>
      <c r="EB755" s="1502"/>
      <c r="EC755" s="1502"/>
      <c r="ED755" s="1502"/>
      <c r="EE755" s="1502">
        <f t="shared" si="28"/>
        <v>0</v>
      </c>
      <c r="EF755" s="1502"/>
      <c r="EG755" s="1502"/>
      <c r="EH755" s="1502"/>
      <c r="EI755" s="1502"/>
      <c r="EJ755" s="1502">
        <f t="shared" si="29"/>
        <v>0</v>
      </c>
      <c r="EK755" s="1502"/>
      <c r="EL755" s="1502"/>
      <c r="EM755" s="1502"/>
      <c r="EN755" s="1502"/>
      <c r="EO755" s="1502">
        <f t="shared" si="30"/>
        <v>0</v>
      </c>
      <c r="EP755" s="1502"/>
      <c r="EQ755" s="1502"/>
      <c r="ER755" s="1502"/>
      <c r="ES755" s="1502"/>
      <c r="ET755" s="1502">
        <f t="shared" si="31"/>
        <v>0</v>
      </c>
      <c r="EU755" s="1502"/>
      <c r="EV755" s="1502"/>
      <c r="EW755" s="1502"/>
      <c r="EX755" s="1502"/>
      <c r="EZ755" s="1499" t="str">
        <f t="shared" si="32"/>
        <v/>
      </c>
      <c r="FA755" s="1501"/>
      <c r="FB755" s="1501"/>
      <c r="FC755" s="1501"/>
      <c r="FD755" s="1500"/>
      <c r="FE755" s="1499" t="str">
        <f t="shared" si="33"/>
        <v/>
      </c>
      <c r="FF755" s="1501"/>
      <c r="FG755" s="1501"/>
      <c r="FH755" s="1501"/>
      <c r="FI755" s="1500"/>
      <c r="FJ755" s="1499" t="str">
        <f t="shared" si="34"/>
        <v/>
      </c>
      <c r="FK755" s="1501"/>
      <c r="FL755" s="1501"/>
      <c r="FM755" s="1501"/>
      <c r="FN755" s="1500"/>
      <c r="FO755" s="1499" t="str">
        <f t="shared" si="35"/>
        <v/>
      </c>
      <c r="FP755" s="1501"/>
      <c r="FQ755" s="1501"/>
      <c r="FR755" s="1501"/>
      <c r="FS755" s="1500"/>
      <c r="FT755" s="1499" t="str">
        <f t="shared" si="36"/>
        <v/>
      </c>
      <c r="FU755" s="1501"/>
      <c r="FV755" s="1501"/>
      <c r="FW755" s="1501"/>
      <c r="FX755" s="1500"/>
      <c r="FY755" s="1499" t="str">
        <f t="shared" si="37"/>
        <v/>
      </c>
      <c r="FZ755" s="1501"/>
      <c r="GA755" s="1501"/>
      <c r="GB755" s="1501"/>
      <c r="GC755" s="1500"/>
    </row>
    <row r="756" spans="1:185" s="3" customFormat="1" ht="12.95" customHeight="1">
      <c r="A756"/>
      <c r="B756" s="1377"/>
      <c r="C756" s="1378"/>
      <c r="D756" s="1378"/>
      <c r="E756" s="1378"/>
      <c r="F756" s="1379"/>
      <c r="G756" s="1405"/>
      <c r="H756" s="1406"/>
      <c r="I756" s="1406"/>
      <c r="J756" s="1407"/>
      <c r="K756" s="1412"/>
      <c r="L756" s="1413"/>
      <c r="M756" s="1413"/>
      <c r="N756" s="1414"/>
      <c r="O756" s="1387"/>
      <c r="P756" s="1388"/>
      <c r="Q756" s="1388"/>
      <c r="R756" s="1388"/>
      <c r="S756" s="1389"/>
      <c r="T756" s="1387"/>
      <c r="U756" s="1388"/>
      <c r="V756" s="1388"/>
      <c r="W756" s="1389"/>
      <c r="X756" s="1433">
        <f t="shared" si="41"/>
        <v>0</v>
      </c>
      <c r="Y756" s="1434"/>
      <c r="Z756" s="1434"/>
      <c r="AA756" s="1434"/>
      <c r="AB756" s="1435"/>
      <c r="AC756" s="1429"/>
      <c r="AD756" s="1430"/>
      <c r="AE756" s="1430"/>
      <c r="AF756" s="1430"/>
      <c r="AG756" s="1431"/>
      <c r="AH756" s="1408" t="str">
        <f t="shared" si="38"/>
        <v/>
      </c>
      <c r="AI756" s="1409"/>
      <c r="AJ756" s="1410"/>
      <c r="AK756" s="1377" t="s">
        <v>826</v>
      </c>
      <c r="AL756" s="1378"/>
      <c r="AM756" s="1378"/>
      <c r="AN756" s="1378"/>
      <c r="AO756" s="1379"/>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499">
        <f t="shared" si="39"/>
        <v>0</v>
      </c>
      <c r="CH756" s="1500"/>
      <c r="CI756" s="1499">
        <f t="shared" si="40"/>
        <v>0</v>
      </c>
      <c r="CJ756" s="1500"/>
      <c r="CK756" s="1499">
        <f t="shared" si="18"/>
        <v>0</v>
      </c>
      <c r="CL756" s="1500"/>
      <c r="CM756" s="1499">
        <f t="shared" si="19"/>
        <v>0</v>
      </c>
      <c r="CN756" s="1500"/>
      <c r="CP756" s="1496">
        <f t="shared" si="20"/>
        <v>0</v>
      </c>
      <c r="CQ756" s="1497"/>
      <c r="CR756" s="1497"/>
      <c r="CS756" s="1497"/>
      <c r="CT756" s="1498"/>
      <c r="CU756" s="1494">
        <f t="shared" si="21"/>
        <v>0</v>
      </c>
      <c r="CV756" s="1494"/>
      <c r="CW756" s="1494"/>
      <c r="CX756" s="1494"/>
      <c r="CY756" s="1494"/>
      <c r="CZ756" s="1494">
        <f t="shared" si="22"/>
        <v>0</v>
      </c>
      <c r="DA756" s="1494"/>
      <c r="DB756" s="1494"/>
      <c r="DC756" s="1494"/>
      <c r="DD756" s="1494"/>
      <c r="DE756" s="1494">
        <f t="shared" si="23"/>
        <v>0</v>
      </c>
      <c r="DF756" s="1494"/>
      <c r="DG756" s="1494"/>
      <c r="DH756" s="1494"/>
      <c r="DI756" s="1494"/>
      <c r="DJ756" s="1494">
        <f t="shared" si="24"/>
        <v>0</v>
      </c>
      <c r="DK756" s="1494"/>
      <c r="DL756" s="1494"/>
      <c r="DM756" s="1494"/>
      <c r="DN756" s="1494"/>
      <c r="DO756" s="1494">
        <f t="shared" si="25"/>
        <v>0</v>
      </c>
      <c r="DP756" s="1494"/>
      <c r="DQ756" s="1494"/>
      <c r="DR756" s="1494"/>
      <c r="DS756" s="1494"/>
      <c r="DT756" s="257"/>
      <c r="DU756" s="1502">
        <f t="shared" si="26"/>
        <v>0</v>
      </c>
      <c r="DV756" s="1502"/>
      <c r="DW756" s="1502"/>
      <c r="DX756" s="1502"/>
      <c r="DY756" s="1502"/>
      <c r="DZ756" s="1502">
        <f t="shared" si="27"/>
        <v>0</v>
      </c>
      <c r="EA756" s="1502"/>
      <c r="EB756" s="1502"/>
      <c r="EC756" s="1502"/>
      <c r="ED756" s="1502"/>
      <c r="EE756" s="1502">
        <f t="shared" si="28"/>
        <v>0</v>
      </c>
      <c r="EF756" s="1502"/>
      <c r="EG756" s="1502"/>
      <c r="EH756" s="1502"/>
      <c r="EI756" s="1502"/>
      <c r="EJ756" s="1502">
        <f t="shared" si="29"/>
        <v>0</v>
      </c>
      <c r="EK756" s="1502"/>
      <c r="EL756" s="1502"/>
      <c r="EM756" s="1502"/>
      <c r="EN756" s="1502"/>
      <c r="EO756" s="1502">
        <f t="shared" si="30"/>
        <v>0</v>
      </c>
      <c r="EP756" s="1502"/>
      <c r="EQ756" s="1502"/>
      <c r="ER756" s="1502"/>
      <c r="ES756" s="1502"/>
      <c r="ET756" s="1502">
        <f t="shared" si="31"/>
        <v>0</v>
      </c>
      <c r="EU756" s="1502"/>
      <c r="EV756" s="1502"/>
      <c r="EW756" s="1502"/>
      <c r="EX756" s="1502"/>
      <c r="EY756"/>
      <c r="EZ756" s="1499" t="str">
        <f t="shared" si="32"/>
        <v/>
      </c>
      <c r="FA756" s="1501"/>
      <c r="FB756" s="1501"/>
      <c r="FC756" s="1501"/>
      <c r="FD756" s="1500"/>
      <c r="FE756" s="1499" t="str">
        <f t="shared" si="33"/>
        <v/>
      </c>
      <c r="FF756" s="1501"/>
      <c r="FG756" s="1501"/>
      <c r="FH756" s="1501"/>
      <c r="FI756" s="1500"/>
      <c r="FJ756" s="1499" t="str">
        <f t="shared" si="34"/>
        <v/>
      </c>
      <c r="FK756" s="1501"/>
      <c r="FL756" s="1501"/>
      <c r="FM756" s="1501"/>
      <c r="FN756" s="1500"/>
      <c r="FO756" s="1499" t="str">
        <f t="shared" si="35"/>
        <v/>
      </c>
      <c r="FP756" s="1501"/>
      <c r="FQ756" s="1501"/>
      <c r="FR756" s="1501"/>
      <c r="FS756" s="1500"/>
      <c r="FT756" s="1499" t="str">
        <f t="shared" si="36"/>
        <v/>
      </c>
      <c r="FU756" s="1501"/>
      <c r="FV756" s="1501"/>
      <c r="FW756" s="1501"/>
      <c r="FX756" s="1500"/>
      <c r="FY756" s="1499" t="str">
        <f t="shared" si="37"/>
        <v/>
      </c>
      <c r="FZ756" s="1501"/>
      <c r="GA756" s="1501"/>
      <c r="GB756" s="1501"/>
      <c r="GC756" s="1500"/>
    </row>
    <row r="757" spans="1:185" s="3" customFormat="1" ht="12.95" customHeight="1">
      <c r="A757"/>
      <c r="B757" s="1377"/>
      <c r="C757" s="1378"/>
      <c r="D757" s="1378"/>
      <c r="E757" s="1378"/>
      <c r="F757" s="1379"/>
      <c r="G757" s="1405"/>
      <c r="H757" s="1406"/>
      <c r="I757" s="1406"/>
      <c r="J757" s="1407"/>
      <c r="K757" s="1412"/>
      <c r="L757" s="1413"/>
      <c r="M757" s="1413"/>
      <c r="N757" s="1414"/>
      <c r="O757" s="1387"/>
      <c r="P757" s="1388"/>
      <c r="Q757" s="1388"/>
      <c r="R757" s="1388"/>
      <c r="S757" s="1389"/>
      <c r="T757" s="1387"/>
      <c r="U757" s="1388"/>
      <c r="V757" s="1388"/>
      <c r="W757" s="1389"/>
      <c r="X757" s="1433">
        <f t="shared" si="41"/>
        <v>0</v>
      </c>
      <c r="Y757" s="1434"/>
      <c r="Z757" s="1434"/>
      <c r="AA757" s="1434"/>
      <c r="AB757" s="1435"/>
      <c r="AC757" s="1429"/>
      <c r="AD757" s="1430"/>
      <c r="AE757" s="1430"/>
      <c r="AF757" s="1430"/>
      <c r="AG757" s="1431"/>
      <c r="AH757" s="1408" t="str">
        <f t="shared" si="38"/>
        <v/>
      </c>
      <c r="AI757" s="1409"/>
      <c r="AJ757" s="1410"/>
      <c r="AK757" s="1377" t="s">
        <v>826</v>
      </c>
      <c r="AL757" s="1378"/>
      <c r="AM757" s="1378"/>
      <c r="AN757" s="1378"/>
      <c r="AO757" s="1379"/>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499">
        <f t="shared" si="39"/>
        <v>0</v>
      </c>
      <c r="CH757" s="1500"/>
      <c r="CI757" s="1499">
        <f t="shared" si="40"/>
        <v>0</v>
      </c>
      <c r="CJ757" s="1500"/>
      <c r="CK757" s="1499">
        <f t="shared" si="18"/>
        <v>0</v>
      </c>
      <c r="CL757" s="1500"/>
      <c r="CM757" s="1499">
        <f t="shared" si="19"/>
        <v>0</v>
      </c>
      <c r="CN757" s="1500"/>
      <c r="CP757" s="1496">
        <f t="shared" si="20"/>
        <v>0</v>
      </c>
      <c r="CQ757" s="1497"/>
      <c r="CR757" s="1497"/>
      <c r="CS757" s="1497"/>
      <c r="CT757" s="1498"/>
      <c r="CU757" s="1494">
        <f t="shared" si="21"/>
        <v>0</v>
      </c>
      <c r="CV757" s="1494"/>
      <c r="CW757" s="1494"/>
      <c r="CX757" s="1494"/>
      <c r="CY757" s="1494"/>
      <c r="CZ757" s="1494">
        <f t="shared" si="22"/>
        <v>0</v>
      </c>
      <c r="DA757" s="1494"/>
      <c r="DB757" s="1494"/>
      <c r="DC757" s="1494"/>
      <c r="DD757" s="1494"/>
      <c r="DE757" s="1494">
        <f t="shared" si="23"/>
        <v>0</v>
      </c>
      <c r="DF757" s="1494"/>
      <c r="DG757" s="1494"/>
      <c r="DH757" s="1494"/>
      <c r="DI757" s="1494"/>
      <c r="DJ757" s="1494">
        <f t="shared" si="24"/>
        <v>0</v>
      </c>
      <c r="DK757" s="1494"/>
      <c r="DL757" s="1494"/>
      <c r="DM757" s="1494"/>
      <c r="DN757" s="1494"/>
      <c r="DO757" s="1494">
        <f t="shared" si="25"/>
        <v>0</v>
      </c>
      <c r="DP757" s="1494"/>
      <c r="DQ757" s="1494"/>
      <c r="DR757" s="1494"/>
      <c r="DS757" s="1494"/>
      <c r="DT757" s="257"/>
      <c r="DU757" s="1502">
        <f t="shared" si="26"/>
        <v>0</v>
      </c>
      <c r="DV757" s="1502"/>
      <c r="DW757" s="1502"/>
      <c r="DX757" s="1502"/>
      <c r="DY757" s="1502"/>
      <c r="DZ757" s="1502">
        <f t="shared" si="27"/>
        <v>0</v>
      </c>
      <c r="EA757" s="1502"/>
      <c r="EB757" s="1502"/>
      <c r="EC757" s="1502"/>
      <c r="ED757" s="1502"/>
      <c r="EE757" s="1502">
        <f t="shared" si="28"/>
        <v>0</v>
      </c>
      <c r="EF757" s="1502"/>
      <c r="EG757" s="1502"/>
      <c r="EH757" s="1502"/>
      <c r="EI757" s="1502"/>
      <c r="EJ757" s="1502">
        <f t="shared" si="29"/>
        <v>0</v>
      </c>
      <c r="EK757" s="1502"/>
      <c r="EL757" s="1502"/>
      <c r="EM757" s="1502"/>
      <c r="EN757" s="1502"/>
      <c r="EO757" s="1502">
        <f t="shared" si="30"/>
        <v>0</v>
      </c>
      <c r="EP757" s="1502"/>
      <c r="EQ757" s="1502"/>
      <c r="ER757" s="1502"/>
      <c r="ES757" s="1502"/>
      <c r="ET757" s="1502">
        <f t="shared" si="31"/>
        <v>0</v>
      </c>
      <c r="EU757" s="1502"/>
      <c r="EV757" s="1502"/>
      <c r="EW757" s="1502"/>
      <c r="EX757" s="1502"/>
      <c r="EY757"/>
      <c r="EZ757" s="1499" t="str">
        <f t="shared" si="32"/>
        <v/>
      </c>
      <c r="FA757" s="1501"/>
      <c r="FB757" s="1501"/>
      <c r="FC757" s="1501"/>
      <c r="FD757" s="1500"/>
      <c r="FE757" s="1499" t="str">
        <f t="shared" si="33"/>
        <v/>
      </c>
      <c r="FF757" s="1501"/>
      <c r="FG757" s="1501"/>
      <c r="FH757" s="1501"/>
      <c r="FI757" s="1500"/>
      <c r="FJ757" s="1499" t="str">
        <f t="shared" si="34"/>
        <v/>
      </c>
      <c r="FK757" s="1501"/>
      <c r="FL757" s="1501"/>
      <c r="FM757" s="1501"/>
      <c r="FN757" s="1500"/>
      <c r="FO757" s="1499" t="str">
        <f t="shared" si="35"/>
        <v/>
      </c>
      <c r="FP757" s="1501"/>
      <c r="FQ757" s="1501"/>
      <c r="FR757" s="1501"/>
      <c r="FS757" s="1500"/>
      <c r="FT757" s="1499" t="str">
        <f t="shared" si="36"/>
        <v/>
      </c>
      <c r="FU757" s="1501"/>
      <c r="FV757" s="1501"/>
      <c r="FW757" s="1501"/>
      <c r="FX757" s="1500"/>
      <c r="FY757" s="1499" t="str">
        <f t="shared" si="37"/>
        <v/>
      </c>
      <c r="FZ757" s="1501"/>
      <c r="GA757" s="1501"/>
      <c r="GB757" s="1501"/>
      <c r="GC757" s="1500"/>
    </row>
    <row r="758" spans="1:185" s="3" customFormat="1" ht="12.95" customHeight="1">
      <c r="A758"/>
      <c r="B758" s="1377"/>
      <c r="C758" s="1378"/>
      <c r="D758" s="1378"/>
      <c r="E758" s="1378"/>
      <c r="F758" s="1379"/>
      <c r="G758" s="1405"/>
      <c r="H758" s="1406"/>
      <c r="I758" s="1406"/>
      <c r="J758" s="1407"/>
      <c r="K758" s="1412"/>
      <c r="L758" s="1413"/>
      <c r="M758" s="1413"/>
      <c r="N758" s="1414"/>
      <c r="O758" s="1387"/>
      <c r="P758" s="1388"/>
      <c r="Q758" s="1388"/>
      <c r="R758" s="1388"/>
      <c r="S758" s="1389"/>
      <c r="T758" s="1387"/>
      <c r="U758" s="1388"/>
      <c r="V758" s="1388"/>
      <c r="W758" s="1389"/>
      <c r="X758" s="1433">
        <f t="shared" si="41"/>
        <v>0</v>
      </c>
      <c r="Y758" s="1434"/>
      <c r="Z758" s="1434"/>
      <c r="AA758" s="1434"/>
      <c r="AB758" s="1435"/>
      <c r="AC758" s="1429"/>
      <c r="AD758" s="1430"/>
      <c r="AE758" s="1430"/>
      <c r="AF758" s="1430"/>
      <c r="AG758" s="1431"/>
      <c r="AH758" s="1408" t="str">
        <f t="shared" si="38"/>
        <v/>
      </c>
      <c r="AI758" s="1409"/>
      <c r="AJ758" s="1410"/>
      <c r="AK758" s="1377" t="s">
        <v>826</v>
      </c>
      <c r="AL758" s="1378"/>
      <c r="AM758" s="1378"/>
      <c r="AN758" s="1378"/>
      <c r="AO758" s="1379"/>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499">
        <f t="shared" si="39"/>
        <v>0</v>
      </c>
      <c r="CH758" s="1500"/>
      <c r="CI758" s="1499">
        <f t="shared" si="40"/>
        <v>0</v>
      </c>
      <c r="CJ758" s="1500"/>
      <c r="CK758" s="1499">
        <f t="shared" si="18"/>
        <v>0</v>
      </c>
      <c r="CL758" s="1500"/>
      <c r="CM758" s="1499">
        <f t="shared" si="19"/>
        <v>0</v>
      </c>
      <c r="CN758" s="1500"/>
      <c r="CP758" s="1496">
        <f t="shared" si="20"/>
        <v>0</v>
      </c>
      <c r="CQ758" s="1497"/>
      <c r="CR758" s="1497"/>
      <c r="CS758" s="1497"/>
      <c r="CT758" s="1498"/>
      <c r="CU758" s="1494">
        <f t="shared" si="21"/>
        <v>0</v>
      </c>
      <c r="CV758" s="1494"/>
      <c r="CW758" s="1494"/>
      <c r="CX758" s="1494"/>
      <c r="CY758" s="1494"/>
      <c r="CZ758" s="1494">
        <f t="shared" si="22"/>
        <v>0</v>
      </c>
      <c r="DA758" s="1494"/>
      <c r="DB758" s="1494"/>
      <c r="DC758" s="1494"/>
      <c r="DD758" s="1494"/>
      <c r="DE758" s="1494">
        <f t="shared" si="23"/>
        <v>0</v>
      </c>
      <c r="DF758" s="1494"/>
      <c r="DG758" s="1494"/>
      <c r="DH758" s="1494"/>
      <c r="DI758" s="1494"/>
      <c r="DJ758" s="1494">
        <f t="shared" si="24"/>
        <v>0</v>
      </c>
      <c r="DK758" s="1494"/>
      <c r="DL758" s="1494"/>
      <c r="DM758" s="1494"/>
      <c r="DN758" s="1494"/>
      <c r="DO758" s="1494">
        <f t="shared" si="25"/>
        <v>0</v>
      </c>
      <c r="DP758" s="1494"/>
      <c r="DQ758" s="1494"/>
      <c r="DR758" s="1494"/>
      <c r="DS758" s="1494"/>
      <c r="DT758" s="257"/>
      <c r="DU758" s="1502">
        <f t="shared" si="26"/>
        <v>0</v>
      </c>
      <c r="DV758" s="1502"/>
      <c r="DW758" s="1502"/>
      <c r="DX758" s="1502"/>
      <c r="DY758" s="1502"/>
      <c r="DZ758" s="1502">
        <f t="shared" si="27"/>
        <v>0</v>
      </c>
      <c r="EA758" s="1502"/>
      <c r="EB758" s="1502"/>
      <c r="EC758" s="1502"/>
      <c r="ED758" s="1502"/>
      <c r="EE758" s="1502">
        <f t="shared" si="28"/>
        <v>0</v>
      </c>
      <c r="EF758" s="1502"/>
      <c r="EG758" s="1502"/>
      <c r="EH758" s="1502"/>
      <c r="EI758" s="1502"/>
      <c r="EJ758" s="1502">
        <f t="shared" si="29"/>
        <v>0</v>
      </c>
      <c r="EK758" s="1502"/>
      <c r="EL758" s="1502"/>
      <c r="EM758" s="1502"/>
      <c r="EN758" s="1502"/>
      <c r="EO758" s="1502">
        <f t="shared" si="30"/>
        <v>0</v>
      </c>
      <c r="EP758" s="1502"/>
      <c r="EQ758" s="1502"/>
      <c r="ER758" s="1502"/>
      <c r="ES758" s="1502"/>
      <c r="ET758" s="1502">
        <f t="shared" si="31"/>
        <v>0</v>
      </c>
      <c r="EU758" s="1502"/>
      <c r="EV758" s="1502"/>
      <c r="EW758" s="1502"/>
      <c r="EX758" s="1502"/>
      <c r="EY758"/>
      <c r="EZ758" s="1499" t="str">
        <f t="shared" si="32"/>
        <v/>
      </c>
      <c r="FA758" s="1501"/>
      <c r="FB758" s="1501"/>
      <c r="FC758" s="1501"/>
      <c r="FD758" s="1500"/>
      <c r="FE758" s="1499" t="str">
        <f t="shared" si="33"/>
        <v/>
      </c>
      <c r="FF758" s="1501"/>
      <c r="FG758" s="1501"/>
      <c r="FH758" s="1501"/>
      <c r="FI758" s="1500"/>
      <c r="FJ758" s="1499" t="str">
        <f t="shared" si="34"/>
        <v/>
      </c>
      <c r="FK758" s="1501"/>
      <c r="FL758" s="1501"/>
      <c r="FM758" s="1501"/>
      <c r="FN758" s="1500"/>
      <c r="FO758" s="1499" t="str">
        <f t="shared" si="35"/>
        <v/>
      </c>
      <c r="FP758" s="1501"/>
      <c r="FQ758" s="1501"/>
      <c r="FR758" s="1501"/>
      <c r="FS758" s="1500"/>
      <c r="FT758" s="1499" t="str">
        <f t="shared" si="36"/>
        <v/>
      </c>
      <c r="FU758" s="1501"/>
      <c r="FV758" s="1501"/>
      <c r="FW758" s="1501"/>
      <c r="FX758" s="1500"/>
      <c r="FY758" s="1499" t="str">
        <f t="shared" si="37"/>
        <v/>
      </c>
      <c r="FZ758" s="1501"/>
      <c r="GA758" s="1501"/>
      <c r="GB758" s="1501"/>
      <c r="GC758" s="1500"/>
    </row>
    <row r="759" spans="1:185" s="3" customFormat="1" ht="12.95" customHeight="1">
      <c r="A759"/>
      <c r="B759" s="1377"/>
      <c r="C759" s="1378"/>
      <c r="D759" s="1378"/>
      <c r="E759" s="1378"/>
      <c r="F759" s="1379"/>
      <c r="G759" s="1405"/>
      <c r="H759" s="1406"/>
      <c r="I759" s="1406"/>
      <c r="J759" s="1407"/>
      <c r="K759" s="1412"/>
      <c r="L759" s="1413"/>
      <c r="M759" s="1413"/>
      <c r="N759" s="1414"/>
      <c r="O759" s="1387"/>
      <c r="P759" s="1388"/>
      <c r="Q759" s="1388"/>
      <c r="R759" s="1388"/>
      <c r="S759" s="1389"/>
      <c r="T759" s="1387"/>
      <c r="U759" s="1388"/>
      <c r="V759" s="1388"/>
      <c r="W759" s="1389"/>
      <c r="X759" s="1433">
        <f t="shared" si="41"/>
        <v>0</v>
      </c>
      <c r="Y759" s="1434"/>
      <c r="Z759" s="1434"/>
      <c r="AA759" s="1434"/>
      <c r="AB759" s="1435"/>
      <c r="AC759" s="1429"/>
      <c r="AD759" s="1430"/>
      <c r="AE759" s="1430"/>
      <c r="AF759" s="1430"/>
      <c r="AG759" s="1431"/>
      <c r="AH759" s="1408" t="str">
        <f t="shared" si="38"/>
        <v/>
      </c>
      <c r="AI759" s="1409"/>
      <c r="AJ759" s="1410"/>
      <c r="AK759" s="1377" t="s">
        <v>826</v>
      </c>
      <c r="AL759" s="1378"/>
      <c r="AM759" s="1378"/>
      <c r="AN759" s="1378"/>
      <c r="AO759" s="1379"/>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499">
        <f t="shared" si="39"/>
        <v>0</v>
      </c>
      <c r="CH759" s="1500"/>
      <c r="CI759" s="1499">
        <f t="shared" si="40"/>
        <v>0</v>
      </c>
      <c r="CJ759" s="1500"/>
      <c r="CK759" s="1499">
        <f t="shared" si="18"/>
        <v>0</v>
      </c>
      <c r="CL759" s="1500"/>
      <c r="CM759" s="1499">
        <f t="shared" si="19"/>
        <v>0</v>
      </c>
      <c r="CN759" s="1500"/>
      <c r="CP759" s="1496">
        <f t="shared" si="20"/>
        <v>0</v>
      </c>
      <c r="CQ759" s="1497"/>
      <c r="CR759" s="1497"/>
      <c r="CS759" s="1497"/>
      <c r="CT759" s="1498"/>
      <c r="CU759" s="1494">
        <f t="shared" si="21"/>
        <v>0</v>
      </c>
      <c r="CV759" s="1494"/>
      <c r="CW759" s="1494"/>
      <c r="CX759" s="1494"/>
      <c r="CY759" s="1494"/>
      <c r="CZ759" s="1494">
        <f t="shared" si="22"/>
        <v>0</v>
      </c>
      <c r="DA759" s="1494"/>
      <c r="DB759" s="1494"/>
      <c r="DC759" s="1494"/>
      <c r="DD759" s="1494"/>
      <c r="DE759" s="1494">
        <f t="shared" si="23"/>
        <v>0</v>
      </c>
      <c r="DF759" s="1494"/>
      <c r="DG759" s="1494"/>
      <c r="DH759" s="1494"/>
      <c r="DI759" s="1494"/>
      <c r="DJ759" s="1494">
        <f t="shared" si="24"/>
        <v>0</v>
      </c>
      <c r="DK759" s="1494"/>
      <c r="DL759" s="1494"/>
      <c r="DM759" s="1494"/>
      <c r="DN759" s="1494"/>
      <c r="DO759" s="1494">
        <f t="shared" si="25"/>
        <v>0</v>
      </c>
      <c r="DP759" s="1494"/>
      <c r="DQ759" s="1494"/>
      <c r="DR759" s="1494"/>
      <c r="DS759" s="1494"/>
      <c r="DT759" s="257"/>
      <c r="DU759" s="1502">
        <f t="shared" si="26"/>
        <v>0</v>
      </c>
      <c r="DV759" s="1502"/>
      <c r="DW759" s="1502"/>
      <c r="DX759" s="1502"/>
      <c r="DY759" s="1502"/>
      <c r="DZ759" s="1502">
        <f t="shared" si="27"/>
        <v>0</v>
      </c>
      <c r="EA759" s="1502"/>
      <c r="EB759" s="1502"/>
      <c r="EC759" s="1502"/>
      <c r="ED759" s="1502"/>
      <c r="EE759" s="1502">
        <f t="shared" si="28"/>
        <v>0</v>
      </c>
      <c r="EF759" s="1502"/>
      <c r="EG759" s="1502"/>
      <c r="EH759" s="1502"/>
      <c r="EI759" s="1502"/>
      <c r="EJ759" s="1502">
        <f t="shared" si="29"/>
        <v>0</v>
      </c>
      <c r="EK759" s="1502"/>
      <c r="EL759" s="1502"/>
      <c r="EM759" s="1502"/>
      <c r="EN759" s="1502"/>
      <c r="EO759" s="1502">
        <f t="shared" si="30"/>
        <v>0</v>
      </c>
      <c r="EP759" s="1502"/>
      <c r="EQ759" s="1502"/>
      <c r="ER759" s="1502"/>
      <c r="ES759" s="1502"/>
      <c r="ET759" s="1502">
        <f t="shared" si="31"/>
        <v>0</v>
      </c>
      <c r="EU759" s="1502"/>
      <c r="EV759" s="1502"/>
      <c r="EW759" s="1502"/>
      <c r="EX759" s="1502"/>
      <c r="EY759"/>
      <c r="EZ759" s="1499" t="str">
        <f t="shared" si="32"/>
        <v/>
      </c>
      <c r="FA759" s="1501"/>
      <c r="FB759" s="1501"/>
      <c r="FC759" s="1501"/>
      <c r="FD759" s="1500"/>
      <c r="FE759" s="1499" t="str">
        <f t="shared" si="33"/>
        <v/>
      </c>
      <c r="FF759" s="1501"/>
      <c r="FG759" s="1501"/>
      <c r="FH759" s="1501"/>
      <c r="FI759" s="1500"/>
      <c r="FJ759" s="1499" t="str">
        <f t="shared" si="34"/>
        <v/>
      </c>
      <c r="FK759" s="1501"/>
      <c r="FL759" s="1501"/>
      <c r="FM759" s="1501"/>
      <c r="FN759" s="1500"/>
      <c r="FO759" s="1499" t="str">
        <f t="shared" si="35"/>
        <v/>
      </c>
      <c r="FP759" s="1501"/>
      <c r="FQ759" s="1501"/>
      <c r="FR759" s="1501"/>
      <c r="FS759" s="1500"/>
      <c r="FT759" s="1499" t="str">
        <f t="shared" si="36"/>
        <v/>
      </c>
      <c r="FU759" s="1501"/>
      <c r="FV759" s="1501"/>
      <c r="FW759" s="1501"/>
      <c r="FX759" s="1500"/>
      <c r="FY759" s="1499" t="str">
        <f t="shared" si="37"/>
        <v/>
      </c>
      <c r="FZ759" s="1501"/>
      <c r="GA759" s="1501"/>
      <c r="GB759" s="1501"/>
      <c r="GC759" s="1500"/>
    </row>
    <row r="760" spans="1:185" s="3" customFormat="1" ht="12.95" customHeight="1">
      <c r="A760"/>
      <c r="B760" s="1377"/>
      <c r="C760" s="1378"/>
      <c r="D760" s="1378"/>
      <c r="E760" s="1378"/>
      <c r="F760" s="1379"/>
      <c r="G760" s="1405"/>
      <c r="H760" s="1406"/>
      <c r="I760" s="1406"/>
      <c r="J760" s="1407"/>
      <c r="K760" s="1412"/>
      <c r="L760" s="1413"/>
      <c r="M760" s="1413"/>
      <c r="N760" s="1414"/>
      <c r="O760" s="1387"/>
      <c r="P760" s="1388"/>
      <c r="Q760" s="1388"/>
      <c r="R760" s="1388"/>
      <c r="S760" s="1389"/>
      <c r="T760" s="1387"/>
      <c r="U760" s="1388"/>
      <c r="V760" s="1388"/>
      <c r="W760" s="1389"/>
      <c r="X760" s="1433">
        <f>O760+T760</f>
        <v>0</v>
      </c>
      <c r="Y760" s="1434"/>
      <c r="Z760" s="1434"/>
      <c r="AA760" s="1434"/>
      <c r="AB760" s="1435"/>
      <c r="AC760" s="1429"/>
      <c r="AD760" s="1430"/>
      <c r="AE760" s="1430"/>
      <c r="AF760" s="1430"/>
      <c r="AG760" s="1431"/>
      <c r="AH760" s="1408" t="str">
        <f t="shared" si="38"/>
        <v/>
      </c>
      <c r="AI760" s="1409"/>
      <c r="AJ760" s="1410"/>
      <c r="AK760" s="1377" t="s">
        <v>826</v>
      </c>
      <c r="AL760" s="1378"/>
      <c r="AM760" s="1378"/>
      <c r="AN760" s="1378"/>
      <c r="AO760" s="1379"/>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499">
        <f t="shared" si="39"/>
        <v>0</v>
      </c>
      <c r="CH760" s="1500"/>
      <c r="CI760" s="1499">
        <f t="shared" si="40"/>
        <v>0</v>
      </c>
      <c r="CJ760" s="1500"/>
      <c r="CK760" s="1499">
        <f t="shared" si="18"/>
        <v>0</v>
      </c>
      <c r="CL760" s="1500"/>
      <c r="CM760" s="1499">
        <f t="shared" si="19"/>
        <v>0</v>
      </c>
      <c r="CN760" s="1500"/>
      <c r="CP760" s="1496">
        <f t="shared" si="20"/>
        <v>0</v>
      </c>
      <c r="CQ760" s="1497"/>
      <c r="CR760" s="1497"/>
      <c r="CS760" s="1497"/>
      <c r="CT760" s="1498"/>
      <c r="CU760" s="1494">
        <f t="shared" si="21"/>
        <v>0</v>
      </c>
      <c r="CV760" s="1494"/>
      <c r="CW760" s="1494"/>
      <c r="CX760" s="1494"/>
      <c r="CY760" s="1494"/>
      <c r="CZ760" s="1494">
        <f t="shared" si="22"/>
        <v>0</v>
      </c>
      <c r="DA760" s="1494"/>
      <c r="DB760" s="1494"/>
      <c r="DC760" s="1494"/>
      <c r="DD760" s="1494"/>
      <c r="DE760" s="1494">
        <f t="shared" si="23"/>
        <v>0</v>
      </c>
      <c r="DF760" s="1494"/>
      <c r="DG760" s="1494"/>
      <c r="DH760" s="1494"/>
      <c r="DI760" s="1494"/>
      <c r="DJ760" s="1494">
        <f t="shared" si="24"/>
        <v>0</v>
      </c>
      <c r="DK760" s="1494"/>
      <c r="DL760" s="1494"/>
      <c r="DM760" s="1494"/>
      <c r="DN760" s="1494"/>
      <c r="DO760" s="1494">
        <f t="shared" si="25"/>
        <v>0</v>
      </c>
      <c r="DP760" s="1494"/>
      <c r="DQ760" s="1494"/>
      <c r="DR760" s="1494"/>
      <c r="DS760" s="1494"/>
      <c r="DT760" s="257"/>
      <c r="DU760" s="1502">
        <f t="shared" si="26"/>
        <v>0</v>
      </c>
      <c r="DV760" s="1502"/>
      <c r="DW760" s="1502"/>
      <c r="DX760" s="1502"/>
      <c r="DY760" s="1502"/>
      <c r="DZ760" s="1502">
        <f t="shared" si="27"/>
        <v>0</v>
      </c>
      <c r="EA760" s="1502"/>
      <c r="EB760" s="1502"/>
      <c r="EC760" s="1502"/>
      <c r="ED760" s="1502"/>
      <c r="EE760" s="1502">
        <f t="shared" si="28"/>
        <v>0</v>
      </c>
      <c r="EF760" s="1502"/>
      <c r="EG760" s="1502"/>
      <c r="EH760" s="1502"/>
      <c r="EI760" s="1502"/>
      <c r="EJ760" s="1502">
        <f t="shared" si="29"/>
        <v>0</v>
      </c>
      <c r="EK760" s="1502"/>
      <c r="EL760" s="1502"/>
      <c r="EM760" s="1502"/>
      <c r="EN760" s="1502"/>
      <c r="EO760" s="1502">
        <f t="shared" si="30"/>
        <v>0</v>
      </c>
      <c r="EP760" s="1502"/>
      <c r="EQ760" s="1502"/>
      <c r="ER760" s="1502"/>
      <c r="ES760" s="1502"/>
      <c r="ET760" s="1502">
        <f t="shared" si="31"/>
        <v>0</v>
      </c>
      <c r="EU760" s="1502"/>
      <c r="EV760" s="1502"/>
      <c r="EW760" s="1502"/>
      <c r="EX760" s="1502"/>
      <c r="EY760"/>
      <c r="EZ760" s="1499" t="str">
        <f t="shared" si="32"/>
        <v/>
      </c>
      <c r="FA760" s="1501"/>
      <c r="FB760" s="1501"/>
      <c r="FC760" s="1501"/>
      <c r="FD760" s="1500"/>
      <c r="FE760" s="1499" t="str">
        <f t="shared" si="33"/>
        <v/>
      </c>
      <c r="FF760" s="1501"/>
      <c r="FG760" s="1501"/>
      <c r="FH760" s="1501"/>
      <c r="FI760" s="1500"/>
      <c r="FJ760" s="1499" t="str">
        <f t="shared" si="34"/>
        <v/>
      </c>
      <c r="FK760" s="1501"/>
      <c r="FL760" s="1501"/>
      <c r="FM760" s="1501"/>
      <c r="FN760" s="1500"/>
      <c r="FO760" s="1499" t="str">
        <f t="shared" si="35"/>
        <v/>
      </c>
      <c r="FP760" s="1501"/>
      <c r="FQ760" s="1501"/>
      <c r="FR760" s="1501"/>
      <c r="FS760" s="1500"/>
      <c r="FT760" s="1499" t="str">
        <f t="shared" si="36"/>
        <v/>
      </c>
      <c r="FU760" s="1501"/>
      <c r="FV760" s="1501"/>
      <c r="FW760" s="1501"/>
      <c r="FX760" s="1500"/>
      <c r="FY760" s="1499" t="str">
        <f t="shared" si="37"/>
        <v/>
      </c>
      <c r="FZ760" s="1501"/>
      <c r="GA760" s="1501"/>
      <c r="GB760" s="1501"/>
      <c r="GC760" s="1500"/>
    </row>
    <row r="761" spans="1:185" s="3" customFormat="1" ht="12.95" customHeight="1">
      <c r="A761"/>
      <c r="B761" s="1487" t="s">
        <v>1470</v>
      </c>
      <c r="C761" s="1488"/>
      <c r="D761" s="1488"/>
      <c r="E761" s="1488"/>
      <c r="F761" s="1489"/>
      <c r="G761" s="1600">
        <f>SUM(G726:G760)</f>
        <v>35</v>
      </c>
      <c r="H761" s="1601"/>
      <c r="I761" s="1601"/>
      <c r="J761" s="1602"/>
      <c r="K761" s="794" t="s">
        <v>1471</v>
      </c>
      <c r="L761" s="5"/>
      <c r="M761" s="5"/>
      <c r="N761" s="38"/>
      <c r="O761" s="1433">
        <f>SUMPRODUCT(G726:G760,O726:O760)</f>
        <v>28929</v>
      </c>
      <c r="P761" s="1434"/>
      <c r="Q761" s="1434"/>
      <c r="R761" s="1434"/>
      <c r="S761" s="1435"/>
      <c r="T761"/>
      <c r="U761"/>
      <c r="V761"/>
      <c r="W761"/>
      <c r="X761" s="796" t="s">
        <v>1472</v>
      </c>
      <c r="Y761" s="795"/>
      <c r="Z761" s="795"/>
      <c r="AA761" s="795"/>
      <c r="AB761" s="797"/>
      <c r="AC761" s="1590">
        <f>BH761</f>
        <v>0.55999999999999994</v>
      </c>
      <c r="AD761" s="1591"/>
      <c r="AE761" s="1591"/>
      <c r="AF761" s="1591"/>
      <c r="AG761" s="1592"/>
      <c r="AH761" s="1590">
        <f>IFERROR(BU761,"")</f>
        <v>0.48283337363927603</v>
      </c>
      <c r="AI761" s="1591"/>
      <c r="AJ761" s="1592"/>
      <c r="AK761"/>
      <c r="AL761"/>
      <c r="AM761"/>
      <c r="AN761"/>
      <c r="AO761"/>
      <c r="AP761" s="137"/>
      <c r="AQ761" s="137"/>
      <c r="AR761" s="137"/>
      <c r="AS761" s="137"/>
      <c r="AT761"/>
      <c r="AU761"/>
      <c r="AV761"/>
      <c r="AW761"/>
      <c r="AX761"/>
      <c r="AY761"/>
      <c r="BE761" s="200" t="s">
        <v>1473</v>
      </c>
      <c r="BF761" s="208">
        <f>SUM(BF726:BF760)</f>
        <v>35</v>
      </c>
      <c r="BG761" s="209">
        <f>SUM(BG726:BG760)</f>
        <v>1</v>
      </c>
      <c r="BH761" s="209">
        <f>SUM(BH726:BH760)</f>
        <v>0.55999999999999994</v>
      </c>
      <c r="BI761"/>
      <c r="BJ761"/>
      <c r="BK761"/>
      <c r="BL761"/>
      <c r="BO761"/>
      <c r="BP761"/>
      <c r="BQ761"/>
      <c r="BR761"/>
      <c r="BS761" s="754">
        <f>SUM(BS726:BS760)</f>
        <v>35</v>
      </c>
      <c r="BT761" s="209">
        <f>SUM(BT726:BT760)</f>
        <v>1</v>
      </c>
      <c r="BU761" s="209">
        <f>SUM(BU726:BU760)</f>
        <v>0.48283337363927603</v>
      </c>
      <c r="CI761" s="1499">
        <f>SUM(CI726:CJ760)</f>
        <v>11</v>
      </c>
      <c r="CJ761" s="1500"/>
      <c r="CM761" s="1499">
        <f>SUM(CM726:CN760)</f>
        <v>3</v>
      </c>
      <c r="CN761" s="1500"/>
      <c r="CP761" s="1499">
        <f>SUM(CP726:CT760)</f>
        <v>0</v>
      </c>
      <c r="CQ761" s="1501"/>
      <c r="CR761" s="1501"/>
      <c r="CS761" s="1501"/>
      <c r="CT761" s="1500"/>
      <c r="CU761" s="1495">
        <f>SUM(CU726:CY760)</f>
        <v>12</v>
      </c>
      <c r="CV761" s="1495"/>
      <c r="CW761" s="1495"/>
      <c r="CX761" s="1495"/>
      <c r="CY761" s="1495"/>
      <c r="CZ761" s="1495">
        <f>SUM(CZ726:DD760)</f>
        <v>0</v>
      </c>
      <c r="DA761" s="1495"/>
      <c r="DB761" s="1495"/>
      <c r="DC761" s="1495"/>
      <c r="DD761" s="1495"/>
      <c r="DE761" s="1495">
        <f>SUM(DE726:DI760)</f>
        <v>23</v>
      </c>
      <c r="DF761" s="1495"/>
      <c r="DG761" s="1495"/>
      <c r="DH761" s="1495"/>
      <c r="DI761" s="1495"/>
      <c r="DJ761" s="1495">
        <f>SUM(DJ726:DN760)</f>
        <v>0</v>
      </c>
      <c r="DK761" s="1495"/>
      <c r="DL761" s="1495"/>
      <c r="DM761" s="1495"/>
      <c r="DN761" s="1495"/>
      <c r="DO761" s="1495">
        <f>SUM(DO726:DS760)</f>
        <v>0</v>
      </c>
      <c r="DP761" s="1495"/>
      <c r="DQ761" s="1495"/>
      <c r="DR761" s="1495"/>
      <c r="DS761" s="1495"/>
      <c r="DT761" s="257"/>
      <c r="DU761" s="1495">
        <f>SUM(DU726:DY760)</f>
        <v>0</v>
      </c>
      <c r="DV761" s="1495"/>
      <c r="DW761" s="1495"/>
      <c r="DX761" s="1495"/>
      <c r="DY761" s="1495"/>
      <c r="DZ761" s="1495">
        <f>SUM(DZ726:ED760)</f>
        <v>1</v>
      </c>
      <c r="EA761" s="1495"/>
      <c r="EB761" s="1495"/>
      <c r="EC761" s="1495"/>
      <c r="ED761" s="1495"/>
      <c r="EE761" s="1495">
        <f>SUM(EE726:EI760)</f>
        <v>0</v>
      </c>
      <c r="EF761" s="1495"/>
      <c r="EG761" s="1495"/>
      <c r="EH761" s="1495"/>
      <c r="EI761" s="1495"/>
      <c r="EJ761" s="1495">
        <f>SUM(EJ726:EN760)</f>
        <v>2</v>
      </c>
      <c r="EK761" s="1495"/>
      <c r="EL761" s="1495"/>
      <c r="EM761" s="1495"/>
      <c r="EN761" s="1495"/>
      <c r="EO761" s="1495">
        <f>SUM(EO726:ES760)</f>
        <v>0</v>
      </c>
      <c r="EP761" s="1495"/>
      <c r="EQ761" s="1495"/>
      <c r="ER761" s="1495"/>
      <c r="ES761" s="1495"/>
      <c r="ET761" s="1495">
        <f>SUM(ET726:EX760)</f>
        <v>0</v>
      </c>
      <c r="EU761" s="1495"/>
      <c r="EV761" s="1495"/>
      <c r="EW761" s="1495"/>
      <c r="EX761" s="1495"/>
      <c r="EY761"/>
      <c r="EZ761" s="1495">
        <f>SUM(EZ726:FD760)</f>
        <v>0</v>
      </c>
      <c r="FA761" s="1495"/>
      <c r="FB761" s="1495"/>
      <c r="FC761" s="1495"/>
      <c r="FD761" s="1495"/>
      <c r="FE761" s="1495">
        <f>SUM(FE726:FI760)</f>
        <v>2527</v>
      </c>
      <c r="FF761" s="1495"/>
      <c r="FG761" s="1495"/>
      <c r="FH761" s="1495"/>
      <c r="FI761" s="1495"/>
      <c r="FJ761" s="1495">
        <f>SUM(FJ726:FN760)</f>
        <v>0</v>
      </c>
      <c r="FK761" s="1495"/>
      <c r="FL761" s="1495"/>
      <c r="FM761" s="1495"/>
      <c r="FN761" s="1495"/>
      <c r="FO761" s="1495">
        <f>SUM(FO726:FS760)</f>
        <v>3271</v>
      </c>
      <c r="FP761" s="1495"/>
      <c r="FQ761" s="1495"/>
      <c r="FR761" s="1495"/>
      <c r="FS761" s="1495"/>
      <c r="FT761" s="1495">
        <f>SUM(FT726:FX760)</f>
        <v>0</v>
      </c>
      <c r="FU761" s="1495"/>
      <c r="FV761" s="1495"/>
      <c r="FW761" s="1495"/>
      <c r="FX761" s="1495"/>
      <c r="FY761" s="1495">
        <f>SUM(FY726:GC760)</f>
        <v>0</v>
      </c>
      <c r="FZ761" s="1495"/>
      <c r="GA761" s="1495"/>
      <c r="GB761" s="1495"/>
      <c r="GC761" s="1495"/>
    </row>
    <row r="762" spans="1:185" s="3" customFormat="1" ht="12.95" customHeight="1">
      <c r="A762"/>
      <c r="B762" s="1663" t="s">
        <v>1474</v>
      </c>
      <c r="C762" s="1663"/>
      <c r="D762" s="1663"/>
      <c r="E762" s="1663"/>
      <c r="F762" s="1663"/>
      <c r="G762" s="1663"/>
      <c r="H762" s="1663"/>
      <c r="I762" s="1663"/>
      <c r="J762" s="1663"/>
      <c r="K762" s="1663"/>
      <c r="L762" s="1663"/>
      <c r="M762" s="1663"/>
      <c r="N762" s="1663"/>
      <c r="O762" s="1663"/>
      <c r="P762" s="1663"/>
      <c r="Q762" s="1663"/>
      <c r="R762" s="1663"/>
      <c r="S762" s="1663"/>
      <c r="T762" s="1663"/>
      <c r="U762" s="1663"/>
      <c r="V762" s="1663"/>
      <c r="W762" s="1663"/>
      <c r="X762" s="1663"/>
      <c r="Y762" s="1663"/>
      <c r="Z762" s="1663"/>
      <c r="AA762" s="1663"/>
      <c r="AB762" s="1663"/>
      <c r="AC762" s="1663"/>
      <c r="AD762" s="1663"/>
      <c r="AE762" s="1663"/>
      <c r="AF762" s="1663"/>
      <c r="AG762" s="1663"/>
      <c r="AH762" s="1663"/>
      <c r="AI762"/>
      <c r="AJ762"/>
      <c r="AK762"/>
      <c r="AT762"/>
      <c r="AU762"/>
      <c r="AV762"/>
      <c r="AW762"/>
      <c r="AX762"/>
      <c r="AY762"/>
      <c r="CD762"/>
      <c r="DN762" s="48" t="s">
        <v>1475</v>
      </c>
      <c r="DO762" s="1499">
        <f>CP761+CU761+CZ761+DE761+DJ761+DO761</f>
        <v>35</v>
      </c>
      <c r="DP762" s="1501"/>
      <c r="DQ762" s="1501"/>
      <c r="DR762" s="1501"/>
      <c r="DS762" s="1500"/>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63"/>
      <c r="C763" s="1663"/>
      <c r="D763" s="1663"/>
      <c r="E763" s="1663"/>
      <c r="F763" s="1663"/>
      <c r="G763" s="1663"/>
      <c r="H763" s="1663"/>
      <c r="I763" s="1663"/>
      <c r="J763" s="1663"/>
      <c r="K763" s="1663"/>
      <c r="L763" s="1663"/>
      <c r="M763" s="1663"/>
      <c r="N763" s="1663"/>
      <c r="O763" s="1663"/>
      <c r="P763" s="1663"/>
      <c r="Q763" s="1663"/>
      <c r="R763" s="1663"/>
      <c r="S763" s="1663"/>
      <c r="T763" s="1663"/>
      <c r="U763" s="1663"/>
      <c r="V763" s="1663"/>
      <c r="W763" s="1663"/>
      <c r="X763" s="1663"/>
      <c r="Y763" s="1663"/>
      <c r="Z763" s="1663"/>
      <c r="AA763" s="1663"/>
      <c r="AB763" s="1663"/>
      <c r="AC763" s="1663"/>
      <c r="AD763" s="1663"/>
      <c r="AE763" s="1663"/>
      <c r="AF763" s="1663"/>
      <c r="AG763" s="1663"/>
      <c r="AH763" s="166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12</v>
      </c>
      <c r="CZ763" s="3"/>
      <c r="DA763" s="3"/>
      <c r="DB763" s="3"/>
      <c r="DC763" s="3"/>
      <c r="DD763" s="756">
        <f>CZ761*2</f>
        <v>0</v>
      </c>
      <c r="DE763" s="3"/>
      <c r="DF763" s="3"/>
      <c r="DG763" s="3"/>
      <c r="DH763" s="3"/>
      <c r="DI763" s="756">
        <f>DE761*3</f>
        <v>69</v>
      </c>
      <c r="DJ763" s="3"/>
      <c r="DK763" s="3"/>
      <c r="DL763" s="3"/>
      <c r="DM763" s="3"/>
      <c r="DN763" s="756">
        <f>DJ761*4</f>
        <v>0</v>
      </c>
      <c r="DO763" s="3"/>
      <c r="DP763" s="3"/>
      <c r="DQ763" s="3"/>
      <c r="DR763" s="3"/>
      <c r="DS763" s="756">
        <f>DO761*5</f>
        <v>0</v>
      </c>
      <c r="DU763" s="756">
        <f>CT763+CY763+DD763+DI763+DN763+DS763</f>
        <v>81</v>
      </c>
      <c r="DV763" s="49" t="s">
        <v>1476</v>
      </c>
      <c r="DW763" s="3"/>
      <c r="DX763" s="3"/>
      <c r="DY763" s="3"/>
      <c r="DZ763" s="3"/>
      <c r="EA763" s="3"/>
      <c r="EB763" s="3"/>
      <c r="EC763" s="3"/>
      <c r="ED763" s="3"/>
      <c r="EE763" s="3"/>
      <c r="EF763" s="3"/>
      <c r="EG763" s="3"/>
      <c r="EH763" s="3"/>
    </row>
    <row r="764" spans="1:185" ht="12.95" customHeight="1">
      <c r="A764" s="3"/>
      <c r="B764" s="3"/>
      <c r="C764" s="84" t="s">
        <v>1477</v>
      </c>
      <c r="D764" s="918"/>
      <c r="E764" s="918"/>
      <c r="F764" s="918"/>
      <c r="G764" s="919"/>
      <c r="H764" s="919"/>
      <c r="I764" s="919"/>
      <c r="J764" s="919"/>
      <c r="K764" s="918"/>
      <c r="L764" s="918"/>
      <c r="M764" s="918"/>
      <c r="N764" s="918"/>
      <c r="O764" s="1495">
        <f>DU763</f>
        <v>81</v>
      </c>
      <c r="P764" s="1495"/>
      <c r="Q764" s="1495"/>
      <c r="R764" s="1495"/>
      <c r="S764" s="859"/>
      <c r="T764" s="859"/>
      <c r="U764" s="84" t="s">
        <v>1478</v>
      </c>
      <c r="V764" s="918"/>
      <c r="W764" s="918"/>
      <c r="X764" s="918"/>
      <c r="Y764" s="919"/>
      <c r="Z764" s="919"/>
      <c r="AA764" s="919"/>
      <c r="AB764" s="919"/>
      <c r="AC764" s="918"/>
      <c r="AD764" s="918"/>
      <c r="AE764" s="918"/>
      <c r="AF764" s="918"/>
      <c r="AG764" s="1596">
        <v>0</v>
      </c>
      <c r="AH764" s="1596"/>
      <c r="AI764" s="1596"/>
      <c r="AJ764" s="1596"/>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411" t="str">
        <f>IF(G761&lt;&gt;AG449,"! Total Low-Income Units in the Unit Mix Table above does not match the number of Total Low-Income Units on row #"&amp;TEXT(ROW(D449),"#"),"")</f>
        <v/>
      </c>
      <c r="D765" s="1411"/>
      <c r="E765" s="1411"/>
      <c r="F765" s="1411"/>
      <c r="G765" s="1411"/>
      <c r="H765" s="1411"/>
      <c r="I765" s="1411"/>
      <c r="J765" s="1411"/>
      <c r="K765" s="1411"/>
      <c r="L765" s="1411"/>
      <c r="M765" s="1411"/>
      <c r="N765" s="1411"/>
      <c r="O765" s="1411"/>
      <c r="P765" s="1411"/>
      <c r="Q765" s="1411"/>
      <c r="R765" s="1411"/>
      <c r="S765" s="1411"/>
      <c r="T765" s="1411"/>
      <c r="U765" s="1411"/>
      <c r="V765" s="1411"/>
      <c r="W765" s="1411"/>
      <c r="X765" s="1411"/>
      <c r="Y765" s="1411"/>
      <c r="Z765" s="1411"/>
      <c r="AA765" s="1411"/>
      <c r="AB765" s="1411"/>
      <c r="AC765" s="1411"/>
      <c r="AD765" s="1411"/>
      <c r="AE765" s="1411"/>
      <c r="AF765" s="1411"/>
      <c r="AG765" s="1411"/>
      <c r="AH765" s="1411"/>
      <c r="AI765" s="1411"/>
      <c r="AJ765" s="1411"/>
      <c r="AK765" s="1411"/>
      <c r="AL765" s="1411"/>
      <c r="AM765" s="1411"/>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411"/>
      <c r="D766" s="1411"/>
      <c r="E766" s="1411"/>
      <c r="F766" s="1411"/>
      <c r="G766" s="1411"/>
      <c r="H766" s="1411"/>
      <c r="I766" s="1411"/>
      <c r="J766" s="1411"/>
      <c r="K766" s="1411"/>
      <c r="L766" s="1411"/>
      <c r="M766" s="1411"/>
      <c r="N766" s="1411"/>
      <c r="O766" s="1411"/>
      <c r="P766" s="1411"/>
      <c r="Q766" s="1411"/>
      <c r="R766" s="1411"/>
      <c r="S766" s="1411"/>
      <c r="T766" s="1411"/>
      <c r="U766" s="1411"/>
      <c r="V766" s="1411"/>
      <c r="W766" s="1411"/>
      <c r="X766" s="1411"/>
      <c r="Y766" s="1411"/>
      <c r="Z766" s="1411"/>
      <c r="AA766" s="1411"/>
      <c r="AB766" s="1411"/>
      <c r="AC766" s="1411"/>
      <c r="AD766" s="1411"/>
      <c r="AE766" s="1411"/>
      <c r="AF766" s="1411"/>
      <c r="AG766" s="1411"/>
      <c r="AH766" s="1411"/>
      <c r="AI766" s="1411"/>
      <c r="AJ766" s="1411"/>
      <c r="AK766" s="1411"/>
      <c r="AL766" s="1411"/>
      <c r="AM766" s="1411"/>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1479</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03" t="s">
        <v>826</v>
      </c>
      <c r="AE767" s="1603"/>
      <c r="AF767" s="1603"/>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1480</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927</v>
      </c>
      <c r="B769" s="48"/>
      <c r="C769" s="49" t="s">
        <v>1481</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1482</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5" t="s">
        <v>1483</v>
      </c>
      <c r="D771" s="1235"/>
      <c r="E771" s="1235"/>
      <c r="F771" s="1235"/>
      <c r="G771" s="1235"/>
      <c r="H771" s="1235"/>
      <c r="I771" s="1235"/>
      <c r="J771" s="1235"/>
      <c r="K771" s="1235"/>
      <c r="L771" s="1235"/>
      <c r="M771" s="1235"/>
      <c r="N771" s="1235"/>
      <c r="O771" s="1235"/>
      <c r="P771" s="1235"/>
      <c r="Q771" s="1235"/>
      <c r="R771" s="1235"/>
      <c r="S771" s="1235"/>
      <c r="T771" s="1235"/>
      <c r="U771" s="1235"/>
      <c r="V771" s="1235"/>
      <c r="W771" s="1235"/>
      <c r="X771" s="1235"/>
      <c r="Y771" s="1235"/>
      <c r="Z771" s="1235"/>
      <c r="AA771" s="1235"/>
      <c r="AB771" s="1235"/>
      <c r="AC771" s="1235"/>
      <c r="AD771" s="1235"/>
      <c r="AE771" s="1235"/>
      <c r="AF771" s="1235"/>
      <c r="AG771" s="1235"/>
      <c r="AH771" s="1235"/>
      <c r="AI771" s="1235"/>
      <c r="AJ771" s="1235"/>
      <c r="AK771" s="1235"/>
      <c r="AL771" s="1235"/>
      <c r="AM771" s="1235"/>
      <c r="AN771" s="1235"/>
      <c r="AO771" s="1235"/>
      <c r="AP771" s="1235"/>
      <c r="AQ771" s="1235"/>
      <c r="AR771" s="123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5"/>
      <c r="D772" s="1235"/>
      <c r="E772" s="1235"/>
      <c r="F772" s="1235"/>
      <c r="G772" s="1235"/>
      <c r="H772" s="1235"/>
      <c r="I772" s="1235"/>
      <c r="J772" s="1235"/>
      <c r="K772" s="1235"/>
      <c r="L772" s="1235"/>
      <c r="M772" s="1235"/>
      <c r="N772" s="1235"/>
      <c r="O772" s="1235"/>
      <c r="P772" s="1235"/>
      <c r="Q772" s="1235"/>
      <c r="R772" s="1235"/>
      <c r="S772" s="1235"/>
      <c r="T772" s="1235"/>
      <c r="U772" s="1235"/>
      <c r="V772" s="1235"/>
      <c r="W772" s="1235"/>
      <c r="X772" s="1235"/>
      <c r="Y772" s="1235"/>
      <c r="Z772" s="1235"/>
      <c r="AA772" s="1235"/>
      <c r="AB772" s="1235"/>
      <c r="AC772" s="1235"/>
      <c r="AD772" s="1235"/>
      <c r="AE772" s="1235"/>
      <c r="AF772" s="1235"/>
      <c r="AG772" s="1235"/>
      <c r="AH772" s="1235"/>
      <c r="AI772" s="1235"/>
      <c r="AJ772" s="1235"/>
      <c r="AK772" s="1235"/>
      <c r="AL772" s="1235"/>
      <c r="AM772" s="1235"/>
      <c r="AN772" s="1235"/>
      <c r="AO772" s="1235"/>
      <c r="AP772" s="1235"/>
      <c r="AQ772" s="1235"/>
      <c r="AR772" s="123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5"/>
      <c r="D773" s="1235"/>
      <c r="E773" s="1235"/>
      <c r="F773" s="1235"/>
      <c r="G773" s="1235"/>
      <c r="H773" s="1235"/>
      <c r="I773" s="1235"/>
      <c r="J773" s="1235"/>
      <c r="K773" s="1235"/>
      <c r="L773" s="1235"/>
      <c r="M773" s="1235"/>
      <c r="N773" s="1235"/>
      <c r="O773" s="1235"/>
      <c r="P773" s="1235"/>
      <c r="Q773" s="1235"/>
      <c r="R773" s="1235"/>
      <c r="S773" s="1235"/>
      <c r="T773" s="1235"/>
      <c r="U773" s="1235"/>
      <c r="V773" s="1235"/>
      <c r="W773" s="1235"/>
      <c r="X773" s="1235"/>
      <c r="Y773" s="1235"/>
      <c r="Z773" s="1235"/>
      <c r="AA773" s="1235"/>
      <c r="AB773" s="1235"/>
      <c r="AC773" s="1235"/>
      <c r="AD773" s="1235"/>
      <c r="AE773" s="1235"/>
      <c r="AF773" s="1235"/>
      <c r="AG773" s="1235"/>
      <c r="AH773" s="1235"/>
      <c r="AI773" s="1235"/>
      <c r="AJ773" s="1235"/>
      <c r="AK773" s="1235"/>
      <c r="AL773" s="1235"/>
      <c r="AM773" s="1235"/>
      <c r="AN773" s="1235"/>
      <c r="AO773" s="1235"/>
      <c r="AP773" s="1235"/>
      <c r="AQ773" s="1235"/>
      <c r="AR773" s="123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5" t="s">
        <v>1484</v>
      </c>
      <c r="D774" s="1235"/>
      <c r="E774" s="1235"/>
      <c r="F774" s="1235"/>
      <c r="G774" s="1235"/>
      <c r="H774" s="1235"/>
      <c r="I774" s="1235"/>
      <c r="J774" s="1235"/>
      <c r="K774" s="1235"/>
      <c r="L774" s="1235"/>
      <c r="M774" s="1235"/>
      <c r="N774" s="1235"/>
      <c r="O774" s="1235"/>
      <c r="P774" s="1235"/>
      <c r="Q774" s="1235"/>
      <c r="R774" s="1235"/>
      <c r="S774" s="1235"/>
      <c r="T774" s="1235"/>
      <c r="U774" s="1235"/>
      <c r="V774" s="1235"/>
      <c r="W774" s="1235"/>
      <c r="X774" s="1235"/>
      <c r="Y774" s="1235"/>
      <c r="Z774" s="1235"/>
      <c r="AA774" s="1235"/>
      <c r="AB774" s="1235"/>
      <c r="AC774" s="1235"/>
      <c r="AD774" s="1235"/>
      <c r="AE774" s="1235"/>
      <c r="AF774" s="1235"/>
      <c r="AG774" s="1235"/>
      <c r="AH774" s="1235"/>
      <c r="AI774" s="1235"/>
      <c r="AJ774" s="1235"/>
      <c r="AK774" s="1235"/>
      <c r="AL774" s="1235"/>
      <c r="AM774" s="1235"/>
      <c r="AN774" s="1235"/>
      <c r="AO774" s="1235"/>
      <c r="AP774" s="1235"/>
      <c r="AQ774" s="1235"/>
      <c r="AR774" s="123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5"/>
      <c r="D775" s="1235"/>
      <c r="E775" s="1235"/>
      <c r="F775" s="1235"/>
      <c r="G775" s="1235"/>
      <c r="H775" s="1235"/>
      <c r="I775" s="1235"/>
      <c r="J775" s="1235"/>
      <c r="K775" s="1235"/>
      <c r="L775" s="1235"/>
      <c r="M775" s="1235"/>
      <c r="N775" s="1235"/>
      <c r="O775" s="1235"/>
      <c r="P775" s="1235"/>
      <c r="Q775" s="1235"/>
      <c r="R775" s="1235"/>
      <c r="S775" s="1235"/>
      <c r="T775" s="1235"/>
      <c r="U775" s="1235"/>
      <c r="V775" s="1235"/>
      <c r="W775" s="1235"/>
      <c r="X775" s="1235"/>
      <c r="Y775" s="1235"/>
      <c r="Z775" s="1235"/>
      <c r="AA775" s="1235"/>
      <c r="AB775" s="1235"/>
      <c r="AC775" s="1235"/>
      <c r="AD775" s="1235"/>
      <c r="AE775" s="1235"/>
      <c r="AF775" s="1235"/>
      <c r="AG775" s="1235"/>
      <c r="AH775" s="1235"/>
      <c r="AI775" s="1235"/>
      <c r="AJ775" s="1235"/>
      <c r="AK775" s="1235"/>
      <c r="AL775" s="1235"/>
      <c r="AM775" s="1235"/>
      <c r="AN775" s="1235"/>
      <c r="AO775" s="1235"/>
      <c r="AP775" s="1235"/>
      <c r="AQ775" s="1235"/>
      <c r="AR775" s="123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5"/>
      <c r="D776" s="1235"/>
      <c r="E776" s="1235"/>
      <c r="F776" s="1235"/>
      <c r="G776" s="1235"/>
      <c r="H776" s="1235"/>
      <c r="I776" s="1235"/>
      <c r="J776" s="1235"/>
      <c r="K776" s="1235"/>
      <c r="L776" s="1235"/>
      <c r="M776" s="1235"/>
      <c r="N776" s="1235"/>
      <c r="O776" s="1235"/>
      <c r="P776" s="1235"/>
      <c r="Q776" s="1235"/>
      <c r="R776" s="1235"/>
      <c r="S776" s="1235"/>
      <c r="T776" s="1235"/>
      <c r="U776" s="1235"/>
      <c r="V776" s="1235"/>
      <c r="W776" s="1235"/>
      <c r="X776" s="1235"/>
      <c r="Y776" s="1235"/>
      <c r="Z776" s="1235"/>
      <c r="AA776" s="1235"/>
      <c r="AB776" s="1235"/>
      <c r="AC776" s="1235"/>
      <c r="AD776" s="1235"/>
      <c r="AE776" s="1235"/>
      <c r="AF776" s="1235"/>
      <c r="AG776" s="1235"/>
      <c r="AH776" s="1235"/>
      <c r="AI776" s="1235"/>
      <c r="AJ776" s="1235"/>
      <c r="AK776" s="1235"/>
      <c r="AL776" s="1235"/>
      <c r="AM776" s="1235"/>
      <c r="AN776" s="1235"/>
      <c r="AO776" s="1235"/>
      <c r="AP776" s="1235"/>
      <c r="AQ776" s="1235"/>
      <c r="AR776" s="123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96" t="s">
        <v>1450</v>
      </c>
      <c r="K777" s="1397"/>
      <c r="L777" s="1397"/>
      <c r="M777" s="1397"/>
      <c r="N777" s="1398"/>
      <c r="O777" s="1594" t="s">
        <v>1451</v>
      </c>
      <c r="P777" s="1594"/>
      <c r="Q777" s="1594"/>
      <c r="R777" s="1594"/>
      <c r="S777" s="1594"/>
      <c r="T777" s="1629" t="s">
        <v>1452</v>
      </c>
      <c r="U777" s="1630"/>
      <c r="V777" s="1630"/>
      <c r="W777" s="1631"/>
      <c r="X777" s="1396" t="s">
        <v>1453</v>
      </c>
      <c r="Y777" s="1397"/>
      <c r="Z777" s="1397"/>
      <c r="AA777" s="1397"/>
      <c r="AB777" s="1398"/>
      <c r="AC777" s="1396" t="s">
        <v>1485</v>
      </c>
      <c r="AD777" s="1397"/>
      <c r="AE777" s="1397"/>
      <c r="AF777" s="1397"/>
      <c r="AG777" s="1398"/>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99"/>
      <c r="K778" s="1400"/>
      <c r="L778" s="1400"/>
      <c r="M778" s="1400"/>
      <c r="N778" s="1401"/>
      <c r="O778" s="1594"/>
      <c r="P778" s="1594"/>
      <c r="Q778" s="1594"/>
      <c r="R778" s="1594"/>
      <c r="S778" s="1594"/>
      <c r="T778" s="1632"/>
      <c r="U778" s="1633"/>
      <c r="V778" s="1633"/>
      <c r="W778" s="1634"/>
      <c r="X778" s="1399"/>
      <c r="Y778" s="1400"/>
      <c r="Z778" s="1400"/>
      <c r="AA778" s="1400"/>
      <c r="AB778" s="1401"/>
      <c r="AC778" s="1399"/>
      <c r="AD778" s="1400"/>
      <c r="AE778" s="1400"/>
      <c r="AF778" s="1400"/>
      <c r="AG778" s="1401"/>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99"/>
      <c r="K779" s="1400"/>
      <c r="L779" s="1400"/>
      <c r="M779" s="1400"/>
      <c r="N779" s="1401"/>
      <c r="O779" s="1594"/>
      <c r="P779" s="1594"/>
      <c r="Q779" s="1594"/>
      <c r="R779" s="1594"/>
      <c r="S779" s="1594"/>
      <c r="T779" s="1632"/>
      <c r="U779" s="1633"/>
      <c r="V779" s="1633"/>
      <c r="W779" s="1634"/>
      <c r="X779" s="1399"/>
      <c r="Y779" s="1400"/>
      <c r="Z779" s="1400"/>
      <c r="AA779" s="1400"/>
      <c r="AB779" s="1401"/>
      <c r="AC779" s="1399"/>
      <c r="AD779" s="1400"/>
      <c r="AE779" s="1400"/>
      <c r="AF779" s="1400"/>
      <c r="AG779" s="1401"/>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02"/>
      <c r="K780" s="1403"/>
      <c r="L780" s="1403"/>
      <c r="M780" s="1403"/>
      <c r="N780" s="1404"/>
      <c r="O780" s="1594"/>
      <c r="P780" s="1594"/>
      <c r="Q780" s="1594"/>
      <c r="R780" s="1594"/>
      <c r="S780" s="1594"/>
      <c r="T780" s="1688"/>
      <c r="U780" s="1689"/>
      <c r="V780" s="1689"/>
      <c r="W780" s="1690"/>
      <c r="X780" s="1402"/>
      <c r="Y780" s="1403"/>
      <c r="Z780" s="1403"/>
      <c r="AA780" s="1403"/>
      <c r="AB780" s="1404"/>
      <c r="AC780" s="1402"/>
      <c r="AD780" s="1403"/>
      <c r="AE780" s="1403"/>
      <c r="AF780" s="1403"/>
      <c r="AG780" s="1404"/>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1486</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77" t="s">
        <v>846</v>
      </c>
      <c r="K781" s="1378"/>
      <c r="L781" s="1378"/>
      <c r="M781" s="1378"/>
      <c r="N781" s="1379"/>
      <c r="O781" s="1593">
        <v>1</v>
      </c>
      <c r="P781" s="1593"/>
      <c r="Q781" s="1593"/>
      <c r="R781" s="1593"/>
      <c r="S781" s="1593"/>
      <c r="T781" s="1412">
        <v>1027</v>
      </c>
      <c r="U781" s="1413"/>
      <c r="V781" s="1413"/>
      <c r="W781" s="1414"/>
      <c r="X781" s="1387">
        <v>0</v>
      </c>
      <c r="Y781" s="1388"/>
      <c r="Z781" s="1388"/>
      <c r="AA781" s="1388"/>
      <c r="AB781" s="1389"/>
      <c r="AC781" s="1433">
        <f>X781*O781</f>
        <v>0</v>
      </c>
      <c r="AD781" s="1434"/>
      <c r="AE781" s="1434"/>
      <c r="AF781" s="1434"/>
      <c r="AG781" s="1435"/>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96">
        <f>IF(J781="SRO/Studio",O781,0)</f>
        <v>0</v>
      </c>
      <c r="CQ781" s="1497"/>
      <c r="CR781" s="1497"/>
      <c r="CS781" s="1497"/>
      <c r="CT781" s="1498"/>
      <c r="CU781" s="1494">
        <f>IF(J781="1 Bedroom",O781,0)</f>
        <v>1</v>
      </c>
      <c r="CV781" s="1494"/>
      <c r="CW781" s="1494"/>
      <c r="CX781" s="1494"/>
      <c r="CY781" s="1494"/>
      <c r="CZ781" s="1494">
        <f>IF(J781="2 Bedrooms",O781,0)</f>
        <v>0</v>
      </c>
      <c r="DA781" s="1494"/>
      <c r="DB781" s="1494"/>
      <c r="DC781" s="1494"/>
      <c r="DD781" s="1494"/>
      <c r="DE781" s="1494">
        <f>IF(J781="3 Bedrooms",O781,0)</f>
        <v>0</v>
      </c>
      <c r="DF781" s="1494"/>
      <c r="DG781" s="1494"/>
      <c r="DH781" s="1494"/>
      <c r="DI781" s="1494"/>
      <c r="DJ781" s="1494">
        <f>IF(J781="4 Bedrooms",O781,0)</f>
        <v>0</v>
      </c>
      <c r="DK781" s="1494"/>
      <c r="DL781" s="1494"/>
      <c r="DM781" s="1494"/>
      <c r="DN781" s="1494"/>
      <c r="DO781" s="1494">
        <f>IF(J781="5 Bedrooms",O781,0)</f>
        <v>0</v>
      </c>
      <c r="DP781" s="1494"/>
      <c r="DQ781" s="1494"/>
      <c r="DR781" s="1494"/>
      <c r="DS781" s="1494"/>
      <c r="DT781" s="257"/>
      <c r="DU781" s="3"/>
      <c r="DV781" s="3"/>
    </row>
    <row r="782" spans="1:159" ht="12.95" customHeight="1">
      <c r="J782" s="1377"/>
      <c r="K782" s="1378"/>
      <c r="L782" s="1378"/>
      <c r="M782" s="1378"/>
      <c r="N782" s="1379"/>
      <c r="O782" s="1593"/>
      <c r="P782" s="1593"/>
      <c r="Q782" s="1593"/>
      <c r="R782" s="1593"/>
      <c r="S782" s="1593"/>
      <c r="T782" s="1412"/>
      <c r="U782" s="1413"/>
      <c r="V782" s="1413"/>
      <c r="W782" s="1414"/>
      <c r="X782" s="1387"/>
      <c r="Y782" s="1388"/>
      <c r="Z782" s="1388"/>
      <c r="AA782" s="1388"/>
      <c r="AB782" s="1389"/>
      <c r="AC782" s="1433">
        <f>X782*O782</f>
        <v>0</v>
      </c>
      <c r="AD782" s="1434"/>
      <c r="AE782" s="1434"/>
      <c r="AF782" s="1434"/>
      <c r="AG782" s="1435"/>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96">
        <f>IF(J782="SRO/Studio",O782,0)</f>
        <v>0</v>
      </c>
      <c r="CQ782" s="1497"/>
      <c r="CR782" s="1497"/>
      <c r="CS782" s="1497"/>
      <c r="CT782" s="1498"/>
      <c r="CU782" s="1494">
        <f>IF(J782="1 Bedroom",O782,0)</f>
        <v>0</v>
      </c>
      <c r="CV782" s="1494"/>
      <c r="CW782" s="1494"/>
      <c r="CX782" s="1494"/>
      <c r="CY782" s="1494"/>
      <c r="CZ782" s="1494">
        <f>IF(J782="2 Bedrooms",O782,0)</f>
        <v>0</v>
      </c>
      <c r="DA782" s="1494"/>
      <c r="DB782" s="1494"/>
      <c r="DC782" s="1494"/>
      <c r="DD782" s="1494"/>
      <c r="DE782" s="1494">
        <f>IF(J782="3 Bedrooms",O782,0)</f>
        <v>0</v>
      </c>
      <c r="DF782" s="1494"/>
      <c r="DG782" s="1494"/>
      <c r="DH782" s="1494"/>
      <c r="DI782" s="1494"/>
      <c r="DJ782" s="1494">
        <f>IF(J782="4 Bedrooms",O782,0)</f>
        <v>0</v>
      </c>
      <c r="DK782" s="1494"/>
      <c r="DL782" s="1494"/>
      <c r="DM782" s="1494"/>
      <c r="DN782" s="1494"/>
      <c r="DO782" s="1494">
        <f>IF(J782="5 Bedrooms",O782,0)</f>
        <v>0</v>
      </c>
      <c r="DP782" s="1494"/>
      <c r="DQ782" s="1494"/>
      <c r="DR782" s="1494"/>
      <c r="DS782" s="1494"/>
      <c r="DT782" s="257"/>
      <c r="DU782" s="3"/>
      <c r="DV782" s="3"/>
    </row>
    <row r="783" spans="1:159" ht="12.95" customHeight="1">
      <c r="J783" s="1377"/>
      <c r="K783" s="1378"/>
      <c r="L783" s="1378"/>
      <c r="M783" s="1378"/>
      <c r="N783" s="1379"/>
      <c r="O783" s="1593"/>
      <c r="P783" s="1593"/>
      <c r="Q783" s="1593"/>
      <c r="R783" s="1593"/>
      <c r="S783" s="1593"/>
      <c r="T783" s="1412"/>
      <c r="U783" s="1413"/>
      <c r="V783" s="1413"/>
      <c r="W783" s="1414"/>
      <c r="X783" s="1387"/>
      <c r="Y783" s="1388"/>
      <c r="Z783" s="1388"/>
      <c r="AA783" s="1388"/>
      <c r="AB783" s="1389"/>
      <c r="AC783" s="1433">
        <f>X783*O783</f>
        <v>0</v>
      </c>
      <c r="AD783" s="1434"/>
      <c r="AE783" s="1434"/>
      <c r="AF783" s="1434"/>
      <c r="AG783" s="1435"/>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96">
        <f>IF(J783="SRO/Studio",O783,0)</f>
        <v>0</v>
      </c>
      <c r="CQ783" s="1497"/>
      <c r="CR783" s="1497"/>
      <c r="CS783" s="1497"/>
      <c r="CT783" s="1498"/>
      <c r="CU783" s="1494">
        <f>IF(J783="1 Bedroom",O783,0)</f>
        <v>0</v>
      </c>
      <c r="CV783" s="1494"/>
      <c r="CW783" s="1494"/>
      <c r="CX783" s="1494"/>
      <c r="CY783" s="1494"/>
      <c r="CZ783" s="1494">
        <f>IF(J783="2 Bedrooms",O783,0)</f>
        <v>0</v>
      </c>
      <c r="DA783" s="1494"/>
      <c r="DB783" s="1494"/>
      <c r="DC783" s="1494"/>
      <c r="DD783" s="1494"/>
      <c r="DE783" s="1494">
        <f>IF(J783="3 Bedrooms",O783,0)</f>
        <v>0</v>
      </c>
      <c r="DF783" s="1494"/>
      <c r="DG783" s="1494"/>
      <c r="DH783" s="1494"/>
      <c r="DI783" s="1494"/>
      <c r="DJ783" s="1494">
        <f>IF(J783="4 Bedrooms",O783,0)</f>
        <v>0</v>
      </c>
      <c r="DK783" s="1494"/>
      <c r="DL783" s="1494"/>
      <c r="DM783" s="1494"/>
      <c r="DN783" s="1494"/>
      <c r="DO783" s="1494">
        <f>IF(J783="5 Bedrooms",O783,0)</f>
        <v>0</v>
      </c>
      <c r="DP783" s="1494"/>
      <c r="DQ783" s="1494"/>
      <c r="DR783" s="1494"/>
      <c r="DS783" s="1494"/>
      <c r="DT783" s="257"/>
    </row>
    <row r="784" spans="1:159" ht="12.95" customHeight="1">
      <c r="J784" s="1377"/>
      <c r="K784" s="1378"/>
      <c r="L784" s="1378"/>
      <c r="M784" s="1378"/>
      <c r="N784" s="1379"/>
      <c r="O784" s="1593"/>
      <c r="P784" s="1593"/>
      <c r="Q784" s="1593"/>
      <c r="R784" s="1593"/>
      <c r="S784" s="1593"/>
      <c r="T784" s="1412"/>
      <c r="U784" s="1413"/>
      <c r="V784" s="1413"/>
      <c r="W784" s="1414"/>
      <c r="X784" s="1387"/>
      <c r="Y784" s="1388"/>
      <c r="Z784" s="1388"/>
      <c r="AA784" s="1388"/>
      <c r="AB784" s="1389"/>
      <c r="AC784" s="1433">
        <f>X784*O784</f>
        <v>0</v>
      </c>
      <c r="AD784" s="1434"/>
      <c r="AE784" s="1434"/>
      <c r="AF784" s="1434"/>
      <c r="AG784" s="1435"/>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96">
        <f>IF(J784="SRO/Studio",O784,0)</f>
        <v>0</v>
      </c>
      <c r="CQ784" s="1497"/>
      <c r="CR784" s="1497"/>
      <c r="CS784" s="1497"/>
      <c r="CT784" s="1498"/>
      <c r="CU784" s="1494">
        <f>IF(J784="1 Bedroom",O784,0)</f>
        <v>0</v>
      </c>
      <c r="CV784" s="1494"/>
      <c r="CW784" s="1494"/>
      <c r="CX784" s="1494"/>
      <c r="CY784" s="1494"/>
      <c r="CZ784" s="1494">
        <f>IF(J784="2 Bedrooms",O784,0)</f>
        <v>0</v>
      </c>
      <c r="DA784" s="1494"/>
      <c r="DB784" s="1494"/>
      <c r="DC784" s="1494"/>
      <c r="DD784" s="1494"/>
      <c r="DE784" s="1494">
        <f>IF(J784="3 Bedrooms",O784,0)</f>
        <v>0</v>
      </c>
      <c r="DF784" s="1494"/>
      <c r="DG784" s="1494"/>
      <c r="DH784" s="1494"/>
      <c r="DI784" s="1494"/>
      <c r="DJ784" s="1494">
        <f>IF(J784="4 Bedrooms",O784,0)</f>
        <v>0</v>
      </c>
      <c r="DK784" s="1494"/>
      <c r="DL784" s="1494"/>
      <c r="DM784" s="1494"/>
      <c r="DN784" s="1494"/>
      <c r="DO784" s="1494">
        <f>IF(J784="5 Bedrooms",O784,0)</f>
        <v>0</v>
      </c>
      <c r="DP784" s="1494"/>
      <c r="DQ784" s="1494"/>
      <c r="DR784" s="1494"/>
      <c r="DS784" s="1494"/>
    </row>
    <row r="785" spans="1:154" ht="12.95" customHeight="1">
      <c r="J785" s="1487" t="s">
        <v>1470</v>
      </c>
      <c r="K785" s="1488"/>
      <c r="L785" s="1488"/>
      <c r="M785" s="1488"/>
      <c r="N785" s="1489"/>
      <c r="O785" s="1499">
        <f>SUM(O781:S784)</f>
        <v>1</v>
      </c>
      <c r="P785" s="1501"/>
      <c r="Q785" s="1501"/>
      <c r="R785" s="1501"/>
      <c r="S785" s="1500"/>
      <c r="X785" s="1487" t="s">
        <v>1471</v>
      </c>
      <c r="Y785" s="1488"/>
      <c r="Z785" s="1488"/>
      <c r="AA785" s="1488"/>
      <c r="AB785" s="1489"/>
      <c r="AC785" s="1433">
        <f>SUM(AC781:AG784)</f>
        <v>0</v>
      </c>
      <c r="AD785" s="1434"/>
      <c r="AE785" s="1434"/>
      <c r="AF785" s="1434"/>
      <c r="AG785" s="1435"/>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99">
        <f>SUM(CP781:CT784)</f>
        <v>0</v>
      </c>
      <c r="CQ785" s="1501"/>
      <c r="CR785" s="1501"/>
      <c r="CS785" s="1501"/>
      <c r="CT785" s="1500"/>
      <c r="CU785" s="1499">
        <f>SUM(CU781:CY784)</f>
        <v>1</v>
      </c>
      <c r="CV785" s="1501"/>
      <c r="CW785" s="1501"/>
      <c r="CX785" s="1501"/>
      <c r="CY785" s="1500"/>
      <c r="CZ785" s="1499">
        <f>SUM(CZ781:DD784)</f>
        <v>0</v>
      </c>
      <c r="DA785" s="1501"/>
      <c r="DB785" s="1501"/>
      <c r="DC785" s="1501"/>
      <c r="DD785" s="1500"/>
      <c r="DE785" s="1499">
        <f>SUM(DE781:DI784)</f>
        <v>0</v>
      </c>
      <c r="DF785" s="1501"/>
      <c r="DG785" s="1501"/>
      <c r="DH785" s="1501"/>
      <c r="DI785" s="1500"/>
      <c r="DJ785" s="1499">
        <f>SUM(DJ781:DN784)</f>
        <v>0</v>
      </c>
      <c r="DK785" s="1501"/>
      <c r="DL785" s="1501"/>
      <c r="DM785" s="1501"/>
      <c r="DN785" s="1500"/>
      <c r="DO785" s="1499">
        <f>SUM(DO781:DS784)</f>
        <v>0</v>
      </c>
      <c r="DP785" s="1501"/>
      <c r="DQ785" s="1501"/>
      <c r="DR785" s="1501"/>
      <c r="DS785" s="1500"/>
      <c r="DU785" s="756">
        <f>CP785+CU785+CZ785+DE785+DJ785+DO785</f>
        <v>1</v>
      </c>
      <c r="DV785" s="49" t="s">
        <v>1487</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1</v>
      </c>
      <c r="CZ786" s="3"/>
      <c r="DA786" s="3"/>
      <c r="DB786" s="3"/>
      <c r="DC786" s="3"/>
      <c r="DD786" s="756">
        <f>CZ785*2</f>
        <v>0</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1</v>
      </c>
      <c r="DV786" s="49" t="s">
        <v>1488</v>
      </c>
    </row>
    <row r="787" spans="1:154" ht="12.95" customHeight="1">
      <c r="B787" s="48"/>
      <c r="C787" s="48"/>
      <c r="D787" s="48"/>
      <c r="E787" s="48"/>
      <c r="F787" s="48"/>
      <c r="G787" s="257"/>
      <c r="H787" s="257"/>
      <c r="I787" s="257"/>
      <c r="J787" s="1444" t="s">
        <v>700</v>
      </c>
      <c r="K787" s="1444"/>
      <c r="L787" s="48"/>
      <c r="M787" s="84" t="s">
        <v>1489</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1490</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1005</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96" t="s">
        <v>1450</v>
      </c>
      <c r="K791" s="1397"/>
      <c r="L791" s="1397"/>
      <c r="M791" s="1397"/>
      <c r="N791" s="1398"/>
      <c r="O791" s="1594" t="s">
        <v>1451</v>
      </c>
      <c r="P791" s="1594"/>
      <c r="Q791" s="1594"/>
      <c r="R791" s="1594"/>
      <c r="S791" s="1594"/>
      <c r="T791" s="1629" t="s">
        <v>1452</v>
      </c>
      <c r="U791" s="1630"/>
      <c r="V791" s="1630"/>
      <c r="W791" s="1631"/>
      <c r="X791" s="1396" t="s">
        <v>1453</v>
      </c>
      <c r="Y791" s="1397"/>
      <c r="Z791" s="1397"/>
      <c r="AA791" s="1397"/>
      <c r="AB791" s="1398"/>
      <c r="AC791" s="1396" t="s">
        <v>1485</v>
      </c>
      <c r="AD791" s="1397"/>
      <c r="AE791" s="1397"/>
      <c r="AF791" s="1397"/>
      <c r="AG791" s="139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99"/>
      <c r="K792" s="1400"/>
      <c r="L792" s="1400"/>
      <c r="M792" s="1400"/>
      <c r="N792" s="1401"/>
      <c r="O792" s="1594"/>
      <c r="P792" s="1594"/>
      <c r="Q792" s="1594"/>
      <c r="R792" s="1594"/>
      <c r="S792" s="1594"/>
      <c r="T792" s="1632"/>
      <c r="U792" s="1633"/>
      <c r="V792" s="1633"/>
      <c r="W792" s="1634"/>
      <c r="X792" s="1399"/>
      <c r="Y792" s="1400"/>
      <c r="Z792" s="1400"/>
      <c r="AA792" s="1400"/>
      <c r="AB792" s="1401"/>
      <c r="AC792" s="1399"/>
      <c r="AD792" s="1400"/>
      <c r="AE792" s="1400"/>
      <c r="AF792" s="1400"/>
      <c r="AG792" s="140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99"/>
      <c r="K793" s="1400"/>
      <c r="L793" s="1400"/>
      <c r="M793" s="1400"/>
      <c r="N793" s="1401"/>
      <c r="O793" s="1594"/>
      <c r="P793" s="1594"/>
      <c r="Q793" s="1594"/>
      <c r="R793" s="1594"/>
      <c r="S793" s="1594"/>
      <c r="T793" s="1632"/>
      <c r="U793" s="1633"/>
      <c r="V793" s="1633"/>
      <c r="W793" s="1634"/>
      <c r="X793" s="1399"/>
      <c r="Y793" s="1400"/>
      <c r="Z793" s="1400"/>
      <c r="AA793" s="1400"/>
      <c r="AB793" s="1401"/>
      <c r="AC793" s="1399"/>
      <c r="AD793" s="1400"/>
      <c r="AE793" s="1400"/>
      <c r="AF793" s="1400"/>
      <c r="AG793" s="140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02"/>
      <c r="K794" s="1403"/>
      <c r="L794" s="1403"/>
      <c r="M794" s="1403"/>
      <c r="N794" s="1404"/>
      <c r="O794" s="1594"/>
      <c r="P794" s="1594"/>
      <c r="Q794" s="1594"/>
      <c r="R794" s="1594"/>
      <c r="S794" s="1594"/>
      <c r="T794" s="1688"/>
      <c r="U794" s="1689"/>
      <c r="V794" s="1689"/>
      <c r="W794" s="1690"/>
      <c r="X794" s="1402"/>
      <c r="Y794" s="1403"/>
      <c r="Z794" s="1403"/>
      <c r="AA794" s="1403"/>
      <c r="AB794" s="1404"/>
      <c r="AC794" s="1402"/>
      <c r="AD794" s="1403"/>
      <c r="AE794" s="1403"/>
      <c r="AF794" s="1403"/>
      <c r="AG794" s="140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1491</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1492</v>
      </c>
      <c r="DV794" s="3"/>
      <c r="DW794" s="3"/>
      <c r="DX794" s="3"/>
      <c r="DY794" s="3"/>
      <c r="DZ794" s="3"/>
      <c r="EA794" s="3"/>
      <c r="EB794" s="3"/>
      <c r="EC794" s="3"/>
      <c r="ED794" s="3"/>
      <c r="EE794" s="3"/>
      <c r="EF794" s="3"/>
      <c r="EG794" s="3"/>
      <c r="EH794" s="3"/>
    </row>
    <row r="795" spans="1:154" ht="12.95" customHeight="1">
      <c r="J795" s="1377" t="s">
        <v>848</v>
      </c>
      <c r="K795" s="1378"/>
      <c r="L795" s="1378"/>
      <c r="M795" s="1378"/>
      <c r="N795" s="1379"/>
      <c r="O795" s="1593">
        <v>1</v>
      </c>
      <c r="P795" s="1593"/>
      <c r="Q795" s="1593"/>
      <c r="R795" s="1593"/>
      <c r="S795" s="1593"/>
      <c r="T795" s="1412">
        <v>2123</v>
      </c>
      <c r="U795" s="1413"/>
      <c r="V795" s="1413"/>
      <c r="W795" s="1414"/>
      <c r="X795" s="1387">
        <v>1829</v>
      </c>
      <c r="Y795" s="1388"/>
      <c r="Z795" s="1388"/>
      <c r="AA795" s="1388"/>
      <c r="AB795" s="1389"/>
      <c r="AC795" s="1433">
        <f t="shared" ref="AC795:AC804" si="42">X795*O795</f>
        <v>1829</v>
      </c>
      <c r="AD795" s="1434"/>
      <c r="AE795" s="1434"/>
      <c r="AF795" s="1434"/>
      <c r="AG795" s="143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96">
        <f t="shared" ref="CP795:CP804" si="43">IF(J795="SRO/Studio",O795,0)</f>
        <v>0</v>
      </c>
      <c r="CQ795" s="1497"/>
      <c r="CR795" s="1497"/>
      <c r="CS795" s="1497"/>
      <c r="CT795" s="1498"/>
      <c r="CU795" s="1496">
        <f t="shared" ref="CU795:CU804" si="44">IF(J795="1 Bedroom",O795,0)</f>
        <v>0</v>
      </c>
      <c r="CV795" s="1497"/>
      <c r="CW795" s="1497"/>
      <c r="CX795" s="1497"/>
      <c r="CY795" s="1498"/>
      <c r="CZ795" s="1496">
        <f t="shared" ref="CZ795:CZ804" si="45">IF(J795="2 Bedrooms",O795,0)</f>
        <v>0</v>
      </c>
      <c r="DA795" s="1497"/>
      <c r="DB795" s="1497"/>
      <c r="DC795" s="1497"/>
      <c r="DD795" s="1498"/>
      <c r="DE795" s="1496">
        <f t="shared" ref="DE795:DE804" si="46">IF(J795="3 Bedrooms",O795,0)</f>
        <v>1</v>
      </c>
      <c r="DF795" s="1497"/>
      <c r="DG795" s="1497"/>
      <c r="DH795" s="1497"/>
      <c r="DI795" s="1498"/>
      <c r="DJ795" s="1496">
        <f t="shared" ref="DJ795:DJ804" si="47">IF(J795="4 Bedrooms",O795,0)</f>
        <v>0</v>
      </c>
      <c r="DK795" s="1497"/>
      <c r="DL795" s="1497"/>
      <c r="DM795" s="1497"/>
      <c r="DN795" s="1498"/>
      <c r="DO795" s="1496">
        <f t="shared" ref="DO795:DO804" si="48">IF(J795="5 Bedrooms",O795,0)</f>
        <v>0</v>
      </c>
      <c r="DP795" s="1497"/>
      <c r="DQ795" s="1497"/>
      <c r="DR795" s="1497"/>
      <c r="DS795" s="1498"/>
      <c r="DT795" s="257"/>
      <c r="DU795" s="1496">
        <f t="shared" ref="DU795:DU804" si="49">IF(AND(CP795&gt;=1,AH795&gt;=0.1,AH795&lt;=1),O795,0)</f>
        <v>0</v>
      </c>
      <c r="DV795" s="1497"/>
      <c r="DW795" s="1497"/>
      <c r="DX795" s="1497"/>
      <c r="DY795" s="1498"/>
      <c r="DZ795" s="1496">
        <f t="shared" ref="DZ795:DZ804" si="50">IF(AND(CU795&gt;=1,AH795&gt;=0.1,AH795&lt;=1),O795,0)</f>
        <v>0</v>
      </c>
      <c r="EA795" s="1497"/>
      <c r="EB795" s="1497"/>
      <c r="EC795" s="1497"/>
      <c r="ED795" s="1498"/>
      <c r="EE795" s="1496">
        <f t="shared" ref="EE795:EE804" si="51">IF(AND(CZ795&gt;=1,AH795&gt;=0.1,AH795&lt;=1),O795,0)</f>
        <v>0</v>
      </c>
      <c r="EF795" s="1497"/>
      <c r="EG795" s="1497"/>
      <c r="EH795" s="1497"/>
      <c r="EI795" s="1498"/>
      <c r="EJ795" s="1496">
        <f t="shared" ref="EJ795:EJ804" si="52">IF(AND(DE795&gt;=1,AH795&gt;=0.1,AH795&lt;=1),O795,0)</f>
        <v>0</v>
      </c>
      <c r="EK795" s="1497"/>
      <c r="EL795" s="1497"/>
      <c r="EM795" s="1497"/>
      <c r="EN795" s="1498"/>
      <c r="EO795" s="1496">
        <f t="shared" ref="EO795:EO804" si="53">IF(AND(DJ795&gt;=1,AH795&gt;=0.1,AH795&lt;=1),O795,0)</f>
        <v>0</v>
      </c>
      <c r="EP795" s="1497"/>
      <c r="EQ795" s="1497"/>
      <c r="ER795" s="1497"/>
      <c r="ES795" s="1498"/>
      <c r="ET795" s="1496">
        <f t="shared" ref="ET795:ET804" si="54">IF(AND(DO795&gt;=1,AH795&gt;=0.1,AH795&lt;=1),O795,0)</f>
        <v>0</v>
      </c>
      <c r="EU795" s="1497"/>
      <c r="EV795" s="1497"/>
      <c r="EW795" s="1497"/>
      <c r="EX795" s="1498"/>
    </row>
    <row r="796" spans="1:154" s="13" customFormat="1" ht="12.95" customHeight="1">
      <c r="A796"/>
      <c r="B796"/>
      <c r="C796"/>
      <c r="D796"/>
      <c r="E796"/>
      <c r="F796"/>
      <c r="G796"/>
      <c r="H796"/>
      <c r="I796"/>
      <c r="J796" s="1377"/>
      <c r="K796" s="1378"/>
      <c r="L796" s="1378"/>
      <c r="M796" s="1378"/>
      <c r="N796" s="1379"/>
      <c r="O796" s="1593"/>
      <c r="P796" s="1593"/>
      <c r="Q796" s="1593"/>
      <c r="R796" s="1593"/>
      <c r="S796" s="1593"/>
      <c r="T796" s="1412"/>
      <c r="U796" s="1413"/>
      <c r="V796" s="1413"/>
      <c r="W796" s="1414"/>
      <c r="X796" s="1387"/>
      <c r="Y796" s="1388"/>
      <c r="Z796" s="1388"/>
      <c r="AA796" s="1388"/>
      <c r="AB796" s="1389"/>
      <c r="AC796" s="1433">
        <f t="shared" si="42"/>
        <v>0</v>
      </c>
      <c r="AD796" s="1434"/>
      <c r="AE796" s="1434"/>
      <c r="AF796" s="1434"/>
      <c r="AG796" s="143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96">
        <f t="shared" si="43"/>
        <v>0</v>
      </c>
      <c r="CQ796" s="1497"/>
      <c r="CR796" s="1497"/>
      <c r="CS796" s="1497"/>
      <c r="CT796" s="1498"/>
      <c r="CU796" s="1496">
        <f t="shared" si="44"/>
        <v>0</v>
      </c>
      <c r="CV796" s="1497"/>
      <c r="CW796" s="1497"/>
      <c r="CX796" s="1497"/>
      <c r="CY796" s="1498"/>
      <c r="CZ796" s="1496">
        <f t="shared" si="45"/>
        <v>0</v>
      </c>
      <c r="DA796" s="1497"/>
      <c r="DB796" s="1497"/>
      <c r="DC796" s="1497"/>
      <c r="DD796" s="1498"/>
      <c r="DE796" s="1496">
        <f t="shared" si="46"/>
        <v>0</v>
      </c>
      <c r="DF796" s="1497"/>
      <c r="DG796" s="1497"/>
      <c r="DH796" s="1497"/>
      <c r="DI796" s="1498"/>
      <c r="DJ796" s="1496">
        <f t="shared" si="47"/>
        <v>0</v>
      </c>
      <c r="DK796" s="1497"/>
      <c r="DL796" s="1497"/>
      <c r="DM796" s="1497"/>
      <c r="DN796" s="1498"/>
      <c r="DO796" s="1496">
        <f t="shared" si="48"/>
        <v>0</v>
      </c>
      <c r="DP796" s="1497"/>
      <c r="DQ796" s="1497"/>
      <c r="DR796" s="1497"/>
      <c r="DS796" s="1498"/>
      <c r="DT796" s="257"/>
      <c r="DU796" s="1496">
        <f t="shared" si="49"/>
        <v>0</v>
      </c>
      <c r="DV796" s="1497"/>
      <c r="DW796" s="1497"/>
      <c r="DX796" s="1497"/>
      <c r="DY796" s="1498"/>
      <c r="DZ796" s="1496">
        <f t="shared" si="50"/>
        <v>0</v>
      </c>
      <c r="EA796" s="1497"/>
      <c r="EB796" s="1497"/>
      <c r="EC796" s="1497"/>
      <c r="ED796" s="1498"/>
      <c r="EE796" s="1496">
        <f t="shared" si="51"/>
        <v>0</v>
      </c>
      <c r="EF796" s="1497"/>
      <c r="EG796" s="1497"/>
      <c r="EH796" s="1497"/>
      <c r="EI796" s="1498"/>
      <c r="EJ796" s="1496">
        <f t="shared" si="52"/>
        <v>0</v>
      </c>
      <c r="EK796" s="1497"/>
      <c r="EL796" s="1497"/>
      <c r="EM796" s="1497"/>
      <c r="EN796" s="1498"/>
      <c r="EO796" s="1496">
        <f t="shared" si="53"/>
        <v>0</v>
      </c>
      <c r="EP796" s="1497"/>
      <c r="EQ796" s="1497"/>
      <c r="ER796" s="1497"/>
      <c r="ES796" s="1498"/>
      <c r="ET796" s="1496">
        <f t="shared" si="54"/>
        <v>0</v>
      </c>
      <c r="EU796" s="1497"/>
      <c r="EV796" s="1497"/>
      <c r="EW796" s="1497"/>
      <c r="EX796" s="1498"/>
    </row>
    <row r="797" spans="1:154" s="13" customFormat="1" ht="12.95" customHeight="1">
      <c r="A797"/>
      <c r="B797"/>
      <c r="C797"/>
      <c r="D797"/>
      <c r="E797"/>
      <c r="F797"/>
      <c r="G797"/>
      <c r="H797"/>
      <c r="I797"/>
      <c r="J797" s="1377"/>
      <c r="K797" s="1378"/>
      <c r="L797" s="1378"/>
      <c r="M797" s="1378"/>
      <c r="N797" s="1379"/>
      <c r="O797" s="1593"/>
      <c r="P797" s="1593"/>
      <c r="Q797" s="1593"/>
      <c r="R797" s="1593"/>
      <c r="S797" s="1593"/>
      <c r="T797" s="1412"/>
      <c r="U797" s="1413"/>
      <c r="V797" s="1413"/>
      <c r="W797" s="1414"/>
      <c r="X797" s="1387"/>
      <c r="Y797" s="1388"/>
      <c r="Z797" s="1388"/>
      <c r="AA797" s="1388"/>
      <c r="AB797" s="1389"/>
      <c r="AC797" s="1433">
        <f t="shared" si="42"/>
        <v>0</v>
      </c>
      <c r="AD797" s="1434"/>
      <c r="AE797" s="1434"/>
      <c r="AF797" s="1434"/>
      <c r="AG797" s="143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96">
        <f t="shared" si="43"/>
        <v>0</v>
      </c>
      <c r="CQ797" s="1497"/>
      <c r="CR797" s="1497"/>
      <c r="CS797" s="1497"/>
      <c r="CT797" s="1498"/>
      <c r="CU797" s="1496">
        <f t="shared" si="44"/>
        <v>0</v>
      </c>
      <c r="CV797" s="1497"/>
      <c r="CW797" s="1497"/>
      <c r="CX797" s="1497"/>
      <c r="CY797" s="1498"/>
      <c r="CZ797" s="1496">
        <f t="shared" si="45"/>
        <v>0</v>
      </c>
      <c r="DA797" s="1497"/>
      <c r="DB797" s="1497"/>
      <c r="DC797" s="1497"/>
      <c r="DD797" s="1498"/>
      <c r="DE797" s="1496">
        <f t="shared" si="46"/>
        <v>0</v>
      </c>
      <c r="DF797" s="1497"/>
      <c r="DG797" s="1497"/>
      <c r="DH797" s="1497"/>
      <c r="DI797" s="1498"/>
      <c r="DJ797" s="1496">
        <f t="shared" si="47"/>
        <v>0</v>
      </c>
      <c r="DK797" s="1497"/>
      <c r="DL797" s="1497"/>
      <c r="DM797" s="1497"/>
      <c r="DN797" s="1498"/>
      <c r="DO797" s="1496">
        <f t="shared" si="48"/>
        <v>0</v>
      </c>
      <c r="DP797" s="1497"/>
      <c r="DQ797" s="1497"/>
      <c r="DR797" s="1497"/>
      <c r="DS797" s="1498"/>
      <c r="DT797" s="257"/>
      <c r="DU797" s="1496">
        <f t="shared" si="49"/>
        <v>0</v>
      </c>
      <c r="DV797" s="1497"/>
      <c r="DW797" s="1497"/>
      <c r="DX797" s="1497"/>
      <c r="DY797" s="1498"/>
      <c r="DZ797" s="1496">
        <f t="shared" si="50"/>
        <v>0</v>
      </c>
      <c r="EA797" s="1497"/>
      <c r="EB797" s="1497"/>
      <c r="EC797" s="1497"/>
      <c r="ED797" s="1498"/>
      <c r="EE797" s="1496">
        <f t="shared" si="51"/>
        <v>0</v>
      </c>
      <c r="EF797" s="1497"/>
      <c r="EG797" s="1497"/>
      <c r="EH797" s="1497"/>
      <c r="EI797" s="1498"/>
      <c r="EJ797" s="1496">
        <f t="shared" si="52"/>
        <v>0</v>
      </c>
      <c r="EK797" s="1497"/>
      <c r="EL797" s="1497"/>
      <c r="EM797" s="1497"/>
      <c r="EN797" s="1498"/>
      <c r="EO797" s="1496">
        <f t="shared" si="53"/>
        <v>0</v>
      </c>
      <c r="EP797" s="1497"/>
      <c r="EQ797" s="1497"/>
      <c r="ER797" s="1497"/>
      <c r="ES797" s="1498"/>
      <c r="ET797" s="1496">
        <f t="shared" si="54"/>
        <v>0</v>
      </c>
      <c r="EU797" s="1497"/>
      <c r="EV797" s="1497"/>
      <c r="EW797" s="1497"/>
      <c r="EX797" s="1498"/>
    </row>
    <row r="798" spans="1:154" s="13" customFormat="1" ht="12.95" customHeight="1">
      <c r="A798"/>
      <c r="B798"/>
      <c r="C798"/>
      <c r="D798"/>
      <c r="E798"/>
      <c r="F798"/>
      <c r="G798"/>
      <c r="H798"/>
      <c r="I798"/>
      <c r="J798" s="1377"/>
      <c r="K798" s="1378"/>
      <c r="L798" s="1378"/>
      <c r="M798" s="1378"/>
      <c r="N798" s="1379"/>
      <c r="O798" s="1593"/>
      <c r="P798" s="1593"/>
      <c r="Q798" s="1593"/>
      <c r="R798" s="1593"/>
      <c r="S798" s="1593"/>
      <c r="T798" s="1412"/>
      <c r="U798" s="1413"/>
      <c r="V798" s="1413"/>
      <c r="W798" s="1414"/>
      <c r="X798" s="1387"/>
      <c r="Y798" s="1388"/>
      <c r="Z798" s="1388"/>
      <c r="AA798" s="1388"/>
      <c r="AB798" s="1389"/>
      <c r="AC798" s="1433">
        <f t="shared" si="42"/>
        <v>0</v>
      </c>
      <c r="AD798" s="1434"/>
      <c r="AE798" s="1434"/>
      <c r="AF798" s="1434"/>
      <c r="AG798" s="143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96">
        <f t="shared" si="43"/>
        <v>0</v>
      </c>
      <c r="CQ798" s="1497"/>
      <c r="CR798" s="1497"/>
      <c r="CS798" s="1497"/>
      <c r="CT798" s="1498"/>
      <c r="CU798" s="1496">
        <f t="shared" si="44"/>
        <v>0</v>
      </c>
      <c r="CV798" s="1497"/>
      <c r="CW798" s="1497"/>
      <c r="CX798" s="1497"/>
      <c r="CY798" s="1498"/>
      <c r="CZ798" s="1496">
        <f t="shared" si="45"/>
        <v>0</v>
      </c>
      <c r="DA798" s="1497"/>
      <c r="DB798" s="1497"/>
      <c r="DC798" s="1497"/>
      <c r="DD798" s="1498"/>
      <c r="DE798" s="1496">
        <f t="shared" si="46"/>
        <v>0</v>
      </c>
      <c r="DF798" s="1497"/>
      <c r="DG798" s="1497"/>
      <c r="DH798" s="1497"/>
      <c r="DI798" s="1498"/>
      <c r="DJ798" s="1496">
        <f t="shared" si="47"/>
        <v>0</v>
      </c>
      <c r="DK798" s="1497"/>
      <c r="DL798" s="1497"/>
      <c r="DM798" s="1497"/>
      <c r="DN798" s="1498"/>
      <c r="DO798" s="1496">
        <f t="shared" si="48"/>
        <v>0</v>
      </c>
      <c r="DP798" s="1497"/>
      <c r="DQ798" s="1497"/>
      <c r="DR798" s="1497"/>
      <c r="DS798" s="1498"/>
      <c r="DT798" s="257"/>
      <c r="DU798" s="1496">
        <f t="shared" si="49"/>
        <v>0</v>
      </c>
      <c r="DV798" s="1497"/>
      <c r="DW798" s="1497"/>
      <c r="DX798" s="1497"/>
      <c r="DY798" s="1498"/>
      <c r="DZ798" s="1496">
        <f t="shared" si="50"/>
        <v>0</v>
      </c>
      <c r="EA798" s="1497"/>
      <c r="EB798" s="1497"/>
      <c r="EC798" s="1497"/>
      <c r="ED798" s="1498"/>
      <c r="EE798" s="1496">
        <f t="shared" si="51"/>
        <v>0</v>
      </c>
      <c r="EF798" s="1497"/>
      <c r="EG798" s="1497"/>
      <c r="EH798" s="1497"/>
      <c r="EI798" s="1498"/>
      <c r="EJ798" s="1496">
        <f t="shared" si="52"/>
        <v>0</v>
      </c>
      <c r="EK798" s="1497"/>
      <c r="EL798" s="1497"/>
      <c r="EM798" s="1497"/>
      <c r="EN798" s="1498"/>
      <c r="EO798" s="1496">
        <f t="shared" si="53"/>
        <v>0</v>
      </c>
      <c r="EP798" s="1497"/>
      <c r="EQ798" s="1497"/>
      <c r="ER798" s="1497"/>
      <c r="ES798" s="1498"/>
      <c r="ET798" s="1496">
        <f t="shared" si="54"/>
        <v>0</v>
      </c>
      <c r="EU798" s="1497"/>
      <c r="EV798" s="1497"/>
      <c r="EW798" s="1497"/>
      <c r="EX798" s="1498"/>
    </row>
    <row r="799" spans="1:154" s="13" customFormat="1" ht="12.95" customHeight="1">
      <c r="A799"/>
      <c r="B799"/>
      <c r="C799"/>
      <c r="D799"/>
      <c r="E799"/>
      <c r="F799"/>
      <c r="G799"/>
      <c r="H799"/>
      <c r="I799"/>
      <c r="J799" s="1377"/>
      <c r="K799" s="1378"/>
      <c r="L799" s="1378"/>
      <c r="M799" s="1378"/>
      <c r="N799" s="1379"/>
      <c r="O799" s="1593"/>
      <c r="P799" s="1593"/>
      <c r="Q799" s="1593"/>
      <c r="R799" s="1593"/>
      <c r="S799" s="1593"/>
      <c r="T799" s="1412"/>
      <c r="U799" s="1413"/>
      <c r="V799" s="1413"/>
      <c r="W799" s="1414"/>
      <c r="X799" s="1387"/>
      <c r="Y799" s="1388"/>
      <c r="Z799" s="1388"/>
      <c r="AA799" s="1388"/>
      <c r="AB799" s="1389"/>
      <c r="AC799" s="1433">
        <f t="shared" si="42"/>
        <v>0</v>
      </c>
      <c r="AD799" s="1434"/>
      <c r="AE799" s="1434"/>
      <c r="AF799" s="1434"/>
      <c r="AG799" s="143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96">
        <f t="shared" si="43"/>
        <v>0</v>
      </c>
      <c r="CQ799" s="1497"/>
      <c r="CR799" s="1497"/>
      <c r="CS799" s="1497"/>
      <c r="CT799" s="1498"/>
      <c r="CU799" s="1496">
        <f t="shared" si="44"/>
        <v>0</v>
      </c>
      <c r="CV799" s="1497"/>
      <c r="CW799" s="1497"/>
      <c r="CX799" s="1497"/>
      <c r="CY799" s="1498"/>
      <c r="CZ799" s="1496">
        <f t="shared" si="45"/>
        <v>0</v>
      </c>
      <c r="DA799" s="1497"/>
      <c r="DB799" s="1497"/>
      <c r="DC799" s="1497"/>
      <c r="DD799" s="1498"/>
      <c r="DE799" s="1496">
        <f t="shared" si="46"/>
        <v>0</v>
      </c>
      <c r="DF799" s="1497"/>
      <c r="DG799" s="1497"/>
      <c r="DH799" s="1497"/>
      <c r="DI799" s="1498"/>
      <c r="DJ799" s="1496">
        <f t="shared" si="47"/>
        <v>0</v>
      </c>
      <c r="DK799" s="1497"/>
      <c r="DL799" s="1497"/>
      <c r="DM799" s="1497"/>
      <c r="DN799" s="1498"/>
      <c r="DO799" s="1496">
        <f t="shared" si="48"/>
        <v>0</v>
      </c>
      <c r="DP799" s="1497"/>
      <c r="DQ799" s="1497"/>
      <c r="DR799" s="1497"/>
      <c r="DS799" s="1498"/>
      <c r="DT799" s="257"/>
      <c r="DU799" s="1496">
        <f t="shared" si="49"/>
        <v>0</v>
      </c>
      <c r="DV799" s="1497"/>
      <c r="DW799" s="1497"/>
      <c r="DX799" s="1497"/>
      <c r="DY799" s="1498"/>
      <c r="DZ799" s="1496">
        <f t="shared" si="50"/>
        <v>0</v>
      </c>
      <c r="EA799" s="1497"/>
      <c r="EB799" s="1497"/>
      <c r="EC799" s="1497"/>
      <c r="ED799" s="1498"/>
      <c r="EE799" s="1496">
        <f t="shared" si="51"/>
        <v>0</v>
      </c>
      <c r="EF799" s="1497"/>
      <c r="EG799" s="1497"/>
      <c r="EH799" s="1497"/>
      <c r="EI799" s="1498"/>
      <c r="EJ799" s="1496">
        <f t="shared" si="52"/>
        <v>0</v>
      </c>
      <c r="EK799" s="1497"/>
      <c r="EL799" s="1497"/>
      <c r="EM799" s="1497"/>
      <c r="EN799" s="1498"/>
      <c r="EO799" s="1496">
        <f t="shared" si="53"/>
        <v>0</v>
      </c>
      <c r="EP799" s="1497"/>
      <c r="EQ799" s="1497"/>
      <c r="ER799" s="1497"/>
      <c r="ES799" s="1498"/>
      <c r="ET799" s="1496">
        <f t="shared" si="54"/>
        <v>0</v>
      </c>
      <c r="EU799" s="1497"/>
      <c r="EV799" s="1497"/>
      <c r="EW799" s="1497"/>
      <c r="EX799" s="1498"/>
    </row>
    <row r="800" spans="1:154" s="13" customFormat="1" ht="12.95" customHeight="1">
      <c r="A800"/>
      <c r="B800"/>
      <c r="C800"/>
      <c r="D800"/>
      <c r="E800"/>
      <c r="F800"/>
      <c r="G800"/>
      <c r="H800"/>
      <c r="I800"/>
      <c r="J800" s="1377"/>
      <c r="K800" s="1378"/>
      <c r="L800" s="1378"/>
      <c r="M800" s="1378"/>
      <c r="N800" s="1379"/>
      <c r="O800" s="1593"/>
      <c r="P800" s="1593"/>
      <c r="Q800" s="1593"/>
      <c r="R800" s="1593"/>
      <c r="S800" s="1593"/>
      <c r="T800" s="1412"/>
      <c r="U800" s="1413"/>
      <c r="V800" s="1413"/>
      <c r="W800" s="1414"/>
      <c r="X800" s="1387"/>
      <c r="Y800" s="1388"/>
      <c r="Z800" s="1388"/>
      <c r="AA800" s="1388"/>
      <c r="AB800" s="1389"/>
      <c r="AC800" s="1433">
        <f t="shared" si="42"/>
        <v>0</v>
      </c>
      <c r="AD800" s="1434"/>
      <c r="AE800" s="1434"/>
      <c r="AF800" s="1434"/>
      <c r="AG800" s="143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96">
        <f t="shared" si="43"/>
        <v>0</v>
      </c>
      <c r="CQ800" s="1497"/>
      <c r="CR800" s="1497"/>
      <c r="CS800" s="1497"/>
      <c r="CT800" s="1498"/>
      <c r="CU800" s="1496">
        <f t="shared" si="44"/>
        <v>0</v>
      </c>
      <c r="CV800" s="1497"/>
      <c r="CW800" s="1497"/>
      <c r="CX800" s="1497"/>
      <c r="CY800" s="1498"/>
      <c r="CZ800" s="1496">
        <f t="shared" si="45"/>
        <v>0</v>
      </c>
      <c r="DA800" s="1497"/>
      <c r="DB800" s="1497"/>
      <c r="DC800" s="1497"/>
      <c r="DD800" s="1498"/>
      <c r="DE800" s="1496">
        <f t="shared" si="46"/>
        <v>0</v>
      </c>
      <c r="DF800" s="1497"/>
      <c r="DG800" s="1497"/>
      <c r="DH800" s="1497"/>
      <c r="DI800" s="1498"/>
      <c r="DJ800" s="1496">
        <f t="shared" si="47"/>
        <v>0</v>
      </c>
      <c r="DK800" s="1497"/>
      <c r="DL800" s="1497"/>
      <c r="DM800" s="1497"/>
      <c r="DN800" s="1498"/>
      <c r="DO800" s="1496">
        <f t="shared" si="48"/>
        <v>0</v>
      </c>
      <c r="DP800" s="1497"/>
      <c r="DQ800" s="1497"/>
      <c r="DR800" s="1497"/>
      <c r="DS800" s="1498"/>
      <c r="DT800" s="257"/>
      <c r="DU800" s="1496">
        <f t="shared" si="49"/>
        <v>0</v>
      </c>
      <c r="DV800" s="1497"/>
      <c r="DW800" s="1497"/>
      <c r="DX800" s="1497"/>
      <c r="DY800" s="1498"/>
      <c r="DZ800" s="1496">
        <f t="shared" si="50"/>
        <v>0</v>
      </c>
      <c r="EA800" s="1497"/>
      <c r="EB800" s="1497"/>
      <c r="EC800" s="1497"/>
      <c r="ED800" s="1498"/>
      <c r="EE800" s="1496">
        <f t="shared" si="51"/>
        <v>0</v>
      </c>
      <c r="EF800" s="1497"/>
      <c r="EG800" s="1497"/>
      <c r="EH800" s="1497"/>
      <c r="EI800" s="1498"/>
      <c r="EJ800" s="1496">
        <f t="shared" si="52"/>
        <v>0</v>
      </c>
      <c r="EK800" s="1497"/>
      <c r="EL800" s="1497"/>
      <c r="EM800" s="1497"/>
      <c r="EN800" s="1498"/>
      <c r="EO800" s="1496">
        <f t="shared" si="53"/>
        <v>0</v>
      </c>
      <c r="EP800" s="1497"/>
      <c r="EQ800" s="1497"/>
      <c r="ER800" s="1497"/>
      <c r="ES800" s="1498"/>
      <c r="ET800" s="1496">
        <f t="shared" si="54"/>
        <v>0</v>
      </c>
      <c r="EU800" s="1497"/>
      <c r="EV800" s="1497"/>
      <c r="EW800" s="1497"/>
      <c r="EX800" s="1498"/>
    </row>
    <row r="801" spans="1:154" s="13" customFormat="1" ht="12.95" customHeight="1">
      <c r="A801"/>
      <c r="B801"/>
      <c r="C801"/>
      <c r="D801"/>
      <c r="E801"/>
      <c r="F801"/>
      <c r="G801"/>
      <c r="H801"/>
      <c r="I801"/>
      <c r="J801" s="1377"/>
      <c r="K801" s="1378"/>
      <c r="L801" s="1378"/>
      <c r="M801" s="1378"/>
      <c r="N801" s="1379"/>
      <c r="O801" s="1593"/>
      <c r="P801" s="1593"/>
      <c r="Q801" s="1593"/>
      <c r="R801" s="1593"/>
      <c r="S801" s="1593"/>
      <c r="T801" s="1412"/>
      <c r="U801" s="1413"/>
      <c r="V801" s="1413"/>
      <c r="W801" s="1414"/>
      <c r="X801" s="1387"/>
      <c r="Y801" s="1388"/>
      <c r="Z801" s="1388"/>
      <c r="AA801" s="1388"/>
      <c r="AB801" s="1389"/>
      <c r="AC801" s="1433">
        <f t="shared" si="42"/>
        <v>0</v>
      </c>
      <c r="AD801" s="1434"/>
      <c r="AE801" s="1434"/>
      <c r="AF801" s="1434"/>
      <c r="AG801" s="143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96">
        <f t="shared" si="43"/>
        <v>0</v>
      </c>
      <c r="CQ801" s="1497"/>
      <c r="CR801" s="1497"/>
      <c r="CS801" s="1497"/>
      <c r="CT801" s="1498"/>
      <c r="CU801" s="1496">
        <f t="shared" si="44"/>
        <v>0</v>
      </c>
      <c r="CV801" s="1497"/>
      <c r="CW801" s="1497"/>
      <c r="CX801" s="1497"/>
      <c r="CY801" s="1498"/>
      <c r="CZ801" s="1496">
        <f t="shared" si="45"/>
        <v>0</v>
      </c>
      <c r="DA801" s="1497"/>
      <c r="DB801" s="1497"/>
      <c r="DC801" s="1497"/>
      <c r="DD801" s="1498"/>
      <c r="DE801" s="1496">
        <f t="shared" si="46"/>
        <v>0</v>
      </c>
      <c r="DF801" s="1497"/>
      <c r="DG801" s="1497"/>
      <c r="DH801" s="1497"/>
      <c r="DI801" s="1498"/>
      <c r="DJ801" s="1496">
        <f t="shared" si="47"/>
        <v>0</v>
      </c>
      <c r="DK801" s="1497"/>
      <c r="DL801" s="1497"/>
      <c r="DM801" s="1497"/>
      <c r="DN801" s="1498"/>
      <c r="DO801" s="1496">
        <f t="shared" si="48"/>
        <v>0</v>
      </c>
      <c r="DP801" s="1497"/>
      <c r="DQ801" s="1497"/>
      <c r="DR801" s="1497"/>
      <c r="DS801" s="1498"/>
      <c r="DT801" s="257"/>
      <c r="DU801" s="1496">
        <f t="shared" si="49"/>
        <v>0</v>
      </c>
      <c r="DV801" s="1497"/>
      <c r="DW801" s="1497"/>
      <c r="DX801" s="1497"/>
      <c r="DY801" s="1498"/>
      <c r="DZ801" s="1496">
        <f t="shared" si="50"/>
        <v>0</v>
      </c>
      <c r="EA801" s="1497"/>
      <c r="EB801" s="1497"/>
      <c r="EC801" s="1497"/>
      <c r="ED801" s="1498"/>
      <c r="EE801" s="1496">
        <f t="shared" si="51"/>
        <v>0</v>
      </c>
      <c r="EF801" s="1497"/>
      <c r="EG801" s="1497"/>
      <c r="EH801" s="1497"/>
      <c r="EI801" s="1498"/>
      <c r="EJ801" s="1496">
        <f t="shared" si="52"/>
        <v>0</v>
      </c>
      <c r="EK801" s="1497"/>
      <c r="EL801" s="1497"/>
      <c r="EM801" s="1497"/>
      <c r="EN801" s="1498"/>
      <c r="EO801" s="1496">
        <f t="shared" si="53"/>
        <v>0</v>
      </c>
      <c r="EP801" s="1497"/>
      <c r="EQ801" s="1497"/>
      <c r="ER801" s="1497"/>
      <c r="ES801" s="1498"/>
      <c r="ET801" s="1496">
        <f t="shared" si="54"/>
        <v>0</v>
      </c>
      <c r="EU801" s="1497"/>
      <c r="EV801" s="1497"/>
      <c r="EW801" s="1497"/>
      <c r="EX801" s="1498"/>
    </row>
    <row r="802" spans="1:154" s="13" customFormat="1" ht="12.95" customHeight="1">
      <c r="A802"/>
      <c r="B802"/>
      <c r="C802"/>
      <c r="D802"/>
      <c r="E802"/>
      <c r="F802"/>
      <c r="G802"/>
      <c r="H802"/>
      <c r="I802"/>
      <c r="J802" s="1377"/>
      <c r="K802" s="1378"/>
      <c r="L802" s="1378"/>
      <c r="M802" s="1378"/>
      <c r="N802" s="1379"/>
      <c r="O802" s="1593"/>
      <c r="P802" s="1593"/>
      <c r="Q802" s="1593"/>
      <c r="R802" s="1593"/>
      <c r="S802" s="1593"/>
      <c r="T802" s="1412"/>
      <c r="U802" s="1413"/>
      <c r="V802" s="1413"/>
      <c r="W802" s="1414"/>
      <c r="X802" s="1387"/>
      <c r="Y802" s="1388"/>
      <c r="Z802" s="1388"/>
      <c r="AA802" s="1388"/>
      <c r="AB802" s="1389"/>
      <c r="AC802" s="1433">
        <f t="shared" si="42"/>
        <v>0</v>
      </c>
      <c r="AD802" s="1434"/>
      <c r="AE802" s="1434"/>
      <c r="AF802" s="1434"/>
      <c r="AG802" s="143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96">
        <f t="shared" si="43"/>
        <v>0</v>
      </c>
      <c r="CQ802" s="1497"/>
      <c r="CR802" s="1497"/>
      <c r="CS802" s="1497"/>
      <c r="CT802" s="1498"/>
      <c r="CU802" s="1496">
        <f t="shared" si="44"/>
        <v>0</v>
      </c>
      <c r="CV802" s="1497"/>
      <c r="CW802" s="1497"/>
      <c r="CX802" s="1497"/>
      <c r="CY802" s="1498"/>
      <c r="CZ802" s="1496">
        <f t="shared" si="45"/>
        <v>0</v>
      </c>
      <c r="DA802" s="1497"/>
      <c r="DB802" s="1497"/>
      <c r="DC802" s="1497"/>
      <c r="DD802" s="1498"/>
      <c r="DE802" s="1496">
        <f t="shared" si="46"/>
        <v>0</v>
      </c>
      <c r="DF802" s="1497"/>
      <c r="DG802" s="1497"/>
      <c r="DH802" s="1497"/>
      <c r="DI802" s="1498"/>
      <c r="DJ802" s="1496">
        <f t="shared" si="47"/>
        <v>0</v>
      </c>
      <c r="DK802" s="1497"/>
      <c r="DL802" s="1497"/>
      <c r="DM802" s="1497"/>
      <c r="DN802" s="1498"/>
      <c r="DO802" s="1496">
        <f t="shared" si="48"/>
        <v>0</v>
      </c>
      <c r="DP802" s="1497"/>
      <c r="DQ802" s="1497"/>
      <c r="DR802" s="1497"/>
      <c r="DS802" s="1498"/>
      <c r="DT802" s="257"/>
      <c r="DU802" s="1496">
        <f t="shared" si="49"/>
        <v>0</v>
      </c>
      <c r="DV802" s="1497"/>
      <c r="DW802" s="1497"/>
      <c r="DX802" s="1497"/>
      <c r="DY802" s="1498"/>
      <c r="DZ802" s="1496">
        <f t="shared" si="50"/>
        <v>0</v>
      </c>
      <c r="EA802" s="1497"/>
      <c r="EB802" s="1497"/>
      <c r="EC802" s="1497"/>
      <c r="ED802" s="1498"/>
      <c r="EE802" s="1496">
        <f t="shared" si="51"/>
        <v>0</v>
      </c>
      <c r="EF802" s="1497"/>
      <c r="EG802" s="1497"/>
      <c r="EH802" s="1497"/>
      <c r="EI802" s="1498"/>
      <c r="EJ802" s="1496">
        <f t="shared" si="52"/>
        <v>0</v>
      </c>
      <c r="EK802" s="1497"/>
      <c r="EL802" s="1497"/>
      <c r="EM802" s="1497"/>
      <c r="EN802" s="1498"/>
      <c r="EO802" s="1496">
        <f t="shared" si="53"/>
        <v>0</v>
      </c>
      <c r="EP802" s="1497"/>
      <c r="EQ802" s="1497"/>
      <c r="ER802" s="1497"/>
      <c r="ES802" s="1498"/>
      <c r="ET802" s="1496">
        <f t="shared" si="54"/>
        <v>0</v>
      </c>
      <c r="EU802" s="1497"/>
      <c r="EV802" s="1497"/>
      <c r="EW802" s="1497"/>
      <c r="EX802" s="1498"/>
    </row>
    <row r="803" spans="1:154" s="13" customFormat="1" ht="12.95" customHeight="1">
      <c r="A803"/>
      <c r="B803"/>
      <c r="C803"/>
      <c r="D803"/>
      <c r="E803"/>
      <c r="F803"/>
      <c r="G803"/>
      <c r="H803"/>
      <c r="I803"/>
      <c r="J803" s="1377"/>
      <c r="K803" s="1378"/>
      <c r="L803" s="1378"/>
      <c r="M803" s="1378"/>
      <c r="N803" s="1379"/>
      <c r="O803" s="1593"/>
      <c r="P803" s="1593"/>
      <c r="Q803" s="1593"/>
      <c r="R803" s="1593"/>
      <c r="S803" s="1593"/>
      <c r="T803" s="1412"/>
      <c r="U803" s="1413"/>
      <c r="V803" s="1413"/>
      <c r="W803" s="1414"/>
      <c r="X803" s="1387"/>
      <c r="Y803" s="1388"/>
      <c r="Z803" s="1388"/>
      <c r="AA803" s="1388"/>
      <c r="AB803" s="1389"/>
      <c r="AC803" s="1433">
        <f t="shared" si="42"/>
        <v>0</v>
      </c>
      <c r="AD803" s="1434"/>
      <c r="AE803" s="1434"/>
      <c r="AF803" s="1434"/>
      <c r="AG803" s="143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96">
        <f t="shared" si="43"/>
        <v>0</v>
      </c>
      <c r="CQ803" s="1497"/>
      <c r="CR803" s="1497"/>
      <c r="CS803" s="1497"/>
      <c r="CT803" s="1498"/>
      <c r="CU803" s="1496">
        <f t="shared" si="44"/>
        <v>0</v>
      </c>
      <c r="CV803" s="1497"/>
      <c r="CW803" s="1497"/>
      <c r="CX803" s="1497"/>
      <c r="CY803" s="1498"/>
      <c r="CZ803" s="1496">
        <f t="shared" si="45"/>
        <v>0</v>
      </c>
      <c r="DA803" s="1497"/>
      <c r="DB803" s="1497"/>
      <c r="DC803" s="1497"/>
      <c r="DD803" s="1498"/>
      <c r="DE803" s="1496">
        <f t="shared" si="46"/>
        <v>0</v>
      </c>
      <c r="DF803" s="1497"/>
      <c r="DG803" s="1497"/>
      <c r="DH803" s="1497"/>
      <c r="DI803" s="1498"/>
      <c r="DJ803" s="1496">
        <f t="shared" si="47"/>
        <v>0</v>
      </c>
      <c r="DK803" s="1497"/>
      <c r="DL803" s="1497"/>
      <c r="DM803" s="1497"/>
      <c r="DN803" s="1498"/>
      <c r="DO803" s="1496">
        <f t="shared" si="48"/>
        <v>0</v>
      </c>
      <c r="DP803" s="1497"/>
      <c r="DQ803" s="1497"/>
      <c r="DR803" s="1497"/>
      <c r="DS803" s="1498"/>
      <c r="DT803" s="257"/>
      <c r="DU803" s="1496">
        <f t="shared" si="49"/>
        <v>0</v>
      </c>
      <c r="DV803" s="1497"/>
      <c r="DW803" s="1497"/>
      <c r="DX803" s="1497"/>
      <c r="DY803" s="1498"/>
      <c r="DZ803" s="1496">
        <f t="shared" si="50"/>
        <v>0</v>
      </c>
      <c r="EA803" s="1497"/>
      <c r="EB803" s="1497"/>
      <c r="EC803" s="1497"/>
      <c r="ED803" s="1498"/>
      <c r="EE803" s="1496">
        <f t="shared" si="51"/>
        <v>0</v>
      </c>
      <c r="EF803" s="1497"/>
      <c r="EG803" s="1497"/>
      <c r="EH803" s="1497"/>
      <c r="EI803" s="1498"/>
      <c r="EJ803" s="1496">
        <f t="shared" si="52"/>
        <v>0</v>
      </c>
      <c r="EK803" s="1497"/>
      <c r="EL803" s="1497"/>
      <c r="EM803" s="1497"/>
      <c r="EN803" s="1498"/>
      <c r="EO803" s="1496">
        <f t="shared" si="53"/>
        <v>0</v>
      </c>
      <c r="EP803" s="1497"/>
      <c r="EQ803" s="1497"/>
      <c r="ER803" s="1497"/>
      <c r="ES803" s="1498"/>
      <c r="ET803" s="1496">
        <f t="shared" si="54"/>
        <v>0</v>
      </c>
      <c r="EU803" s="1497"/>
      <c r="EV803" s="1497"/>
      <c r="EW803" s="1497"/>
      <c r="EX803" s="1498"/>
    </row>
    <row r="804" spans="1:154" s="4" customFormat="1" ht="12.95" customHeight="1">
      <c r="A804"/>
      <c r="B804"/>
      <c r="C804"/>
      <c r="D804"/>
      <c r="E804"/>
      <c r="F804"/>
      <c r="G804"/>
      <c r="H804"/>
      <c r="I804"/>
      <c r="J804" s="1377"/>
      <c r="K804" s="1378"/>
      <c r="L804" s="1378"/>
      <c r="M804" s="1378"/>
      <c r="N804" s="1379"/>
      <c r="O804" s="1593"/>
      <c r="P804" s="1593"/>
      <c r="Q804" s="1593"/>
      <c r="R804" s="1593"/>
      <c r="S804" s="1593"/>
      <c r="T804" s="1412"/>
      <c r="U804" s="1413"/>
      <c r="V804" s="1413"/>
      <c r="W804" s="1414"/>
      <c r="X804" s="1387"/>
      <c r="Y804" s="1388"/>
      <c r="Z804" s="1388"/>
      <c r="AA804" s="1388"/>
      <c r="AB804" s="1389"/>
      <c r="AC804" s="1433">
        <f t="shared" si="42"/>
        <v>0</v>
      </c>
      <c r="AD804" s="1434"/>
      <c r="AE804" s="1434"/>
      <c r="AF804" s="1434"/>
      <c r="AG804" s="1435"/>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96">
        <f t="shared" si="43"/>
        <v>0</v>
      </c>
      <c r="CQ804" s="1497"/>
      <c r="CR804" s="1497"/>
      <c r="CS804" s="1497"/>
      <c r="CT804" s="1498"/>
      <c r="CU804" s="1496">
        <f t="shared" si="44"/>
        <v>0</v>
      </c>
      <c r="CV804" s="1497"/>
      <c r="CW804" s="1497"/>
      <c r="CX804" s="1497"/>
      <c r="CY804" s="1498"/>
      <c r="CZ804" s="1496">
        <f t="shared" si="45"/>
        <v>0</v>
      </c>
      <c r="DA804" s="1497"/>
      <c r="DB804" s="1497"/>
      <c r="DC804" s="1497"/>
      <c r="DD804" s="1498"/>
      <c r="DE804" s="1496">
        <f t="shared" si="46"/>
        <v>0</v>
      </c>
      <c r="DF804" s="1497"/>
      <c r="DG804" s="1497"/>
      <c r="DH804" s="1497"/>
      <c r="DI804" s="1498"/>
      <c r="DJ804" s="1496">
        <f t="shared" si="47"/>
        <v>0</v>
      </c>
      <c r="DK804" s="1497"/>
      <c r="DL804" s="1497"/>
      <c r="DM804" s="1497"/>
      <c r="DN804" s="1498"/>
      <c r="DO804" s="1496">
        <f t="shared" si="48"/>
        <v>0</v>
      </c>
      <c r="DP804" s="1497"/>
      <c r="DQ804" s="1497"/>
      <c r="DR804" s="1497"/>
      <c r="DS804" s="1498"/>
      <c r="DT804" s="257"/>
      <c r="DU804" s="1496">
        <f t="shared" si="49"/>
        <v>0</v>
      </c>
      <c r="DV804" s="1497"/>
      <c r="DW804" s="1497"/>
      <c r="DX804" s="1497"/>
      <c r="DY804" s="1498"/>
      <c r="DZ804" s="1496">
        <f t="shared" si="50"/>
        <v>0</v>
      </c>
      <c r="EA804" s="1497"/>
      <c r="EB804" s="1497"/>
      <c r="EC804" s="1497"/>
      <c r="ED804" s="1498"/>
      <c r="EE804" s="1496">
        <f t="shared" si="51"/>
        <v>0</v>
      </c>
      <c r="EF804" s="1497"/>
      <c r="EG804" s="1497"/>
      <c r="EH804" s="1497"/>
      <c r="EI804" s="1498"/>
      <c r="EJ804" s="1496">
        <f t="shared" si="52"/>
        <v>0</v>
      </c>
      <c r="EK804" s="1497"/>
      <c r="EL804" s="1497"/>
      <c r="EM804" s="1497"/>
      <c r="EN804" s="1498"/>
      <c r="EO804" s="1496">
        <f t="shared" si="53"/>
        <v>0</v>
      </c>
      <c r="EP804" s="1497"/>
      <c r="EQ804" s="1497"/>
      <c r="ER804" s="1497"/>
      <c r="ES804" s="1498"/>
      <c r="ET804" s="1496">
        <f t="shared" si="54"/>
        <v>0</v>
      </c>
      <c r="EU804" s="1497"/>
      <c r="EV804" s="1497"/>
      <c r="EW804" s="1497"/>
      <c r="EX804" s="1498"/>
    </row>
    <row r="805" spans="1:154" s="4" customFormat="1" ht="12.95" customHeight="1">
      <c r="A805"/>
      <c r="B805"/>
      <c r="C805"/>
      <c r="D805"/>
      <c r="E805"/>
      <c r="F805"/>
      <c r="G805"/>
      <c r="H805"/>
      <c r="I805"/>
      <c r="J805" s="1487" t="s">
        <v>1470</v>
      </c>
      <c r="K805" s="1488"/>
      <c r="L805" s="1488"/>
      <c r="M805" s="1488"/>
      <c r="N805" s="1489"/>
      <c r="O805" s="1495">
        <f>SUM(O795:S804)</f>
        <v>1</v>
      </c>
      <c r="P805" s="1495"/>
      <c r="Q805" s="1495"/>
      <c r="R805" s="1495"/>
      <c r="S805" s="1495"/>
      <c r="T805"/>
      <c r="U805"/>
      <c r="V805"/>
      <c r="W805"/>
      <c r="X805" s="794" t="s">
        <v>1471</v>
      </c>
      <c r="Y805" s="10"/>
      <c r="Z805" s="10"/>
      <c r="AA805" s="10"/>
      <c r="AB805" s="801"/>
      <c r="AC805" s="1433">
        <f>SUM(AC795:AG804)</f>
        <v>1829</v>
      </c>
      <c r="AD805" s="1434"/>
      <c r="AE805" s="1434"/>
      <c r="AF805" s="1434"/>
      <c r="AG805" s="1435"/>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99">
        <f>SUM(CP795:CT804)</f>
        <v>0</v>
      </c>
      <c r="CQ805" s="1501"/>
      <c r="CR805" s="1501"/>
      <c r="CS805" s="1501"/>
      <c r="CT805" s="1500"/>
      <c r="CU805" s="1499">
        <f>SUM(CU795:CY804)</f>
        <v>0</v>
      </c>
      <c r="CV805" s="1501"/>
      <c r="CW805" s="1501"/>
      <c r="CX805" s="1501"/>
      <c r="CY805" s="1500"/>
      <c r="CZ805" s="1499">
        <f>SUM(CZ795:DD804)</f>
        <v>0</v>
      </c>
      <c r="DA805" s="1501"/>
      <c r="DB805" s="1501"/>
      <c r="DC805" s="1501"/>
      <c r="DD805" s="1500"/>
      <c r="DE805" s="1499">
        <f>SUM(DE795:DI804)</f>
        <v>1</v>
      </c>
      <c r="DF805" s="1501"/>
      <c r="DG805" s="1501"/>
      <c r="DH805" s="1501"/>
      <c r="DI805" s="1500"/>
      <c r="DJ805" s="1499">
        <f>SUM(DJ795:DN804)</f>
        <v>0</v>
      </c>
      <c r="DK805" s="1501"/>
      <c r="DL805" s="1501"/>
      <c r="DM805" s="1501"/>
      <c r="DN805" s="1500"/>
      <c r="DO805" s="1499">
        <f>SUM(DO795:DS804)</f>
        <v>0</v>
      </c>
      <c r="DP805" s="1501"/>
      <c r="DQ805" s="1501"/>
      <c r="DR805" s="1501"/>
      <c r="DS805" s="1500"/>
      <c r="DT805" s="257"/>
      <c r="DU805" s="1499">
        <f>SUM(DU795:DY804)</f>
        <v>0</v>
      </c>
      <c r="DV805" s="1501"/>
      <c r="DW805" s="1501"/>
      <c r="DX805" s="1501"/>
      <c r="DY805" s="1500"/>
      <c r="DZ805" s="1499">
        <f>SUM(DZ795:ED804)</f>
        <v>0</v>
      </c>
      <c r="EA805" s="1501"/>
      <c r="EB805" s="1501"/>
      <c r="EC805" s="1501"/>
      <c r="ED805" s="1500"/>
      <c r="EE805" s="1499">
        <f>SUM(EE795:EI804)</f>
        <v>0</v>
      </c>
      <c r="EF805" s="1501"/>
      <c r="EG805" s="1501"/>
      <c r="EH805" s="1501"/>
      <c r="EI805" s="1500"/>
      <c r="EJ805" s="1499">
        <f>SUM(EJ795:EN804)</f>
        <v>0</v>
      </c>
      <c r="EK805" s="1501"/>
      <c r="EL805" s="1501"/>
      <c r="EM805" s="1501"/>
      <c r="EN805" s="1500"/>
      <c r="EO805" s="1499">
        <f>SUM(EO795:ES804)</f>
        <v>0</v>
      </c>
      <c r="EP805" s="1501"/>
      <c r="EQ805" s="1501"/>
      <c r="ER805" s="1501"/>
      <c r="ES805" s="1500"/>
      <c r="ET805" s="1499">
        <f>SUM(ET795:EX804)</f>
        <v>0</v>
      </c>
      <c r="EU805" s="1501"/>
      <c r="EV805" s="1501"/>
      <c r="EW805" s="1501"/>
      <c r="EX805" s="1500"/>
    </row>
    <row r="806" spans="1:154" s="4" customFormat="1" ht="12.95" customHeight="1">
      <c r="A806"/>
      <c r="B806"/>
      <c r="C806" s="1687" t="str">
        <f>IF(O805&lt;&gt;AG447,"! Total market rate units in the Unit Mix Table above does not match the number of  market rate units on row #"&amp;TEXT(ROW(D447),"#"),"")</f>
        <v/>
      </c>
      <c r="D806" s="1687"/>
      <c r="E806" s="1687"/>
      <c r="F806" s="1687"/>
      <c r="G806" s="1687"/>
      <c r="H806" s="1687"/>
      <c r="I806" s="1687"/>
      <c r="J806" s="1687"/>
      <c r="K806" s="1687"/>
      <c r="L806" s="1687"/>
      <c r="M806" s="1687"/>
      <c r="N806" s="1687"/>
      <c r="O806" s="1687"/>
      <c r="P806" s="1687"/>
      <c r="Q806" s="1687"/>
      <c r="R806" s="1687"/>
      <c r="S806" s="1687"/>
      <c r="T806" s="1687"/>
      <c r="U806" s="1687"/>
      <c r="V806" s="1687"/>
      <c r="W806" s="1687"/>
      <c r="X806" s="1687"/>
      <c r="Y806" s="1687"/>
      <c r="Z806" s="1687"/>
      <c r="AA806" s="1687"/>
      <c r="AB806" s="1687"/>
      <c r="AC806" s="1687"/>
      <c r="AD806" s="1687"/>
      <c r="AE806" s="1687"/>
      <c r="AF806" s="1687"/>
      <c r="AG806" s="1687"/>
      <c r="AH806" s="1687"/>
      <c r="AI806" s="1687"/>
      <c r="AJ806" s="1687"/>
      <c r="AK806" s="1687"/>
      <c r="AL806" s="1687"/>
      <c r="AM806" s="1687"/>
      <c r="AN806" s="1687"/>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3</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87"/>
      <c r="D807" s="1687"/>
      <c r="E807" s="1687"/>
      <c r="F807" s="1687"/>
      <c r="G807" s="1687"/>
      <c r="H807" s="1687"/>
      <c r="I807" s="1687"/>
      <c r="J807" s="1687"/>
      <c r="K807" s="1687"/>
      <c r="L807" s="1687"/>
      <c r="M807" s="1687"/>
      <c r="N807" s="1687"/>
      <c r="O807" s="1687"/>
      <c r="P807" s="1687"/>
      <c r="Q807" s="1687"/>
      <c r="R807" s="1687"/>
      <c r="S807" s="1687"/>
      <c r="T807" s="1687"/>
      <c r="U807" s="1687"/>
      <c r="V807" s="1687"/>
      <c r="W807" s="1687"/>
      <c r="X807" s="1687"/>
      <c r="Y807" s="1687"/>
      <c r="Z807" s="1687"/>
      <c r="AA807" s="1687"/>
      <c r="AB807" s="1687"/>
      <c r="AC807" s="1687"/>
      <c r="AD807" s="1687"/>
      <c r="AE807" s="1687"/>
      <c r="AF807" s="1687"/>
      <c r="AG807" s="1687"/>
      <c r="AH807" s="1687"/>
      <c r="AI807" s="1687"/>
      <c r="AJ807" s="1687"/>
      <c r="AK807" s="1687"/>
      <c r="AL807" s="1687"/>
      <c r="AM807" s="1687"/>
      <c r="AN807" s="1687"/>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1</v>
      </c>
      <c r="DV807" s="49" t="s">
        <v>1493</v>
      </c>
      <c r="DW807" s="3"/>
      <c r="DX807" s="3"/>
      <c r="DY807" s="3"/>
      <c r="DZ807" s="3"/>
      <c r="EA807" s="3"/>
      <c r="EB807" s="3"/>
      <c r="EC807" s="3"/>
      <c r="ED807" s="3"/>
      <c r="EE807" s="3"/>
      <c r="EF807" s="3"/>
      <c r="EG807" s="3"/>
      <c r="EH807" s="3"/>
      <c r="EI807"/>
      <c r="EJ807"/>
      <c r="EK807"/>
      <c r="EL807"/>
      <c r="EM807"/>
      <c r="EN807"/>
      <c r="EO807"/>
      <c r="EP807"/>
      <c r="EQ807"/>
      <c r="ER807"/>
      <c r="ES807" s="48" t="s">
        <v>1494</v>
      </c>
      <c r="ET807" s="1794">
        <f>SUM(DU805:EX805)</f>
        <v>0</v>
      </c>
      <c r="EU807" s="1795"/>
      <c r="EV807" s="1795"/>
      <c r="EW807" s="1795"/>
      <c r="EX807" s="1796"/>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1495</v>
      </c>
      <c r="Y808" s="1613">
        <f>O761+AC785+AC805</f>
        <v>30758</v>
      </c>
      <c r="Z808" s="1613"/>
      <c r="AA808" s="1613"/>
      <c r="AB808" s="1613"/>
      <c r="AC808" s="1613"/>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3</v>
      </c>
      <c r="DV808" s="49" t="s">
        <v>1496</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1497</v>
      </c>
      <c r="Y809" s="1613">
        <f>(O761+AC785+AC805)*12</f>
        <v>369096</v>
      </c>
      <c r="Z809" s="1613"/>
      <c r="AA809" s="1613"/>
      <c r="AB809" s="1613"/>
      <c r="AC809" s="1613"/>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1498</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99">
        <f>CP761+CP785+CP805</f>
        <v>0</v>
      </c>
      <c r="CQ810" s="1501"/>
      <c r="CR810" s="1501"/>
      <c r="CS810" s="1501"/>
      <c r="CT810" s="1500"/>
      <c r="CU810" s="1499">
        <f>CU761+CU785+CU805</f>
        <v>13</v>
      </c>
      <c r="CV810" s="1501"/>
      <c r="CW810" s="1501"/>
      <c r="CX810" s="1501"/>
      <c r="CY810" s="1500"/>
      <c r="CZ810" s="1499">
        <f>CZ761+CZ785+CZ805</f>
        <v>0</v>
      </c>
      <c r="DA810" s="1501"/>
      <c r="DB810" s="1501"/>
      <c r="DC810" s="1501"/>
      <c r="DD810" s="1500"/>
      <c r="DE810" s="1499">
        <f>DE761+DE785+DE805</f>
        <v>24</v>
      </c>
      <c r="DF810" s="1501"/>
      <c r="DG810" s="1501"/>
      <c r="DH810" s="1501"/>
      <c r="DI810" s="1500"/>
      <c r="DJ810" s="1499">
        <f>DJ761+DJ785+DJ805</f>
        <v>0</v>
      </c>
      <c r="DK810" s="1501"/>
      <c r="DL810" s="1501"/>
      <c r="DM810" s="1501"/>
      <c r="DN810" s="1500"/>
      <c r="DO810" s="1499">
        <f>DO805+DO785+DO761</f>
        <v>0</v>
      </c>
      <c r="DP810" s="1501"/>
      <c r="DQ810" s="1501"/>
      <c r="DR810" s="1501"/>
      <c r="DS810" s="1500"/>
      <c r="DT810" s="3"/>
      <c r="DU810" s="756">
        <f>DU763+DU808</f>
        <v>84</v>
      </c>
      <c r="DV810" s="49" t="s">
        <v>1499</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1023</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1500</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1501</v>
      </c>
      <c r="I814" s="5"/>
      <c r="J814" s="5"/>
      <c r="K814" s="5"/>
      <c r="L814" s="5"/>
      <c r="M814" s="5"/>
      <c r="N814" s="5"/>
      <c r="O814" s="5"/>
      <c r="P814" s="5"/>
      <c r="Q814" s="5"/>
      <c r="R814" s="5"/>
      <c r="S814" s="5"/>
      <c r="T814" s="5"/>
      <c r="U814" s="5"/>
      <c r="V814" s="5"/>
      <c r="W814" s="5"/>
      <c r="X814" s="5"/>
      <c r="Y814" s="5"/>
      <c r="Z814" s="1587">
        <v>36</v>
      </c>
      <c r="AA814" s="1588"/>
      <c r="AB814" s="1588"/>
      <c r="AC814" s="1588"/>
      <c r="AD814" s="1588"/>
      <c r="AE814" s="1589"/>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1502</v>
      </c>
      <c r="I815" s="5"/>
      <c r="J815" s="5"/>
      <c r="K815" s="5"/>
      <c r="L815" s="5"/>
      <c r="M815" s="5"/>
      <c r="N815" s="5"/>
      <c r="O815" s="5"/>
      <c r="P815" s="5"/>
      <c r="Q815" s="5"/>
      <c r="R815" s="5"/>
      <c r="S815" s="5"/>
      <c r="T815" s="5"/>
      <c r="U815" s="5"/>
      <c r="V815" s="5"/>
      <c r="W815" s="5"/>
      <c r="X815" s="5"/>
      <c r="Y815" s="5"/>
      <c r="Z815" s="1685">
        <v>20</v>
      </c>
      <c r="AA815" s="1588"/>
      <c r="AB815" s="1588"/>
      <c r="AC815" s="1588"/>
      <c r="AD815" s="1588"/>
      <c r="AE815" s="1589"/>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1503</v>
      </c>
      <c r="I816" s="5"/>
      <c r="J816" s="5"/>
      <c r="K816" s="5"/>
      <c r="L816" s="5"/>
      <c r="M816" s="5"/>
      <c r="N816" s="5"/>
      <c r="O816" s="5"/>
      <c r="P816" s="5"/>
      <c r="Q816" s="5"/>
      <c r="R816" s="5"/>
      <c r="S816" s="5"/>
      <c r="T816" s="5"/>
      <c r="U816" s="5"/>
      <c r="V816" s="5"/>
      <c r="W816" s="5"/>
      <c r="X816" s="5"/>
      <c r="Y816" s="5"/>
      <c r="Z816" s="1684">
        <v>53357</v>
      </c>
      <c r="AA816" s="1532"/>
      <c r="AB816" s="1532"/>
      <c r="AC816" s="1532"/>
      <c r="AD816" s="1532"/>
      <c r="AE816" s="1533"/>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1504</v>
      </c>
      <c r="Z817" s="1604">
        <f>'Subsidy Contract Calculation'!J40</f>
        <v>302520</v>
      </c>
      <c r="AA817" s="1605"/>
      <c r="AB817" s="1605"/>
      <c r="AC817" s="1605"/>
      <c r="AD817" s="1605"/>
      <c r="AE817" s="1606"/>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1035</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1505</v>
      </c>
      <c r="I821" s="5"/>
      <c r="J821" s="5"/>
      <c r="K821" s="5"/>
      <c r="L821" s="5"/>
      <c r="M821" s="5"/>
      <c r="N821" s="5"/>
      <c r="O821" s="5"/>
      <c r="P821" s="5"/>
      <c r="Q821" s="5"/>
      <c r="R821" s="5"/>
      <c r="S821" s="5"/>
      <c r="T821" s="5"/>
      <c r="U821" s="5"/>
      <c r="V821" s="5"/>
      <c r="W821" s="5"/>
      <c r="X821" s="5"/>
      <c r="Y821" s="5"/>
      <c r="Z821" s="1420">
        <v>2000</v>
      </c>
      <c r="AA821" s="1421"/>
      <c r="AB821" s="1421"/>
      <c r="AC821" s="1421"/>
      <c r="AD821" s="1421"/>
      <c r="AE821" s="1422"/>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1506</v>
      </c>
      <c r="I822" s="5"/>
      <c r="J822" s="5"/>
      <c r="K822" s="5"/>
      <c r="L822" s="5"/>
      <c r="M822" s="5"/>
      <c r="N822" s="5"/>
      <c r="O822" s="5"/>
      <c r="P822" s="5"/>
      <c r="Q822" s="5"/>
      <c r="R822" s="5"/>
      <c r="S822" s="5"/>
      <c r="T822" s="5"/>
      <c r="U822" s="5"/>
      <c r="V822" s="5"/>
      <c r="W822" s="5"/>
      <c r="X822" s="5"/>
      <c r="Y822" s="5"/>
      <c r="Z822" s="1420"/>
      <c r="AA822" s="1421"/>
      <c r="AB822" s="1421"/>
      <c r="AC822" s="1421"/>
      <c r="AD822" s="1421"/>
      <c r="AE822" s="1422"/>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1507</v>
      </c>
      <c r="I823" s="5"/>
      <c r="J823" s="5"/>
      <c r="K823" s="5"/>
      <c r="L823" s="5"/>
      <c r="M823" s="5"/>
      <c r="N823" s="5"/>
      <c r="O823" s="5"/>
      <c r="P823" s="5"/>
      <c r="Q823" s="5"/>
      <c r="R823" s="5"/>
      <c r="S823" s="5"/>
      <c r="T823" s="5"/>
      <c r="U823" s="5"/>
      <c r="V823" s="5"/>
      <c r="W823" s="5"/>
      <c r="X823" s="5"/>
      <c r="Y823" s="5"/>
      <c r="Z823" s="1420"/>
      <c r="AA823" s="1421"/>
      <c r="AB823" s="1421"/>
      <c r="AC823" s="1421"/>
      <c r="AD823" s="1421"/>
      <c r="AE823" s="1422"/>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1508</v>
      </c>
      <c r="I824" s="5"/>
      <c r="J824" s="5"/>
      <c r="K824" s="5"/>
      <c r="L824" s="5"/>
      <c r="M824" s="5"/>
      <c r="N824" s="5"/>
      <c r="O824" s="5"/>
      <c r="P824" s="1534" t="s">
        <v>1335</v>
      </c>
      <c r="Q824" s="1535"/>
      <c r="R824" s="1535"/>
      <c r="S824" s="1535"/>
      <c r="T824" s="1535"/>
      <c r="U824" s="1535"/>
      <c r="V824" s="1535"/>
      <c r="W824" s="1535"/>
      <c r="X824" s="1535"/>
      <c r="Y824" s="1536"/>
      <c r="Z824" s="1420"/>
      <c r="AA824" s="1421"/>
      <c r="AB824" s="1421"/>
      <c r="AC824" s="1421"/>
      <c r="AD824" s="1421"/>
      <c r="AE824" s="1422"/>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1509</v>
      </c>
      <c r="Z825" s="1604">
        <f>SUM(Z821:AE824)</f>
        <v>2000</v>
      </c>
      <c r="AA825" s="1605"/>
      <c r="AB825" s="1605"/>
      <c r="AC825" s="1605"/>
      <c r="AD825" s="1605"/>
      <c r="AE825" s="1606"/>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1510</v>
      </c>
      <c r="Z826" s="1604">
        <f>Z825+Y809+Z817</f>
        <v>673616</v>
      </c>
      <c r="AA826" s="1605"/>
      <c r="AB826" s="1605"/>
      <c r="AC826" s="1605"/>
      <c r="AD826" s="1605"/>
      <c r="AE826" s="1606"/>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1062</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1511</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561" t="s">
        <v>1512</v>
      </c>
      <c r="N831" s="1561"/>
      <c r="O831" s="1561"/>
      <c r="P831" s="1575"/>
      <c r="Q831" s="1620" t="s">
        <v>1513</v>
      </c>
      <c r="R831" s="1620"/>
      <c r="S831" s="1620"/>
      <c r="T831" s="1620"/>
      <c r="U831" s="1620" t="s">
        <v>1514</v>
      </c>
      <c r="V831" s="1620"/>
      <c r="W831" s="1620"/>
      <c r="X831" s="1620"/>
      <c r="Y831" s="1620" t="s">
        <v>1515</v>
      </c>
      <c r="Z831" s="1620"/>
      <c r="AA831" s="1620"/>
      <c r="AB831" s="1620"/>
      <c r="AC831" s="1620" t="s">
        <v>1516</v>
      </c>
      <c r="AD831" s="1620"/>
      <c r="AE831" s="1620"/>
      <c r="AF831" s="1620"/>
      <c r="AG831" s="1686" t="s">
        <v>1517</v>
      </c>
      <c r="AH831" s="1686"/>
      <c r="AI831" s="1686"/>
      <c r="AJ831" s="1686"/>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565"/>
      <c r="N832" s="1565"/>
      <c r="O832" s="1565"/>
      <c r="P832" s="1576"/>
      <c r="Q832" s="1620"/>
      <c r="R832" s="1620"/>
      <c r="S832" s="1620"/>
      <c r="T832" s="1620"/>
      <c r="U832" s="1620"/>
      <c r="V832" s="1620"/>
      <c r="W832" s="1620"/>
      <c r="X832" s="1620"/>
      <c r="Y832" s="1620"/>
      <c r="Z832" s="1620"/>
      <c r="AA832" s="1620"/>
      <c r="AB832" s="1620"/>
      <c r="AC832" s="1620"/>
      <c r="AD832" s="1620"/>
      <c r="AE832" s="1620"/>
      <c r="AF832" s="1620"/>
      <c r="AG832" s="1686"/>
      <c r="AH832" s="1686"/>
      <c r="AI832" s="1686"/>
      <c r="AJ832" s="1686"/>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37" t="s">
        <v>1518</v>
      </c>
      <c r="D833" s="1423"/>
      <c r="E833" s="1423"/>
      <c r="F833" s="1423"/>
      <c r="G833" s="1423"/>
      <c r="H833" s="1423"/>
      <c r="I833" s="40"/>
      <c r="J833" s="40"/>
      <c r="K833" s="40"/>
      <c r="L833" s="41"/>
      <c r="M833" s="1580"/>
      <c r="N833" s="1580"/>
      <c r="O833" s="1580"/>
      <c r="P833" s="1580"/>
      <c r="Q833" s="1580">
        <v>25</v>
      </c>
      <c r="R833" s="1580"/>
      <c r="S833" s="1580"/>
      <c r="T833" s="1580"/>
      <c r="U833" s="1580"/>
      <c r="V833" s="1580"/>
      <c r="W833" s="1580"/>
      <c r="X833" s="1580"/>
      <c r="Y833" s="1580">
        <v>54</v>
      </c>
      <c r="Z833" s="1580"/>
      <c r="AA833" s="1580"/>
      <c r="AB833" s="1580"/>
      <c r="AC833" s="1504"/>
      <c r="AD833" s="1505"/>
      <c r="AE833" s="1505"/>
      <c r="AF833" s="1506"/>
      <c r="AG833" s="1504"/>
      <c r="AH833" s="1505"/>
      <c r="AI833" s="1505"/>
      <c r="AJ833" s="1506"/>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612" t="s">
        <v>1519</v>
      </c>
      <c r="D834" s="1611"/>
      <c r="E834" s="1611"/>
      <c r="F834" s="1611"/>
      <c r="G834" s="1611"/>
      <c r="H834" s="1611"/>
      <c r="I834" s="5"/>
      <c r="J834" s="5"/>
      <c r="K834" s="5"/>
      <c r="L834" s="38"/>
      <c r="M834" s="1580"/>
      <c r="N834" s="1580"/>
      <c r="O834" s="1580"/>
      <c r="P834" s="1580"/>
      <c r="Q834" s="1580">
        <v>29</v>
      </c>
      <c r="R834" s="1580"/>
      <c r="S834" s="1580"/>
      <c r="T834" s="1580"/>
      <c r="U834" s="1580"/>
      <c r="V834" s="1580"/>
      <c r="W834" s="1580"/>
      <c r="X834" s="1580"/>
      <c r="Y834" s="1580">
        <v>42</v>
      </c>
      <c r="Z834" s="1580"/>
      <c r="AA834" s="1580"/>
      <c r="AB834" s="1580"/>
      <c r="AC834" s="1504"/>
      <c r="AD834" s="1505"/>
      <c r="AE834" s="1505"/>
      <c r="AF834" s="1506"/>
      <c r="AG834" s="1504"/>
      <c r="AH834" s="1505"/>
      <c r="AI834" s="1505"/>
      <c r="AJ834" s="1506"/>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612" t="s">
        <v>1520</v>
      </c>
      <c r="D835" s="1611"/>
      <c r="E835" s="1611"/>
      <c r="F835" s="1611"/>
      <c r="G835" s="1611"/>
      <c r="H835" s="1611"/>
      <c r="I835" s="52"/>
      <c r="J835" s="52"/>
      <c r="K835" s="52"/>
      <c r="L835" s="53"/>
      <c r="M835" s="1580"/>
      <c r="N835" s="1580"/>
      <c r="O835" s="1580"/>
      <c r="P835" s="1580"/>
      <c r="Q835" s="1580">
        <v>17</v>
      </c>
      <c r="R835" s="1580"/>
      <c r="S835" s="1580"/>
      <c r="T835" s="1580"/>
      <c r="U835" s="1580"/>
      <c r="V835" s="1580"/>
      <c r="W835" s="1580"/>
      <c r="X835" s="1580"/>
      <c r="Y835" s="1580">
        <v>21</v>
      </c>
      <c r="Z835" s="1580"/>
      <c r="AA835" s="1580"/>
      <c r="AB835" s="1580"/>
      <c r="AC835" s="1504"/>
      <c r="AD835" s="1505"/>
      <c r="AE835" s="1505"/>
      <c r="AF835" s="1506"/>
      <c r="AG835" s="1504"/>
      <c r="AH835" s="1505"/>
      <c r="AI835" s="1505"/>
      <c r="AJ835" s="1506"/>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612" t="s">
        <v>1521</v>
      </c>
      <c r="D836" s="1611"/>
      <c r="E836" s="1611"/>
      <c r="F836" s="1611"/>
      <c r="G836" s="1611"/>
      <c r="H836" s="1611"/>
      <c r="I836" s="52"/>
      <c r="J836" s="52"/>
      <c r="K836" s="52"/>
      <c r="L836" s="53"/>
      <c r="M836" s="1580"/>
      <c r="N836" s="1580"/>
      <c r="O836" s="1580"/>
      <c r="P836" s="1580"/>
      <c r="Q836" s="1580"/>
      <c r="R836" s="1580"/>
      <c r="S836" s="1580"/>
      <c r="T836" s="1580"/>
      <c r="U836" s="1580"/>
      <c r="V836" s="1580"/>
      <c r="W836" s="1580"/>
      <c r="X836" s="1580"/>
      <c r="Y836" s="1580"/>
      <c r="Z836" s="1580"/>
      <c r="AA836" s="1580"/>
      <c r="AB836" s="1580"/>
      <c r="AC836" s="1504"/>
      <c r="AD836" s="1505"/>
      <c r="AE836" s="1505"/>
      <c r="AF836" s="1506"/>
      <c r="AG836" s="1504"/>
      <c r="AH836" s="1505"/>
      <c r="AI836" s="1505"/>
      <c r="AJ836" s="1506"/>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612" t="s">
        <v>1522</v>
      </c>
      <c r="D837" s="1611"/>
      <c r="E837" s="1611"/>
      <c r="F837" s="1611"/>
      <c r="G837" s="1611"/>
      <c r="H837" s="1611"/>
      <c r="I837" s="52"/>
      <c r="J837" s="52"/>
      <c r="K837" s="52"/>
      <c r="L837" s="53"/>
      <c r="M837" s="1580"/>
      <c r="N837" s="1580"/>
      <c r="O837" s="1580"/>
      <c r="P837" s="1580"/>
      <c r="Q837" s="1580">
        <v>90</v>
      </c>
      <c r="R837" s="1580"/>
      <c r="S837" s="1580"/>
      <c r="T837" s="1580"/>
      <c r="U837" s="1580"/>
      <c r="V837" s="1580"/>
      <c r="W837" s="1580"/>
      <c r="X837" s="1580"/>
      <c r="Y837" s="1580">
        <v>164</v>
      </c>
      <c r="Z837" s="1580"/>
      <c r="AA837" s="1580"/>
      <c r="AB837" s="1580"/>
      <c r="AC837" s="1504"/>
      <c r="AD837" s="1505"/>
      <c r="AE837" s="1505"/>
      <c r="AF837" s="1506"/>
      <c r="AG837" s="1504"/>
      <c r="AH837" s="1505"/>
      <c r="AI837" s="1505"/>
      <c r="AJ837" s="1506"/>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610" t="s">
        <v>1523</v>
      </c>
      <c r="D838" s="1611"/>
      <c r="E838" s="1611"/>
      <c r="F838" s="1611"/>
      <c r="G838" s="1611"/>
      <c r="H838" s="1611"/>
      <c r="I838" s="52"/>
      <c r="J838" s="52"/>
      <c r="K838" s="52"/>
      <c r="L838" s="53"/>
      <c r="M838" s="1580"/>
      <c r="N838" s="1580"/>
      <c r="O838" s="1580"/>
      <c r="P838" s="1580"/>
      <c r="Q838" s="1580"/>
      <c r="R838" s="1580"/>
      <c r="S838" s="1580"/>
      <c r="T838" s="1580"/>
      <c r="U838" s="1580"/>
      <c r="V838" s="1580"/>
      <c r="W838" s="1580"/>
      <c r="X838" s="1580"/>
      <c r="Y838" s="1580"/>
      <c r="Z838" s="1580"/>
      <c r="AA838" s="1580"/>
      <c r="AB838" s="1580"/>
      <c r="AC838" s="1504"/>
      <c r="AD838" s="1505"/>
      <c r="AE838" s="1505"/>
      <c r="AF838" s="1506"/>
      <c r="AG838" s="1504"/>
      <c r="AH838" s="1505"/>
      <c r="AI838" s="1505"/>
      <c r="AJ838" s="1506"/>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1524</v>
      </c>
      <c r="D839" s="52"/>
      <c r="E839" s="52"/>
      <c r="F839" s="1534" t="s">
        <v>1335</v>
      </c>
      <c r="G839" s="1535"/>
      <c r="H839" s="1535"/>
      <c r="I839" s="1535"/>
      <c r="J839" s="1535"/>
      <c r="K839" s="1535"/>
      <c r="L839" s="1535"/>
      <c r="M839" s="1580"/>
      <c r="N839" s="1580"/>
      <c r="O839" s="1580"/>
      <c r="P839" s="1580"/>
      <c r="Q839" s="1580"/>
      <c r="R839" s="1580"/>
      <c r="S839" s="1580"/>
      <c r="T839" s="1580"/>
      <c r="U839" s="1580"/>
      <c r="V839" s="1580"/>
      <c r="W839" s="1580"/>
      <c r="X839" s="1580"/>
      <c r="Y839" s="1580"/>
      <c r="Z839" s="1580"/>
      <c r="AA839" s="1580"/>
      <c r="AB839" s="1580"/>
      <c r="AC839" s="1504"/>
      <c r="AD839" s="1505"/>
      <c r="AE839" s="1505"/>
      <c r="AF839" s="1506"/>
      <c r="AG839" s="1504"/>
      <c r="AH839" s="1505"/>
      <c r="AI839" s="1505"/>
      <c r="AJ839" s="1506"/>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487" t="s">
        <v>1471</v>
      </c>
      <c r="D840" s="1488"/>
      <c r="E840" s="1488"/>
      <c r="F840" s="1488"/>
      <c r="G840" s="1488"/>
      <c r="H840" s="1488"/>
      <c r="I840" s="1488"/>
      <c r="J840" s="1488"/>
      <c r="K840" s="1488"/>
      <c r="L840" s="1489"/>
      <c r="M840" s="1574">
        <f>SUM(M833:P839)</f>
        <v>0</v>
      </c>
      <c r="N840" s="1574"/>
      <c r="O840" s="1574"/>
      <c r="P840" s="1574"/>
      <c r="Q840" s="1574">
        <f>SUM(Q833:T839)</f>
        <v>161</v>
      </c>
      <c r="R840" s="1574"/>
      <c r="S840" s="1574"/>
      <c r="T840" s="1574"/>
      <c r="U840" s="1574">
        <f>SUM(U833:X839)</f>
        <v>0</v>
      </c>
      <c r="V840" s="1574"/>
      <c r="W840" s="1574"/>
      <c r="X840" s="1574"/>
      <c r="Y840" s="1574">
        <f>SUM(Y833:AB839)</f>
        <v>281</v>
      </c>
      <c r="Z840" s="1574"/>
      <c r="AA840" s="1574"/>
      <c r="AB840" s="1574"/>
      <c r="AC840" s="1574">
        <f>SUM(AC833:AF839)</f>
        <v>0</v>
      </c>
      <c r="AD840" s="1574"/>
      <c r="AE840" s="1574"/>
      <c r="AF840" s="1574"/>
      <c r="AG840" s="1574">
        <f>SUM(AG833:AJ839)</f>
        <v>0</v>
      </c>
      <c r="AH840" s="1574"/>
      <c r="AI840" s="1574"/>
      <c r="AJ840" s="1574"/>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1525</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1526</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1527</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665" t="s">
        <v>673</v>
      </c>
      <c r="D845" s="1666"/>
      <c r="E845" s="1666"/>
      <c r="F845" s="1666"/>
      <c r="G845" s="1666"/>
      <c r="H845" s="1666"/>
      <c r="I845" s="1666"/>
      <c r="J845" s="1666"/>
      <c r="K845" s="1666"/>
      <c r="L845" s="1666"/>
      <c r="M845" s="1666"/>
      <c r="N845" s="1666"/>
      <c r="O845" s="1666"/>
      <c r="P845" s="1666"/>
      <c r="Q845" s="1666"/>
      <c r="R845" s="1666"/>
      <c r="S845" s="1666"/>
      <c r="T845" s="1666"/>
      <c r="U845" s="1666"/>
      <c r="V845" s="1666"/>
      <c r="W845" s="1666"/>
      <c r="X845" s="1666"/>
      <c r="Y845" s="1666"/>
      <c r="Z845" s="1666"/>
      <c r="AA845" s="1666"/>
      <c r="AB845" s="1666"/>
      <c r="AC845" s="1666"/>
      <c r="AD845" s="1666"/>
      <c r="AE845" s="1666"/>
      <c r="AF845" s="1666"/>
      <c r="AG845" s="1666"/>
      <c r="AH845" s="1666"/>
      <c r="AI845" s="1666"/>
      <c r="AJ845" s="1667"/>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1528</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1121</v>
      </c>
      <c r="B848"/>
      <c r="C848" s="2" t="s">
        <v>1529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19"/>
      <c r="BJ849" s="1619"/>
      <c r="BK849" s="1619"/>
      <c r="BL849" s="1619"/>
    </row>
    <row r="850" spans="1:64" s="13" customFormat="1" ht="12.95" customHeight="1">
      <c r="A850"/>
      <c r="B850"/>
      <c r="C850" s="2" t="s">
        <v>1530</v>
      </c>
      <c r="D850"/>
      <c r="E850"/>
      <c r="F850"/>
      <c r="G850"/>
      <c r="H850"/>
      <c r="I850"/>
      <c r="J850" s="37" t="s">
        <v>1531</v>
      </c>
      <c r="K850" s="5"/>
      <c r="L850" s="5"/>
      <c r="M850" s="5"/>
      <c r="N850" s="5"/>
      <c r="O850" s="5"/>
      <c r="P850" s="5"/>
      <c r="Q850" s="5"/>
      <c r="R850" s="5"/>
      <c r="S850" s="5"/>
      <c r="T850" s="5"/>
      <c r="U850" s="5"/>
      <c r="V850" s="38"/>
      <c r="W850" s="1507">
        <v>1000</v>
      </c>
      <c r="X850" s="1507"/>
      <c r="Y850" s="1507"/>
      <c r="Z850" s="1507"/>
      <c r="AA850" s="1507"/>
      <c r="AB850" s="1507"/>
      <c r="AC850" s="1507"/>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1532</v>
      </c>
      <c r="K851" s="5"/>
      <c r="L851" s="5"/>
      <c r="M851" s="5"/>
      <c r="N851" s="5"/>
      <c r="O851" s="5"/>
      <c r="P851" s="5"/>
      <c r="Q851" s="5"/>
      <c r="R851" s="5"/>
      <c r="S851" s="5"/>
      <c r="T851" s="5"/>
      <c r="U851" s="5"/>
      <c r="V851" s="38"/>
      <c r="W851" s="1507">
        <v>1000</v>
      </c>
      <c r="X851" s="1507"/>
      <c r="Y851" s="1507"/>
      <c r="Z851" s="1507"/>
      <c r="AA851" s="1507"/>
      <c r="AB851" s="1507"/>
      <c r="AC851" s="1507"/>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1533</v>
      </c>
      <c r="K852" s="5"/>
      <c r="L852" s="5"/>
      <c r="M852" s="5"/>
      <c r="N852" s="5"/>
      <c r="O852" s="5"/>
      <c r="P852" s="5"/>
      <c r="Q852" s="5"/>
      <c r="R852" s="5"/>
      <c r="S852" s="5"/>
      <c r="T852" s="5"/>
      <c r="U852" s="5"/>
      <c r="V852" s="38"/>
      <c r="W852" s="1507">
        <v>12000</v>
      </c>
      <c r="X852" s="1507"/>
      <c r="Y852" s="1507"/>
      <c r="Z852" s="1507"/>
      <c r="AA852" s="1507"/>
      <c r="AB852" s="1507"/>
      <c r="AC852" s="1507"/>
      <c r="AZ852" s="25"/>
      <c r="BA852" s="25"/>
      <c r="BB852" s="13"/>
      <c r="BC852" s="13"/>
      <c r="BD852" s="13"/>
      <c r="BE852" s="13"/>
      <c r="BF852" s="13"/>
      <c r="BG852" s="13"/>
      <c r="BH852" s="13"/>
      <c r="BI852" s="13"/>
      <c r="BJ852" s="13"/>
      <c r="BK852" s="13"/>
      <c r="BL852" s="13"/>
    </row>
    <row r="853" spans="1:64" ht="12.95" customHeight="1">
      <c r="J853" s="37" t="s">
        <v>1534</v>
      </c>
      <c r="K853" s="5"/>
      <c r="L853" s="5"/>
      <c r="M853" s="5"/>
      <c r="N853" s="5"/>
      <c r="O853" s="5"/>
      <c r="P853" s="5"/>
      <c r="Q853" s="5"/>
      <c r="R853" s="5"/>
      <c r="S853" s="5"/>
      <c r="T853" s="5"/>
      <c r="U853" s="5"/>
      <c r="V853" s="38"/>
      <c r="W853" s="1507"/>
      <c r="X853" s="1507"/>
      <c r="Y853" s="1507"/>
      <c r="Z853" s="1507"/>
      <c r="AA853" s="1507"/>
      <c r="AB853" s="1507"/>
      <c r="AC853" s="1507"/>
      <c r="AZ853" s="25"/>
      <c r="BA853" s="25"/>
      <c r="BB853" s="13"/>
      <c r="BC853" s="13"/>
      <c r="BD853" s="13"/>
      <c r="BE853" s="13"/>
      <c r="BF853" s="13"/>
      <c r="BG853" s="13"/>
      <c r="BH853" s="13"/>
      <c r="BI853" s="13"/>
      <c r="BJ853" s="13"/>
      <c r="BK853" s="13"/>
      <c r="BL853" s="13"/>
    </row>
    <row r="854" spans="1:64" ht="12.95" customHeight="1">
      <c r="J854" s="37" t="s">
        <v>233</v>
      </c>
      <c r="K854" s="5"/>
      <c r="L854" s="5"/>
      <c r="M854" s="1534" t="s">
        <v>1335</v>
      </c>
      <c r="N854" s="1535"/>
      <c r="O854" s="1535"/>
      <c r="P854" s="1535"/>
      <c r="Q854" s="1535"/>
      <c r="R854" s="1535"/>
      <c r="S854" s="1535"/>
      <c r="T854" s="1535"/>
      <c r="U854" s="1535"/>
      <c r="V854" s="1536"/>
      <c r="W854" s="1507"/>
      <c r="X854" s="1507"/>
      <c r="Y854" s="1507"/>
      <c r="Z854" s="1507"/>
      <c r="AA854" s="1507"/>
      <c r="AB854" s="1507"/>
      <c r="AC854" s="1507"/>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1535</v>
      </c>
      <c r="W855" s="1604">
        <f>SUM(W850:W854)</f>
        <v>14000</v>
      </c>
      <c r="X855" s="1605"/>
      <c r="Y855" s="1605"/>
      <c r="Z855" s="1605"/>
      <c r="AA855" s="1605"/>
      <c r="AB855" s="1605"/>
      <c r="AC855" s="1606"/>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309"/>
      <c r="BH856" s="1309"/>
      <c r="BI856" s="1309"/>
      <c r="BJ856" s="1309"/>
      <c r="BK856" s="1309"/>
      <c r="BL856" s="1309"/>
    </row>
    <row r="857" spans="1:64" ht="12.95" customHeight="1">
      <c r="C857" s="2" t="s">
        <v>1536</v>
      </c>
      <c r="J857" s="1487" t="s">
        <v>1537</v>
      </c>
      <c r="K857" s="1488"/>
      <c r="L857" s="1488"/>
      <c r="M857" s="1488"/>
      <c r="N857" s="1488"/>
      <c r="O857" s="1488"/>
      <c r="P857" s="1488"/>
      <c r="Q857" s="1488"/>
      <c r="R857" s="1488"/>
      <c r="S857" s="1488"/>
      <c r="T857" s="1488"/>
      <c r="U857" s="1488"/>
      <c r="V857" s="1489"/>
      <c r="W857" s="1420">
        <v>28860</v>
      </c>
      <c r="X857" s="1421"/>
      <c r="Y857" s="1421"/>
      <c r="Z857" s="1421"/>
      <c r="AA857" s="1421"/>
      <c r="AB857" s="1421"/>
      <c r="AC857" s="1422"/>
      <c r="AD857" s="433"/>
      <c r="AZ857" s="25"/>
      <c r="BA857" s="25"/>
      <c r="BB857" s="13"/>
      <c r="BC857" s="13"/>
    </row>
    <row r="858" spans="1:64" ht="12.95" customHeight="1">
      <c r="AD858" s="433"/>
      <c r="AZ858" s="25"/>
      <c r="BA858" s="25"/>
      <c r="BB858" s="13"/>
      <c r="BC858" s="13"/>
    </row>
    <row r="859" spans="1:64" ht="12.95" customHeight="1">
      <c r="C859" s="2" t="s">
        <v>230</v>
      </c>
      <c r="J859" s="37" t="s">
        <v>1538</v>
      </c>
      <c r="K859" s="5"/>
      <c r="L859" s="5"/>
      <c r="M859" s="5"/>
      <c r="N859" s="5"/>
      <c r="O859" s="5"/>
      <c r="P859" s="5"/>
      <c r="Q859" s="5"/>
      <c r="R859" s="5"/>
      <c r="S859" s="5"/>
      <c r="T859" s="5"/>
      <c r="U859" s="5"/>
      <c r="V859" s="38"/>
      <c r="W859" s="1609">
        <v>0</v>
      </c>
      <c r="X859" s="1609"/>
      <c r="Y859" s="1609"/>
      <c r="Z859" s="1609"/>
      <c r="AA859" s="1609"/>
      <c r="AB859" s="1609"/>
      <c r="AC859" s="1609"/>
      <c r="AZ859" s="1676"/>
      <c r="BA859" s="1676"/>
      <c r="BB859" s="13"/>
      <c r="BC859" s="13"/>
    </row>
    <row r="860" spans="1:64" ht="12.95" customHeight="1">
      <c r="J860" s="37" t="s">
        <v>1539</v>
      </c>
      <c r="K860" s="5"/>
      <c r="L860" s="5"/>
      <c r="M860" s="5"/>
      <c r="N860" s="5"/>
      <c r="O860" s="5"/>
      <c r="P860" s="5"/>
      <c r="Q860" s="5"/>
      <c r="R860" s="5"/>
      <c r="S860" s="5"/>
      <c r="T860" s="5"/>
      <c r="U860" s="5"/>
      <c r="V860" s="38"/>
      <c r="W860" s="1609">
        <v>600</v>
      </c>
      <c r="X860" s="1609"/>
      <c r="Y860" s="1609"/>
      <c r="Z860" s="1609"/>
      <c r="AA860" s="1609"/>
      <c r="AB860" s="1609"/>
      <c r="AC860" s="1609"/>
      <c r="AZ860" s="25"/>
      <c r="BA860" s="25"/>
      <c r="BB860" s="13"/>
      <c r="BC860" s="13"/>
    </row>
    <row r="861" spans="1:64" ht="12.95" customHeight="1">
      <c r="J861" s="37" t="s">
        <v>1522</v>
      </c>
      <c r="K861" s="5"/>
      <c r="L861" s="5"/>
      <c r="M861" s="5"/>
      <c r="N861" s="5"/>
      <c r="O861" s="5"/>
      <c r="P861" s="5"/>
      <c r="Q861" s="5"/>
      <c r="R861" s="5"/>
      <c r="S861" s="5"/>
      <c r="T861" s="5"/>
      <c r="U861" s="5"/>
      <c r="V861" s="38"/>
      <c r="W861" s="1609">
        <v>20000</v>
      </c>
      <c r="X861" s="1609"/>
      <c r="Y861" s="1609"/>
      <c r="Z861" s="1609"/>
      <c r="AA861" s="1609"/>
      <c r="AB861" s="1609"/>
      <c r="AC861" s="1609"/>
      <c r="AZ861" s="25"/>
      <c r="BA861" s="25"/>
      <c r="BB861" s="13"/>
      <c r="BC861" s="13"/>
    </row>
    <row r="862" spans="1:64" ht="12.95" customHeight="1">
      <c r="J862" s="1178" t="s">
        <v>1540</v>
      </c>
      <c r="K862" s="5"/>
      <c r="L862" s="5"/>
      <c r="M862" s="5"/>
      <c r="N862" s="5"/>
      <c r="O862" s="5"/>
      <c r="P862" s="5"/>
      <c r="Q862" s="5"/>
      <c r="R862" s="5"/>
      <c r="S862" s="5"/>
      <c r="T862" s="5"/>
      <c r="U862" s="5"/>
      <c r="V862" s="38"/>
      <c r="W862" s="1609">
        <v>22000</v>
      </c>
      <c r="X862" s="1609"/>
      <c r="Y862" s="1609"/>
      <c r="Z862" s="1609"/>
      <c r="AA862" s="1609"/>
      <c r="AB862" s="1609"/>
      <c r="AC862" s="1609"/>
      <c r="AZ862" s="3"/>
      <c r="BA862" s="3"/>
      <c r="BB862" s="3"/>
      <c r="BC862" s="3"/>
    </row>
    <row r="863" spans="1:64" ht="12.95" customHeight="1">
      <c r="J863" s="54"/>
      <c r="K863" s="40"/>
      <c r="L863" s="40"/>
      <c r="M863" s="40"/>
      <c r="N863" s="40"/>
      <c r="O863" s="40"/>
      <c r="P863" s="40"/>
      <c r="Q863" s="40"/>
      <c r="R863" s="40"/>
      <c r="S863" s="40"/>
      <c r="T863" s="40"/>
      <c r="U863" s="40"/>
      <c r="V863" s="46" t="s">
        <v>1541</v>
      </c>
      <c r="W863" s="1664">
        <f>SUM(W859:W862)</f>
        <v>42600</v>
      </c>
      <c r="X863" s="1664"/>
      <c r="Y863" s="1664"/>
      <c r="Z863" s="1664"/>
      <c r="AA863" s="1664"/>
      <c r="AB863" s="1664"/>
      <c r="AC863" s="1664"/>
      <c r="AZ863" s="3"/>
      <c r="BA863" s="3"/>
      <c r="BB863" s="3"/>
      <c r="BC863" s="3"/>
    </row>
    <row r="864" spans="1:64" ht="12.95" customHeight="1">
      <c r="AZ864" s="3"/>
      <c r="BA864" s="3"/>
      <c r="BB864" s="3"/>
      <c r="BC864" s="3"/>
    </row>
    <row r="865" spans="3:55" ht="12.95" customHeight="1">
      <c r="C865" s="2" t="s">
        <v>1542</v>
      </c>
      <c r="J865" s="37" t="s">
        <v>1543</v>
      </c>
      <c r="K865" s="5"/>
      <c r="L865" s="5"/>
      <c r="M865" s="5"/>
      <c r="N865" s="5"/>
      <c r="O865" s="5"/>
      <c r="P865" s="5"/>
      <c r="Q865" s="5"/>
      <c r="R865" s="5"/>
      <c r="S865" s="5"/>
      <c r="T865" s="5"/>
      <c r="U865" s="5"/>
      <c r="V865" s="38"/>
      <c r="W865" s="1577">
        <v>55000</v>
      </c>
      <c r="X865" s="1578"/>
      <c r="Y865" s="1578"/>
      <c r="Z865" s="1578"/>
      <c r="AA865" s="1578"/>
      <c r="AB865" s="1578"/>
      <c r="AC865" s="1579"/>
      <c r="AD865" s="428"/>
      <c r="AZ865" s="3"/>
      <c r="BA865" s="3"/>
      <c r="BB865" s="3"/>
      <c r="BC865" s="3"/>
    </row>
    <row r="866" spans="3:55" ht="12.95" customHeight="1">
      <c r="C866" s="2" t="s">
        <v>1544</v>
      </c>
      <c r="J866" s="87" t="s">
        <v>1545</v>
      </c>
      <c r="K866" s="5"/>
      <c r="L866" s="5"/>
      <c r="M866" s="5"/>
      <c r="N866" s="5"/>
      <c r="O866" s="5"/>
      <c r="P866" s="5"/>
      <c r="Q866" s="5"/>
      <c r="R866" s="5"/>
      <c r="S866" s="5"/>
      <c r="T866" s="1668">
        <v>1</v>
      </c>
      <c r="U866" s="1648"/>
      <c r="V866" s="1669"/>
      <c r="W866" s="769"/>
      <c r="X866" s="770"/>
      <c r="Y866" s="770"/>
      <c r="Z866" s="770"/>
      <c r="AA866" s="770"/>
      <c r="AB866" s="770"/>
      <c r="AC866" s="771"/>
      <c r="AD866" s="428"/>
      <c r="AZ866" s="3"/>
      <c r="BA866" s="3"/>
      <c r="BB866" s="3"/>
      <c r="BC866" s="3"/>
    </row>
    <row r="867" spans="3:55" ht="12.95" customHeight="1">
      <c r="C867" s="2"/>
      <c r="J867" s="37" t="s">
        <v>1546</v>
      </c>
      <c r="K867" s="5"/>
      <c r="L867" s="5"/>
      <c r="M867" s="5"/>
      <c r="N867" s="5"/>
      <c r="O867" s="5"/>
      <c r="P867" s="5"/>
      <c r="Q867" s="5"/>
      <c r="R867" s="5"/>
      <c r="S867" s="5"/>
      <c r="T867" s="5"/>
      <c r="U867" s="5"/>
      <c r="V867" s="38"/>
      <c r="W867" s="1577">
        <v>40000</v>
      </c>
      <c r="X867" s="1578"/>
      <c r="Y867" s="1578"/>
      <c r="Z867" s="1578"/>
      <c r="AA867" s="1578"/>
      <c r="AB867" s="1578"/>
      <c r="AC867" s="1579"/>
      <c r="AD867" s="433"/>
      <c r="AZ867" s="3"/>
      <c r="BA867" s="3"/>
      <c r="BB867" s="3"/>
      <c r="BC867" s="3"/>
    </row>
    <row r="868" spans="3:55" ht="12.95" customHeight="1">
      <c r="C868" s="2"/>
      <c r="J868" s="87" t="s">
        <v>1547</v>
      </c>
      <c r="K868" s="5"/>
      <c r="L868" s="5"/>
      <c r="M868" s="5"/>
      <c r="N868" s="5"/>
      <c r="O868" s="5"/>
      <c r="P868" s="5"/>
      <c r="Q868" s="5"/>
      <c r="R868" s="5"/>
      <c r="S868" s="5"/>
      <c r="T868" s="1668">
        <v>1</v>
      </c>
      <c r="U868" s="1648"/>
      <c r="V868" s="1669"/>
      <c r="W868" s="769"/>
      <c r="X868" s="770"/>
      <c r="Y868" s="770"/>
      <c r="Z868" s="770"/>
      <c r="AA868" s="770"/>
      <c r="AB868" s="770"/>
      <c r="AC868" s="771"/>
      <c r="AD868" s="433"/>
      <c r="AZ868" s="3"/>
      <c r="BA868" s="3"/>
      <c r="BB868" s="3"/>
      <c r="BC868" s="3"/>
    </row>
    <row r="869" spans="3:55" ht="12.95" customHeight="1">
      <c r="J869" s="37" t="s">
        <v>233</v>
      </c>
      <c r="K869" s="5"/>
      <c r="L869" s="5"/>
      <c r="M869" s="1534" t="s">
        <v>1335</v>
      </c>
      <c r="N869" s="1535"/>
      <c r="O869" s="1535"/>
      <c r="P869" s="1535"/>
      <c r="Q869" s="1535"/>
      <c r="R869" s="1535"/>
      <c r="S869" s="1535"/>
      <c r="T869" s="1535"/>
      <c r="U869" s="1535"/>
      <c r="V869" s="1536"/>
      <c r="W869" s="1577"/>
      <c r="X869" s="1578"/>
      <c r="Y869" s="1578"/>
      <c r="Z869" s="1578"/>
      <c r="AA869" s="1578"/>
      <c r="AB869" s="1578"/>
      <c r="AC869" s="1579"/>
      <c r="AD869" s="428"/>
      <c r="AU869" s="13"/>
      <c r="AZ869" s="3"/>
      <c r="BA869" s="3"/>
      <c r="BB869" s="3"/>
      <c r="BC869" s="3"/>
    </row>
    <row r="870" spans="3:55" ht="12.95" customHeight="1">
      <c r="J870" s="37"/>
      <c r="K870" s="5"/>
      <c r="L870" s="5"/>
      <c r="M870" s="5"/>
      <c r="N870" s="5"/>
      <c r="O870" s="5"/>
      <c r="P870" s="5"/>
      <c r="Q870" s="5"/>
      <c r="R870" s="5"/>
      <c r="S870" s="5"/>
      <c r="T870" s="5"/>
      <c r="U870" s="5"/>
      <c r="V870" s="46" t="s">
        <v>1548</v>
      </c>
      <c r="W870" s="1670">
        <f>SUM(W865:W869)</f>
        <v>95000</v>
      </c>
      <c r="X870" s="1671"/>
      <c r="Y870" s="1671"/>
      <c r="Z870" s="1671"/>
      <c r="AA870" s="1671"/>
      <c r="AB870" s="1671"/>
      <c r="AC870" s="1672"/>
      <c r="AD870" s="433"/>
      <c r="AU870" s="13"/>
      <c r="AZ870" s="3"/>
      <c r="BA870" s="3"/>
      <c r="BB870" s="3"/>
      <c r="BC870" s="3"/>
    </row>
    <row r="871" spans="3:55" ht="12.95" customHeight="1">
      <c r="AU871" s="13"/>
      <c r="AZ871" s="3"/>
      <c r="BA871" s="3"/>
      <c r="BB871" s="3"/>
      <c r="BC871" s="3"/>
    </row>
    <row r="872" spans="3:55" ht="12.95" customHeight="1">
      <c r="C872" s="2" t="s">
        <v>1549</v>
      </c>
      <c r="J872" s="37"/>
      <c r="K872" s="5"/>
      <c r="L872" s="5"/>
      <c r="M872" s="5"/>
      <c r="N872" s="5"/>
      <c r="O872" s="5"/>
      <c r="P872" s="5"/>
      <c r="Q872" s="5"/>
      <c r="R872" s="5"/>
      <c r="S872" s="5"/>
      <c r="T872" s="5"/>
      <c r="U872" s="5"/>
      <c r="V872" s="46" t="s">
        <v>1550</v>
      </c>
      <c r="W872" s="1577">
        <v>6000</v>
      </c>
      <c r="X872" s="1578"/>
      <c r="Y872" s="1578"/>
      <c r="Z872" s="1578"/>
      <c r="AA872" s="1578"/>
      <c r="AB872" s="1578"/>
      <c r="AC872" s="1579"/>
      <c r="AU872" s="13"/>
      <c r="AZ872" s="3"/>
      <c r="BA872" s="3"/>
      <c r="BB872" s="3"/>
      <c r="BC872" s="3"/>
    </row>
    <row r="873" spans="3:55" ht="12.95" customHeight="1">
      <c r="J873" s="412"/>
      <c r="AU873" s="13"/>
      <c r="AZ873" s="3"/>
      <c r="BA873" s="3"/>
      <c r="BB873" s="3"/>
      <c r="BC873" s="3"/>
    </row>
    <row r="874" spans="3:55" ht="12.95" customHeight="1">
      <c r="C874" s="2" t="s">
        <v>232</v>
      </c>
      <c r="J874" s="37" t="s">
        <v>1551</v>
      </c>
      <c r="K874" s="5"/>
      <c r="L874" s="5"/>
      <c r="M874" s="5"/>
      <c r="N874" s="5"/>
      <c r="O874" s="5"/>
      <c r="P874" s="5"/>
      <c r="Q874" s="5"/>
      <c r="R874" s="5"/>
      <c r="S874" s="5"/>
      <c r="T874" s="5"/>
      <c r="U874" s="5"/>
      <c r="V874" s="38"/>
      <c r="W874" s="1507">
        <v>1500</v>
      </c>
      <c r="X874" s="1507"/>
      <c r="Y874" s="1507"/>
      <c r="Z874" s="1507"/>
      <c r="AA874" s="1507"/>
      <c r="AB874" s="1507"/>
      <c r="AC874" s="1507"/>
      <c r="AU874" s="13"/>
      <c r="AZ874" s="3"/>
      <c r="BA874" s="3"/>
      <c r="BB874" s="3"/>
      <c r="BC874" s="3"/>
    </row>
    <row r="875" spans="3:55" ht="12.95" customHeight="1">
      <c r="J875" s="37" t="s">
        <v>1552</v>
      </c>
      <c r="K875" s="5"/>
      <c r="L875" s="5"/>
      <c r="M875" s="5"/>
      <c r="N875" s="5"/>
      <c r="O875" s="5"/>
      <c r="P875" s="5"/>
      <c r="Q875" s="5"/>
      <c r="R875" s="5"/>
      <c r="S875" s="5"/>
      <c r="T875" s="5"/>
      <c r="U875" s="5"/>
      <c r="V875" s="38"/>
      <c r="W875" s="1507">
        <v>5000</v>
      </c>
      <c r="X875" s="1507"/>
      <c r="Y875" s="1507"/>
      <c r="Z875" s="1507"/>
      <c r="AA875" s="1507"/>
      <c r="AB875" s="1507"/>
      <c r="AC875" s="1507"/>
      <c r="AU875" s="3"/>
      <c r="AZ875" s="3"/>
      <c r="BA875" s="3"/>
      <c r="BB875" s="3"/>
      <c r="BC875" s="3"/>
    </row>
    <row r="876" spans="3:55" ht="12.95" customHeight="1">
      <c r="J876" s="37" t="s">
        <v>1553</v>
      </c>
      <c r="K876" s="5"/>
      <c r="L876" s="5"/>
      <c r="M876" s="5"/>
      <c r="N876" s="5"/>
      <c r="O876" s="5"/>
      <c r="P876" s="5"/>
      <c r="Q876" s="5"/>
      <c r="R876" s="5"/>
      <c r="S876" s="5"/>
      <c r="T876" s="5"/>
      <c r="U876" s="5"/>
      <c r="V876" s="38"/>
      <c r="W876" s="1507">
        <v>24000</v>
      </c>
      <c r="X876" s="1507"/>
      <c r="Y876" s="1507"/>
      <c r="Z876" s="1507"/>
      <c r="AA876" s="1507"/>
      <c r="AB876" s="1507"/>
      <c r="AC876" s="1507"/>
      <c r="AU876" s="3"/>
      <c r="AZ876" s="3"/>
      <c r="BA876" s="3"/>
      <c r="BB876" s="3"/>
      <c r="BC876" s="3"/>
    </row>
    <row r="877" spans="3:55" ht="12.95" customHeight="1">
      <c r="J877" s="37" t="s">
        <v>1554</v>
      </c>
      <c r="K877" s="5"/>
      <c r="L877" s="5"/>
      <c r="M877" s="5"/>
      <c r="N877" s="5"/>
      <c r="O877" s="5"/>
      <c r="P877" s="5"/>
      <c r="Q877" s="5"/>
      <c r="R877" s="5"/>
      <c r="S877" s="5"/>
      <c r="T877" s="5"/>
      <c r="U877" s="5"/>
      <c r="V877" s="38"/>
      <c r="W877" s="1507">
        <v>6500</v>
      </c>
      <c r="X877" s="1507"/>
      <c r="Y877" s="1507"/>
      <c r="Z877" s="1507"/>
      <c r="AA877" s="1507"/>
      <c r="AB877" s="1507"/>
      <c r="AC877" s="1507"/>
      <c r="AU877" s="3"/>
      <c r="AZ877" s="3"/>
      <c r="BA877" s="3"/>
      <c r="BB877" s="3"/>
      <c r="BC877" s="3"/>
    </row>
    <row r="878" spans="3:55" ht="12.95" customHeight="1">
      <c r="J878" s="37" t="s">
        <v>1555</v>
      </c>
      <c r="K878" s="5"/>
      <c r="L878" s="5"/>
      <c r="M878" s="5"/>
      <c r="N878" s="5"/>
      <c r="O878" s="5"/>
      <c r="P878" s="5"/>
      <c r="Q878" s="5"/>
      <c r="R878" s="5"/>
      <c r="S878" s="5"/>
      <c r="T878" s="5"/>
      <c r="U878" s="5"/>
      <c r="V878" s="38"/>
      <c r="W878" s="1507">
        <v>6000</v>
      </c>
      <c r="X878" s="1507"/>
      <c r="Y878" s="1507"/>
      <c r="Z878" s="1507"/>
      <c r="AA878" s="1507"/>
      <c r="AB878" s="1507"/>
      <c r="AC878" s="1507"/>
      <c r="AU878" s="3"/>
      <c r="AZ878" s="3"/>
      <c r="BA878" s="3"/>
      <c r="BB878" s="3"/>
      <c r="BC878" s="3"/>
    </row>
    <row r="879" spans="3:55" ht="12.95" customHeight="1">
      <c r="J879" s="37" t="s">
        <v>1556</v>
      </c>
      <c r="K879" s="5"/>
      <c r="L879" s="5"/>
      <c r="M879" s="5"/>
      <c r="N879" s="5"/>
      <c r="O879" s="5"/>
      <c r="P879" s="5"/>
      <c r="Q879" s="5"/>
      <c r="R879" s="5"/>
      <c r="S879" s="5"/>
      <c r="T879" s="5"/>
      <c r="U879" s="5"/>
      <c r="V879" s="38"/>
      <c r="W879" s="1507"/>
      <c r="X879" s="1507"/>
      <c r="Y879" s="1507"/>
      <c r="Z879" s="1507"/>
      <c r="AA879" s="1507"/>
      <c r="AB879" s="1507"/>
      <c r="AC879" s="1507"/>
      <c r="AU879" s="3"/>
      <c r="AZ879" s="3"/>
      <c r="BA879" s="3"/>
      <c r="BB879" s="3"/>
      <c r="BC879" s="3"/>
    </row>
    <row r="880" spans="3:55" ht="12.95" customHeight="1">
      <c r="J880" s="37" t="s">
        <v>233</v>
      </c>
      <c r="K880" s="5"/>
      <c r="L880" s="5"/>
      <c r="M880" s="1534" t="s">
        <v>1557</v>
      </c>
      <c r="N880" s="1535"/>
      <c r="O880" s="1535"/>
      <c r="P880" s="1535"/>
      <c r="Q880" s="1535"/>
      <c r="R880" s="1535"/>
      <c r="S880" s="1535"/>
      <c r="T880" s="1535"/>
      <c r="U880" s="1535"/>
      <c r="V880" s="1536"/>
      <c r="W880" s="1507">
        <v>29700</v>
      </c>
      <c r="X880" s="1507"/>
      <c r="Y880" s="1507"/>
      <c r="Z880" s="1507"/>
      <c r="AA880" s="1507"/>
      <c r="AB880" s="1507"/>
      <c r="AC880" s="1507"/>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1558</v>
      </c>
      <c r="W881" s="1613">
        <f>SUM(W874:W880)</f>
        <v>72700</v>
      </c>
      <c r="X881" s="1613"/>
      <c r="Y881" s="1613"/>
      <c r="Z881" s="1613"/>
      <c r="AA881" s="1613"/>
      <c r="AB881" s="1613"/>
      <c r="AC881" s="1613"/>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1559</v>
      </c>
      <c r="J883" s="37" t="s">
        <v>233</v>
      </c>
      <c r="K883" s="5"/>
      <c r="L883" s="5"/>
      <c r="M883" s="1534" t="s">
        <v>1560</v>
      </c>
      <c r="N883" s="1535"/>
      <c r="O883" s="1535"/>
      <c r="P883" s="1535"/>
      <c r="Q883" s="1535"/>
      <c r="R883" s="1535"/>
      <c r="S883" s="1535"/>
      <c r="T883" s="1535"/>
      <c r="U883" s="1535"/>
      <c r="V883" s="1536"/>
      <c r="W883" s="1420">
        <v>2400</v>
      </c>
      <c r="X883" s="1421"/>
      <c r="Y883" s="1421"/>
      <c r="Z883" s="1421"/>
      <c r="AA883" s="1421"/>
      <c r="AB883" s="1421"/>
      <c r="AC883" s="1422"/>
      <c r="AD883" s="433"/>
      <c r="AV883" s="13"/>
      <c r="AW883" s="13"/>
      <c r="AX883" s="13"/>
      <c r="AY883" s="13"/>
      <c r="AZ883" s="3"/>
      <c r="BA883" s="3"/>
      <c r="BB883" s="3"/>
      <c r="BC883" s="3"/>
    </row>
    <row r="884" spans="3:55" ht="12.95" customHeight="1">
      <c r="C884" s="2" t="s">
        <v>1561</v>
      </c>
      <c r="J884" s="37" t="s">
        <v>233</v>
      </c>
      <c r="K884" s="5"/>
      <c r="L884" s="5"/>
      <c r="M884" s="1534" t="s">
        <v>1562</v>
      </c>
      <c r="N884" s="1535"/>
      <c r="O884" s="1535"/>
      <c r="P884" s="1535"/>
      <c r="Q884" s="1535"/>
      <c r="R884" s="1535"/>
      <c r="S884" s="1535"/>
      <c r="T884" s="1535"/>
      <c r="U884" s="1535"/>
      <c r="V884" s="1536"/>
      <c r="W884" s="1420">
        <v>30000</v>
      </c>
      <c r="X884" s="1421"/>
      <c r="Y884" s="1421"/>
      <c r="Z884" s="1421"/>
      <c r="AA884" s="1421"/>
      <c r="AB884" s="1421"/>
      <c r="AC884" s="1422"/>
      <c r="AD884" s="433"/>
      <c r="AV884" s="13"/>
      <c r="AW884" s="13"/>
      <c r="AX884" s="13"/>
      <c r="AY884" s="13"/>
      <c r="AZ884" s="3"/>
      <c r="BA884" s="3"/>
      <c r="BB884" s="3"/>
      <c r="BC884" s="3"/>
    </row>
    <row r="885" spans="3:55" ht="12.95" customHeight="1">
      <c r="J885" s="37" t="s">
        <v>233</v>
      </c>
      <c r="K885" s="5"/>
      <c r="L885" s="5"/>
      <c r="M885" s="1534" t="s">
        <v>1563</v>
      </c>
      <c r="N885" s="1535"/>
      <c r="O885" s="1535"/>
      <c r="P885" s="1535"/>
      <c r="Q885" s="1535"/>
      <c r="R885" s="1535"/>
      <c r="S885" s="1535"/>
      <c r="T885" s="1535"/>
      <c r="U885" s="1535"/>
      <c r="V885" s="1536"/>
      <c r="W885" s="1420">
        <v>1600</v>
      </c>
      <c r="X885" s="1421"/>
      <c r="Y885" s="1421"/>
      <c r="Z885" s="1421"/>
      <c r="AA885" s="1421"/>
      <c r="AB885" s="1421"/>
      <c r="AC885" s="1422"/>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34" t="s">
        <v>1335</v>
      </c>
      <c r="N886" s="1535"/>
      <c r="O886" s="1535"/>
      <c r="P886" s="1535"/>
      <c r="Q886" s="1535"/>
      <c r="R886" s="1535"/>
      <c r="S886" s="1535"/>
      <c r="T886" s="1535"/>
      <c r="U886" s="1535"/>
      <c r="V886" s="1536"/>
      <c r="W886" s="1420"/>
      <c r="X886" s="1421"/>
      <c r="Y886" s="1421"/>
      <c r="Z886" s="1421"/>
      <c r="AA886" s="1421"/>
      <c r="AB886" s="1421"/>
      <c r="AC886" s="1422"/>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34" t="s">
        <v>1335</v>
      </c>
      <c r="N887" s="1535"/>
      <c r="O887" s="1535"/>
      <c r="P887" s="1535"/>
      <c r="Q887" s="1535"/>
      <c r="R887" s="1535"/>
      <c r="S887" s="1535"/>
      <c r="T887" s="1535"/>
      <c r="U887" s="1535"/>
      <c r="V887" s="1536"/>
      <c r="W887" s="1420"/>
      <c r="X887" s="1421"/>
      <c r="Y887" s="1421"/>
      <c r="Z887" s="1421"/>
      <c r="AA887" s="1421"/>
      <c r="AB887" s="1421"/>
      <c r="AC887" s="1422"/>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1564</v>
      </c>
      <c r="W888" s="1604">
        <f>SUM(W883:W887)</f>
        <v>34000</v>
      </c>
      <c r="X888" s="1605"/>
      <c r="Y888" s="1605"/>
      <c r="Z888" s="1605"/>
      <c r="AA888" s="1605"/>
      <c r="AB888" s="1605"/>
      <c r="AC888" s="1606"/>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1565</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1566</v>
      </c>
      <c r="AC892" s="1605">
        <f>W855+W863+W870+W872+W881+W888+W857</f>
        <v>293160</v>
      </c>
      <c r="AD892" s="1605"/>
      <c r="AE892" s="1605"/>
      <c r="AF892" s="1605"/>
      <c r="AG892" s="1605"/>
      <c r="AH892" s="1606"/>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1567</v>
      </c>
      <c r="AC893" s="1680">
        <f>O805+O785+G761</f>
        <v>37</v>
      </c>
      <c r="AD893" s="1680"/>
      <c r="AE893" s="1680"/>
      <c r="AF893" s="1680"/>
      <c r="AG893" s="1680"/>
      <c r="AH893" s="1681"/>
      <c r="AL893" s="3"/>
      <c r="AM893" s="3"/>
      <c r="AN893" s="3"/>
      <c r="AO893" s="3"/>
      <c r="AP893" s="3"/>
      <c r="AQ893" s="3"/>
      <c r="AR893" s="3"/>
      <c r="AS893" s="3"/>
      <c r="AT893" s="3"/>
      <c r="AZ893" s="3"/>
      <c r="BA893" s="3"/>
      <c r="BB893" s="3"/>
      <c r="BC893" s="3"/>
    </row>
    <row r="894" spans="3:55" ht="12.95" customHeight="1">
      <c r="C894" s="33"/>
      <c r="D894" s="34"/>
      <c r="E894" s="1674" t="s">
        <v>1568</v>
      </c>
      <c r="F894" s="1674"/>
      <c r="G894" s="1674"/>
      <c r="H894" s="1674"/>
      <c r="I894" s="1674"/>
      <c r="J894" s="1674"/>
      <c r="K894" s="1674"/>
      <c r="L894" s="1674"/>
      <c r="M894" s="1674"/>
      <c r="N894" s="1674"/>
      <c r="O894" s="1674"/>
      <c r="P894" s="1674"/>
      <c r="Q894" s="1674"/>
      <c r="R894" s="1674"/>
      <c r="S894" s="1674"/>
      <c r="T894" s="1674"/>
      <c r="U894" s="1674"/>
      <c r="V894" s="1674"/>
      <c r="W894" s="1674"/>
      <c r="X894" s="1674"/>
      <c r="Y894" s="1674"/>
      <c r="Z894" s="1674"/>
      <c r="AA894" s="1674"/>
      <c r="AB894" s="1675"/>
      <c r="AC894" s="1613">
        <f>IF(ISERROR((ROUNDDOWN(AC892/AC893,0))),0,(ROUNDDOWN(AC892/AC893,0)))</f>
        <v>7923</v>
      </c>
      <c r="AD894" s="1613"/>
      <c r="AE894" s="1613"/>
      <c r="AF894" s="1613"/>
      <c r="AG894" s="1613"/>
      <c r="AH894" s="1613"/>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1569</v>
      </c>
      <c r="AC895" s="1682">
        <v>148000</v>
      </c>
      <c r="AD895" s="1683"/>
      <c r="AE895" s="1683"/>
      <c r="AF895" s="1683"/>
      <c r="AG895" s="1683"/>
      <c r="AH895" s="1683"/>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1570</v>
      </c>
      <c r="AC896" s="1422">
        <v>0</v>
      </c>
      <c r="AD896" s="1507"/>
      <c r="AE896" s="1507"/>
      <c r="AF896" s="1507"/>
      <c r="AG896" s="1507"/>
      <c r="AH896" s="1507"/>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1571</v>
      </c>
      <c r="AC897" s="1421">
        <v>15000</v>
      </c>
      <c r="AD897" s="1421"/>
      <c r="AE897" s="1421"/>
      <c r="AF897" s="1421"/>
      <c r="AG897" s="1421"/>
      <c r="AH897" s="1422"/>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1572</v>
      </c>
      <c r="AC898" s="1421">
        <v>22200</v>
      </c>
      <c r="AD898" s="1421"/>
      <c r="AE898" s="1421"/>
      <c r="AF898" s="1421"/>
      <c r="AG898" s="1421"/>
      <c r="AH898" s="1422"/>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1573</v>
      </c>
      <c r="AC899" s="1504"/>
      <c r="AD899" s="1505"/>
      <c r="AE899" s="1505"/>
      <c r="AF899" s="1505"/>
      <c r="AG899" s="1505"/>
      <c r="AH899" s="1506"/>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1574</v>
      </c>
      <c r="AC900" s="1421">
        <v>2400</v>
      </c>
      <c r="AD900" s="1421"/>
      <c r="AE900" s="1421"/>
      <c r="AF900" s="1421"/>
      <c r="AG900" s="1421"/>
      <c r="AH900" s="1422"/>
      <c r="AZ900" s="3"/>
      <c r="BA900" s="3"/>
      <c r="BB900" s="3"/>
      <c r="BC900" s="3"/>
    </row>
    <row r="901" spans="1:58" ht="12.95" hidden="1" customHeight="1">
      <c r="C901" s="1487" t="s">
        <v>1575</v>
      </c>
      <c r="D901" s="1488"/>
      <c r="E901" s="1488"/>
      <c r="F901" s="1488"/>
      <c r="G901" s="1488"/>
      <c r="H901" s="1488"/>
      <c r="I901" s="1488"/>
      <c r="J901" s="1488"/>
      <c r="K901" s="1488"/>
      <c r="L901" s="1488"/>
      <c r="M901" s="1488"/>
      <c r="N901" s="1488"/>
      <c r="O901" s="1488"/>
      <c r="P901" s="1488"/>
      <c r="Q901" s="1488"/>
      <c r="R901" s="1488"/>
      <c r="S901" s="1488"/>
      <c r="T901" s="1488"/>
      <c r="U901" s="1488"/>
      <c r="V901" s="1488"/>
      <c r="W901" s="1488"/>
      <c r="X901" s="1488"/>
      <c r="Y901" s="1488"/>
      <c r="Z901" s="1488"/>
      <c r="AA901" s="1488"/>
      <c r="AB901" s="1489"/>
      <c r="AC901" s="1421"/>
      <c r="AD901" s="1421"/>
      <c r="AE901" s="1421"/>
      <c r="AF901" s="1421"/>
      <c r="AG901" s="1421"/>
      <c r="AH901" s="1422"/>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1576</v>
      </c>
      <c r="AC902" s="1421"/>
      <c r="AD902" s="1421"/>
      <c r="AE902" s="1421"/>
      <c r="AF902" s="1421"/>
      <c r="AG902" s="1421"/>
      <c r="AH902" s="1422"/>
      <c r="AZ902" s="3"/>
      <c r="BA902" s="3"/>
      <c r="BB902" s="3"/>
      <c r="BC902" s="3"/>
    </row>
    <row r="903" spans="1:58" ht="12.95" customHeight="1">
      <c r="C903" s="1581" t="s">
        <v>1577</v>
      </c>
      <c r="D903" s="1582"/>
      <c r="E903" s="1582"/>
      <c r="F903" s="1582"/>
      <c r="G903" s="1582"/>
      <c r="H903" s="1582"/>
      <c r="I903" s="1582"/>
      <c r="J903" s="1582"/>
      <c r="K903" s="1582"/>
      <c r="L903" s="1582"/>
      <c r="M903" s="1582"/>
      <c r="N903" s="1582"/>
      <c r="O903" s="1582"/>
      <c r="P903" s="1582"/>
      <c r="Q903" s="1582"/>
      <c r="R903" s="1582"/>
      <c r="S903" s="1582"/>
      <c r="T903" s="1582"/>
      <c r="U903" s="1582"/>
      <c r="V903" s="1582"/>
      <c r="W903" s="1582"/>
      <c r="X903" s="1582"/>
      <c r="Y903" s="1582"/>
      <c r="Z903" s="1582"/>
      <c r="AA903" s="1582"/>
      <c r="AB903" s="1583"/>
      <c r="AC903" s="1507"/>
      <c r="AD903" s="1507"/>
      <c r="AE903" s="1507"/>
      <c r="AF903" s="1507"/>
      <c r="AG903" s="1507"/>
      <c r="AH903" s="1507"/>
      <c r="AZ903" s="3"/>
      <c r="BA903" s="3"/>
      <c r="BB903" s="3"/>
      <c r="BC903" s="3"/>
    </row>
    <row r="904" spans="1:58" ht="12.95" customHeight="1">
      <c r="C904" s="1581" t="s">
        <v>1577</v>
      </c>
      <c r="D904" s="1582"/>
      <c r="E904" s="1582"/>
      <c r="F904" s="1582"/>
      <c r="G904" s="1582"/>
      <c r="H904" s="1582"/>
      <c r="I904" s="1582"/>
      <c r="J904" s="1582"/>
      <c r="K904" s="1582"/>
      <c r="L904" s="1582"/>
      <c r="M904" s="1582"/>
      <c r="N904" s="1582"/>
      <c r="O904" s="1582"/>
      <c r="P904" s="1582"/>
      <c r="Q904" s="1582"/>
      <c r="R904" s="1582"/>
      <c r="S904" s="1582"/>
      <c r="T904" s="1582"/>
      <c r="U904" s="1582"/>
      <c r="V904" s="1582"/>
      <c r="W904" s="1582"/>
      <c r="X904" s="1582"/>
      <c r="Y904" s="1582"/>
      <c r="Z904" s="1582"/>
      <c r="AA904" s="1582"/>
      <c r="AB904" s="1583"/>
      <c r="AC904" s="1507"/>
      <c r="AD904" s="1507"/>
      <c r="AE904" s="1507"/>
      <c r="AF904" s="1507"/>
      <c r="AG904" s="1507"/>
      <c r="AH904" s="1507"/>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1292</v>
      </c>
      <c r="C906" s="2" t="s">
        <v>1578</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1579</v>
      </c>
      <c r="I908" s="5"/>
      <c r="J908" s="5"/>
      <c r="K908" s="5"/>
      <c r="L908" s="5"/>
      <c r="M908" s="5"/>
      <c r="N908" s="5"/>
      <c r="O908" s="5"/>
      <c r="P908" s="5"/>
      <c r="Q908" s="5"/>
      <c r="R908" s="5"/>
      <c r="S908" s="5"/>
      <c r="T908" s="5"/>
      <c r="U908" s="5"/>
      <c r="V908" s="5"/>
      <c r="W908" s="5"/>
      <c r="X908" s="5"/>
      <c r="Y908" s="38"/>
      <c r="Z908" s="1420">
        <v>0</v>
      </c>
      <c r="AA908" s="1421"/>
      <c r="AB908" s="1421"/>
      <c r="AC908" s="1421"/>
      <c r="AD908" s="1421"/>
      <c r="AE908" s="1422"/>
      <c r="AF908" s="433"/>
      <c r="AZ908" s="3"/>
      <c r="BB908" s="25"/>
      <c r="BC908" s="712"/>
      <c r="BD908" s="1608"/>
      <c r="BE908" s="1608"/>
      <c r="BF908" s="13"/>
    </row>
    <row r="909" spans="1:58" ht="12.95" customHeight="1">
      <c r="H909" s="87" t="s">
        <v>1580</v>
      </c>
      <c r="I909" s="5"/>
      <c r="J909" s="5"/>
      <c r="K909" s="5"/>
      <c r="L909" s="5"/>
      <c r="M909" s="5"/>
      <c r="N909" s="5"/>
      <c r="O909" s="5"/>
      <c r="P909" s="5"/>
      <c r="Q909" s="5"/>
      <c r="R909" s="5"/>
      <c r="S909" s="5"/>
      <c r="T909" s="5"/>
      <c r="U909" s="5"/>
      <c r="V909" s="5"/>
      <c r="W909" s="5"/>
      <c r="X909" s="5"/>
      <c r="Y909" s="5"/>
      <c r="Z909" s="1420">
        <v>0</v>
      </c>
      <c r="AA909" s="1421"/>
      <c r="AB909" s="1421"/>
      <c r="AC909" s="1421"/>
      <c r="AD909" s="1421"/>
      <c r="AE909" s="1422"/>
      <c r="AZ909" s="3"/>
      <c r="BB909" s="25"/>
      <c r="BC909" s="712"/>
      <c r="BD909" s="1608"/>
      <c r="BE909" s="1608"/>
      <c r="BF909" s="13"/>
    </row>
    <row r="910" spans="1:58" ht="12.95" customHeight="1">
      <c r="H910" s="87" t="s">
        <v>1581</v>
      </c>
      <c r="I910" s="5"/>
      <c r="J910" s="5"/>
      <c r="K910" s="5"/>
      <c r="L910" s="5"/>
      <c r="M910" s="5"/>
      <c r="N910" s="5"/>
      <c r="O910" s="5"/>
      <c r="P910" s="5"/>
      <c r="Q910" s="5"/>
      <c r="R910" s="5"/>
      <c r="S910" s="5"/>
      <c r="T910" s="5"/>
      <c r="U910" s="5"/>
      <c r="V910" s="5"/>
      <c r="W910" s="5"/>
      <c r="X910" s="5"/>
      <c r="Y910" s="5"/>
      <c r="Z910" s="1420">
        <v>0</v>
      </c>
      <c r="AA910" s="1421"/>
      <c r="AB910" s="1421"/>
      <c r="AC910" s="1421"/>
      <c r="AD910" s="1421"/>
      <c r="AE910" s="1422"/>
      <c r="AZ910" s="3"/>
      <c r="BB910" s="25"/>
      <c r="BC910" s="712"/>
      <c r="BD910" s="1309"/>
      <c r="BE910" s="1309"/>
      <c r="BF910" s="13"/>
    </row>
    <row r="911" spans="1:58" ht="12.95" customHeight="1">
      <c r="H911" s="37"/>
      <c r="I911" s="5"/>
      <c r="J911" s="5"/>
      <c r="K911" s="5"/>
      <c r="L911" s="5"/>
      <c r="M911" s="5"/>
      <c r="N911" s="5"/>
      <c r="O911" s="5"/>
      <c r="P911" s="5"/>
      <c r="Q911" s="5"/>
      <c r="R911" s="5"/>
      <c r="S911" s="5"/>
      <c r="T911" s="5"/>
      <c r="U911" s="5"/>
      <c r="V911" s="5"/>
      <c r="W911" s="5"/>
      <c r="X911" s="5"/>
      <c r="Y911" s="125" t="s">
        <v>1582</v>
      </c>
      <c r="Z911" s="1604">
        <f>Z908-(Z909+Z910)</f>
        <v>0</v>
      </c>
      <c r="AA911" s="1605"/>
      <c r="AB911" s="1605"/>
      <c r="AC911" s="1605"/>
      <c r="AD911" s="1605"/>
      <c r="AE911" s="1606"/>
      <c r="AZ911" s="3"/>
      <c r="BB911" s="25"/>
      <c r="BC911" s="712"/>
      <c r="BD911" s="1309"/>
      <c r="BE911" s="1309"/>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309"/>
      <c r="BE912" s="1309"/>
      <c r="BF912" s="13"/>
    </row>
    <row r="913" spans="1:58" ht="12.95" customHeight="1">
      <c r="C913" t="s">
        <v>1583</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608"/>
      <c r="BE913" s="1309"/>
      <c r="BF913" s="13"/>
    </row>
    <row r="914" spans="1:58" ht="12.95" customHeight="1">
      <c r="C914" s="126" t="s">
        <v>1584</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73"/>
      <c r="BE914" s="1673"/>
      <c r="BF914" s="1673"/>
    </row>
    <row r="915" spans="1:58" ht="12.95" customHeight="1">
      <c r="C915" s="126" t="s">
        <v>1585</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619"/>
      <c r="BE915" s="1619"/>
      <c r="BF915" s="1619"/>
    </row>
    <row r="916" spans="1:58" ht="12.95" customHeight="1">
      <c r="C916" s="243" t="s">
        <v>1586</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309"/>
      <c r="BE916" s="1309"/>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608"/>
      <c r="BE917" s="1309"/>
      <c r="BF917" s="13"/>
    </row>
    <row r="918" spans="1:58" ht="12.95" customHeight="1">
      <c r="AZ918" s="3"/>
      <c r="BB918" s="25"/>
      <c r="BC918" s="712"/>
    </row>
    <row r="919" spans="1:58" ht="12.95" customHeight="1">
      <c r="A919" s="1328" t="s">
        <v>1587</v>
      </c>
      <c r="B919" s="1328"/>
      <c r="C919" s="1328"/>
      <c r="D919" s="1328"/>
      <c r="E919" s="1328"/>
      <c r="F919" s="1328"/>
      <c r="G919" s="1328"/>
      <c r="H919" s="1328"/>
      <c r="I919" s="1328"/>
      <c r="J919" s="1328"/>
      <c r="K919" s="1328"/>
      <c r="L919" s="1328"/>
      <c r="M919" s="1328"/>
      <c r="N919" s="1328"/>
      <c r="O919" s="1328"/>
      <c r="P919" s="1328"/>
      <c r="Q919" s="1328"/>
      <c r="R919" s="1328"/>
      <c r="S919" s="1328"/>
      <c r="T919" s="1328"/>
      <c r="U919" s="1328"/>
      <c r="V919" s="1328"/>
      <c r="W919" s="1328"/>
      <c r="X919" s="1328"/>
      <c r="Y919" s="1328"/>
      <c r="Z919" s="1328"/>
      <c r="AA919" s="1328"/>
      <c r="AB919" s="1328"/>
      <c r="AC919" s="1328"/>
      <c r="AD919" s="1328"/>
      <c r="AE919" s="1328"/>
      <c r="AF919" s="1328"/>
      <c r="AG919" s="1328"/>
      <c r="AH919" s="1328"/>
      <c r="AI919" s="1328"/>
      <c r="AJ919" s="1328"/>
      <c r="AK919" s="1328"/>
      <c r="AL919" s="1328"/>
      <c r="AM919" s="1328"/>
      <c r="AN919" s="1328"/>
      <c r="AO919" s="1328"/>
      <c r="AP919" s="1328"/>
      <c r="AQ919" s="1328"/>
      <c r="AR919" s="1328"/>
      <c r="AS919" s="1328"/>
      <c r="AT919" s="1328"/>
      <c r="AZ919" s="3"/>
      <c r="BA919" s="3"/>
      <c r="BB919" s="25"/>
      <c r="BC919" s="25"/>
      <c r="BD919" s="1608"/>
      <c r="BE919" s="1309"/>
      <c r="BF919" s="803"/>
    </row>
    <row r="920" spans="1:58" ht="12.95" customHeight="1">
      <c r="A920" s="1328"/>
      <c r="B920" s="1328"/>
      <c r="C920" s="1328"/>
      <c r="D920" s="1328"/>
      <c r="E920" s="1328"/>
      <c r="F920" s="1328"/>
      <c r="G920" s="1328"/>
      <c r="H920" s="1328"/>
      <c r="I920" s="1328"/>
      <c r="J920" s="1328"/>
      <c r="K920" s="1328"/>
      <c r="L920" s="1328"/>
      <c r="M920" s="1328"/>
      <c r="N920" s="1328"/>
      <c r="O920" s="1328"/>
      <c r="P920" s="1328"/>
      <c r="Q920" s="1328"/>
      <c r="R920" s="1328"/>
      <c r="S920" s="1328"/>
      <c r="T920" s="1328"/>
      <c r="U920" s="1328"/>
      <c r="V920" s="1328"/>
      <c r="W920" s="1328"/>
      <c r="X920" s="1328"/>
      <c r="Y920" s="1328"/>
      <c r="Z920" s="1328"/>
      <c r="AA920" s="1328"/>
      <c r="AB920" s="1328"/>
      <c r="AC920" s="1328"/>
      <c r="AD920" s="1328"/>
      <c r="AE920" s="1328"/>
      <c r="AF920" s="1328"/>
      <c r="AG920" s="1328"/>
      <c r="AH920" s="1328"/>
      <c r="AI920" s="1328"/>
      <c r="AJ920" s="1328"/>
      <c r="AK920" s="1328"/>
      <c r="AL920" s="1328"/>
      <c r="AM920" s="1328"/>
      <c r="AN920" s="1328"/>
      <c r="AO920" s="1328"/>
      <c r="AP920" s="1328"/>
      <c r="AQ920" s="1328"/>
      <c r="AR920" s="1328"/>
      <c r="AS920" s="1328"/>
      <c r="AT920" s="1328"/>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885</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77" t="s">
        <v>1588</v>
      </c>
      <c r="G924" s="1678"/>
      <c r="H924" s="1678"/>
      <c r="I924" s="1678"/>
      <c r="J924" s="1678"/>
      <c r="K924" s="1678"/>
      <c r="L924" s="1678"/>
      <c r="M924" s="1678"/>
      <c r="N924" s="1678"/>
      <c r="O924" s="1678"/>
      <c r="P924" s="1678"/>
      <c r="Q924" s="1678"/>
      <c r="R924" s="1678"/>
      <c r="S924" s="1678"/>
      <c r="T924" s="1679"/>
      <c r="U924" s="1560" t="s">
        <v>1589</v>
      </c>
      <c r="V924" s="1561"/>
      <c r="W924" s="1561"/>
      <c r="X924" s="1561"/>
      <c r="Y924" s="1561"/>
      <c r="Z924" s="1561"/>
      <c r="AA924" s="35"/>
      <c r="AB924" s="216"/>
      <c r="AC924" s="216"/>
      <c r="AD924" s="216"/>
      <c r="AE924" s="216"/>
      <c r="AF924" s="1179"/>
      <c r="AZ924" s="3"/>
      <c r="BA924" s="3"/>
      <c r="BB924" s="3"/>
      <c r="BC924" s="3"/>
    </row>
    <row r="925" spans="1:58" ht="12.95" customHeight="1">
      <c r="B925" s="2"/>
      <c r="F925" s="1562" t="s">
        <v>1590</v>
      </c>
      <c r="G925" s="1563"/>
      <c r="H925" s="1563"/>
      <c r="I925" s="1563"/>
      <c r="J925" s="1563"/>
      <c r="K925" s="1563"/>
      <c r="L925" s="1563"/>
      <c r="M925" s="1563"/>
      <c r="N925" s="1563"/>
      <c r="O925" s="1563"/>
      <c r="P925" s="1563"/>
      <c r="Q925" s="1563"/>
      <c r="R925" s="1563"/>
      <c r="S925" s="1563"/>
      <c r="T925" s="1595"/>
      <c r="U925" s="1562"/>
      <c r="V925" s="1563"/>
      <c r="W925" s="1563"/>
      <c r="X925" s="1563"/>
      <c r="Y925" s="1563"/>
      <c r="Z925" s="1563"/>
      <c r="AA925" s="36"/>
      <c r="AB925" s="3"/>
      <c r="AC925" s="3"/>
      <c r="AD925" s="3"/>
      <c r="AE925" s="3"/>
      <c r="AF925" s="1180"/>
      <c r="AZ925" s="3"/>
      <c r="BA925" s="3"/>
      <c r="BB925" s="3"/>
      <c r="BC925" s="3"/>
    </row>
    <row r="926" spans="1:58" ht="12.95" customHeight="1">
      <c r="B926" s="2"/>
      <c r="F926" s="1564"/>
      <c r="G926" s="1565"/>
      <c r="H926" s="1565"/>
      <c r="I926" s="1565"/>
      <c r="J926" s="1565"/>
      <c r="K926" s="1565"/>
      <c r="L926" s="1565"/>
      <c r="M926" s="1565"/>
      <c r="N926" s="1565"/>
      <c r="O926" s="1565"/>
      <c r="P926" s="1565"/>
      <c r="Q926" s="1565"/>
      <c r="R926" s="1565"/>
      <c r="S926" s="1565"/>
      <c r="T926" s="1576"/>
      <c r="U926" s="1564"/>
      <c r="V926" s="1565"/>
      <c r="W926" s="1565"/>
      <c r="X926" s="1565"/>
      <c r="Y926" s="1565"/>
      <c r="Z926" s="1565"/>
      <c r="AA926" s="789"/>
      <c r="AB926" s="1491" t="s">
        <v>1591</v>
      </c>
      <c r="AC926" s="1491"/>
      <c r="AD926" s="1491"/>
      <c r="AE926" s="1491"/>
      <c r="AF926" s="1181"/>
      <c r="AZ926" s="3"/>
      <c r="BA926" s="3"/>
      <c r="BB926" s="3"/>
      <c r="BC926" s="3"/>
    </row>
    <row r="927" spans="1:58" ht="12.95" customHeight="1">
      <c r="B927" s="2"/>
      <c r="F927" s="37" t="s">
        <v>1592</v>
      </c>
      <c r="G927" s="40"/>
      <c r="H927" s="40"/>
      <c r="I927" s="40"/>
      <c r="J927" s="40"/>
      <c r="K927" s="40"/>
      <c r="L927" s="40"/>
      <c r="M927" s="40"/>
      <c r="N927" s="40"/>
      <c r="O927" s="40"/>
      <c r="P927" s="40"/>
      <c r="Q927" s="40"/>
      <c r="R927" s="40"/>
      <c r="S927" s="40"/>
      <c r="T927" s="41"/>
      <c r="U927" s="1541" t="s">
        <v>860</v>
      </c>
      <c r="V927" s="1492"/>
      <c r="W927" s="1492"/>
      <c r="X927" s="1492"/>
      <c r="Y927" s="1492"/>
      <c r="Z927" s="1493"/>
      <c r="AA927" s="1393">
        <v>5000000</v>
      </c>
      <c r="AB927" s="1394"/>
      <c r="AC927" s="1394"/>
      <c r="AD927" s="1394"/>
      <c r="AE927" s="1394"/>
      <c r="AF927" s="1395"/>
      <c r="AG927" s="1080" t="str">
        <f>IF(NOT(AA927=AW927),"!","")</f>
        <v/>
      </c>
      <c r="AH927" s="3"/>
      <c r="AW927" s="1307">
        <f>SUMIF($M$562:$M$573,"Loan, Tax-Exempt",$AM$562:$AM$573)</f>
        <v>5000000</v>
      </c>
      <c r="AX927" s="1307"/>
      <c r="AY927" s="1307"/>
      <c r="AZ927" s="3" t="s">
        <v>1593</v>
      </c>
      <c r="BA927" s="3"/>
      <c r="BB927" s="3"/>
      <c r="BC927" s="3"/>
    </row>
    <row r="928" spans="1:58" ht="12.95" customHeight="1">
      <c r="B928" s="2"/>
      <c r="F928" s="87" t="s">
        <v>1594</v>
      </c>
      <c r="G928" s="40"/>
      <c r="H928" s="40"/>
      <c r="I928" s="40"/>
      <c r="J928" s="40"/>
      <c r="K928" s="40"/>
      <c r="L928" s="40"/>
      <c r="M928" s="40"/>
      <c r="N928" s="40"/>
      <c r="O928" s="40"/>
      <c r="P928" s="40"/>
      <c r="Q928" s="40"/>
      <c r="R928" s="40"/>
      <c r="S928" s="40"/>
      <c r="T928" s="41"/>
      <c r="U928" s="1541" t="s">
        <v>860</v>
      </c>
      <c r="V928" s="1492"/>
      <c r="W928" s="1492"/>
      <c r="X928" s="1492"/>
      <c r="Y928" s="1492"/>
      <c r="Z928" s="1493"/>
      <c r="AA928" s="1393">
        <v>2000000</v>
      </c>
      <c r="AB928" s="1394"/>
      <c r="AC928" s="1394"/>
      <c r="AD928" s="1394"/>
      <c r="AE928" s="1394"/>
      <c r="AF928" s="1395"/>
      <c r="AZ928" s="3"/>
      <c r="BA928" s="3"/>
      <c r="BB928" s="3"/>
      <c r="BC928" s="3"/>
    </row>
    <row r="929" spans="6:55" ht="12.95" customHeight="1">
      <c r="F929" s="37" t="s">
        <v>1595</v>
      </c>
      <c r="G929" s="5"/>
      <c r="H929" s="5"/>
      <c r="I929" s="5"/>
      <c r="J929" s="5"/>
      <c r="K929" s="5"/>
      <c r="L929" s="5"/>
      <c r="M929" s="5"/>
      <c r="N929" s="5"/>
      <c r="O929" s="5"/>
      <c r="P929" s="5"/>
      <c r="Q929" s="5"/>
      <c r="R929" s="5"/>
      <c r="S929" s="5"/>
      <c r="T929" s="38"/>
      <c r="U929" s="1541" t="s">
        <v>826</v>
      </c>
      <c r="V929" s="1492"/>
      <c r="W929" s="1492"/>
      <c r="X929" s="1492"/>
      <c r="Y929" s="1492"/>
      <c r="Z929" s="1493"/>
      <c r="AA929" s="1393"/>
      <c r="AB929" s="1394"/>
      <c r="AC929" s="1394"/>
      <c r="AD929" s="1394"/>
      <c r="AE929" s="1394"/>
      <c r="AF929" s="1395"/>
      <c r="AZ929" s="3"/>
      <c r="BA929" s="3"/>
      <c r="BB929" s="3"/>
      <c r="BC929" s="3"/>
    </row>
    <row r="930" spans="6:55" ht="12.95" customHeight="1">
      <c r="F930" s="37" t="s">
        <v>1596</v>
      </c>
      <c r="G930" s="5"/>
      <c r="H930" s="5"/>
      <c r="I930" s="5"/>
      <c r="J930" s="5"/>
      <c r="K930" s="5"/>
      <c r="L930" s="5"/>
      <c r="M930" s="5"/>
      <c r="N930" s="5"/>
      <c r="O930" s="5"/>
      <c r="P930" s="5"/>
      <c r="Q930" s="5"/>
      <c r="R930" s="5"/>
      <c r="S930" s="5"/>
      <c r="T930" s="38"/>
      <c r="U930" s="1541" t="s">
        <v>826</v>
      </c>
      <c r="V930" s="1492"/>
      <c r="W930" s="1492"/>
      <c r="X930" s="1492"/>
      <c r="Y930" s="1492"/>
      <c r="Z930" s="1493"/>
      <c r="AA930" s="1393"/>
      <c r="AB930" s="1394"/>
      <c r="AC930" s="1394"/>
      <c r="AD930" s="1394"/>
      <c r="AE930" s="1394"/>
      <c r="AF930" s="1395"/>
      <c r="AZ930" s="3"/>
      <c r="BA930" s="3"/>
      <c r="BB930" s="3"/>
      <c r="BC930" s="3"/>
    </row>
    <row r="931" spans="6:55" ht="12.95" customHeight="1">
      <c r="F931" s="87" t="s">
        <v>1597</v>
      </c>
      <c r="G931" s="5"/>
      <c r="H931" s="5"/>
      <c r="I931" s="5"/>
      <c r="J931" s="5"/>
      <c r="K931" s="5"/>
      <c r="L931" s="5"/>
      <c r="M931" s="5"/>
      <c r="N931" s="5"/>
      <c r="O931" s="5"/>
      <c r="P931" s="5"/>
      <c r="Q931" s="5"/>
      <c r="R931" s="5"/>
      <c r="S931" s="5"/>
      <c r="T931" s="38"/>
      <c r="U931" s="1541" t="s">
        <v>826</v>
      </c>
      <c r="V931" s="1492"/>
      <c r="W931" s="1492"/>
      <c r="X931" s="1492"/>
      <c r="Y931" s="1492"/>
      <c r="Z931" s="1493"/>
      <c r="AA931" s="1393"/>
      <c r="AB931" s="1394"/>
      <c r="AC931" s="1394"/>
      <c r="AD931" s="1394"/>
      <c r="AE931" s="1394"/>
      <c r="AF931" s="1395"/>
      <c r="AZ931" s="3"/>
      <c r="BA931" s="3"/>
      <c r="BB931" s="3"/>
      <c r="BC931" s="3"/>
    </row>
    <row r="932" spans="6:55" ht="12.95" customHeight="1">
      <c r="F932" s="87" t="s">
        <v>1598</v>
      </c>
      <c r="G932" s="5"/>
      <c r="H932" s="5"/>
      <c r="I932" s="5"/>
      <c r="J932" s="5"/>
      <c r="K932" s="5"/>
      <c r="L932" s="5"/>
      <c r="M932" s="5"/>
      <c r="N932" s="5"/>
      <c r="O932" s="5"/>
      <c r="P932" s="5"/>
      <c r="Q932" s="5"/>
      <c r="R932" s="5"/>
      <c r="S932" s="5"/>
      <c r="T932" s="38"/>
      <c r="U932" s="1541" t="s">
        <v>826</v>
      </c>
      <c r="V932" s="1492"/>
      <c r="W932" s="1492"/>
      <c r="X932" s="1492"/>
      <c r="Y932" s="1492"/>
      <c r="Z932" s="1493"/>
      <c r="AA932" s="1393"/>
      <c r="AB932" s="1394"/>
      <c r="AC932" s="1394"/>
      <c r="AD932" s="1394"/>
      <c r="AE932" s="1394"/>
      <c r="AF932" s="1395"/>
      <c r="AZ932" s="3"/>
      <c r="BA932" s="3"/>
      <c r="BB932" s="3"/>
      <c r="BC932" s="3"/>
    </row>
    <row r="933" spans="6:55" ht="12.95" customHeight="1">
      <c r="F933" s="87" t="s">
        <v>1599</v>
      </c>
      <c r="G933" s="5"/>
      <c r="H933" s="5"/>
      <c r="I933" s="5"/>
      <c r="J933" s="5"/>
      <c r="K933" s="5"/>
      <c r="L933" s="5"/>
      <c r="M933" s="5"/>
      <c r="N933" s="5"/>
      <c r="O933" s="5"/>
      <c r="P933" s="5"/>
      <c r="Q933" s="5"/>
      <c r="R933" s="5"/>
      <c r="S933" s="5"/>
      <c r="T933" s="38"/>
      <c r="U933" s="1541" t="s">
        <v>826</v>
      </c>
      <c r="V933" s="1492"/>
      <c r="W933" s="1492"/>
      <c r="X933" s="1492"/>
      <c r="Y933" s="1492"/>
      <c r="Z933" s="1493"/>
      <c r="AA933" s="1393"/>
      <c r="AB933" s="1394"/>
      <c r="AC933" s="1394"/>
      <c r="AD933" s="1394"/>
      <c r="AE933" s="1394"/>
      <c r="AF933" s="1395"/>
      <c r="AZ933" s="3"/>
      <c r="BA933" s="3"/>
      <c r="BB933" s="3"/>
      <c r="BC933" s="3"/>
    </row>
    <row r="934" spans="6:55" ht="12.95" customHeight="1">
      <c r="F934" s="37" t="s">
        <v>1600</v>
      </c>
      <c r="G934" s="5"/>
      <c r="H934" s="5"/>
      <c r="I934" s="5"/>
      <c r="J934" s="5"/>
      <c r="K934" s="5"/>
      <c r="L934" s="5"/>
      <c r="M934" s="5"/>
      <c r="N934" s="5"/>
      <c r="O934" s="5"/>
      <c r="P934" s="5"/>
      <c r="Q934" s="5"/>
      <c r="R934" s="5"/>
      <c r="S934" s="5"/>
      <c r="T934" s="38"/>
      <c r="U934" s="1541" t="s">
        <v>826</v>
      </c>
      <c r="V934" s="1492"/>
      <c r="W934" s="1492"/>
      <c r="X934" s="1492"/>
      <c r="Y934" s="1492"/>
      <c r="Z934" s="1493"/>
      <c r="AA934" s="1393"/>
      <c r="AB934" s="1394"/>
      <c r="AC934" s="1394"/>
      <c r="AD934" s="1394"/>
      <c r="AE934" s="1394"/>
      <c r="AF934" s="1395"/>
      <c r="AZ934" s="3"/>
      <c r="BA934" s="3"/>
      <c r="BB934" s="3"/>
      <c r="BC934" s="3"/>
    </row>
    <row r="935" spans="6:55" ht="12.95" customHeight="1">
      <c r="F935" s="1538" t="s">
        <v>1601</v>
      </c>
      <c r="G935" s="1539"/>
      <c r="H935" s="1539"/>
      <c r="I935" s="1539"/>
      <c r="J935" s="1539"/>
      <c r="K935" s="1539"/>
      <c r="L935" s="1539"/>
      <c r="M935" s="1539"/>
      <c r="N935" s="1539"/>
      <c r="O935" s="1539"/>
      <c r="P935" s="1539"/>
      <c r="Q935" s="1539"/>
      <c r="R935" s="1539"/>
      <c r="S935" s="1539"/>
      <c r="T935" s="1540"/>
      <c r="U935" s="1541" t="s">
        <v>826</v>
      </c>
      <c r="V935" s="1492"/>
      <c r="W935" s="1492"/>
      <c r="X935" s="1492"/>
      <c r="Y935" s="1492"/>
      <c r="Z935" s="1493"/>
      <c r="AA935" s="1393"/>
      <c r="AB935" s="1394"/>
      <c r="AC935" s="1394"/>
      <c r="AD935" s="1394"/>
      <c r="AE935" s="1394"/>
      <c r="AF935" s="1395"/>
      <c r="AZ935" s="3"/>
      <c r="BA935" s="3"/>
      <c r="BB935" s="3"/>
      <c r="BC935" s="3"/>
    </row>
    <row r="936" spans="6:55" ht="12.95" customHeight="1">
      <c r="F936" s="1538" t="s">
        <v>1602</v>
      </c>
      <c r="G936" s="1539"/>
      <c r="H936" s="1539"/>
      <c r="I936" s="1539"/>
      <c r="J936" s="1539"/>
      <c r="K936" s="1539"/>
      <c r="L936" s="1539"/>
      <c r="M936" s="1539"/>
      <c r="N936" s="1539"/>
      <c r="O936" s="1539"/>
      <c r="P936" s="1539"/>
      <c r="Q936" s="1539"/>
      <c r="R936" s="1539"/>
      <c r="S936" s="1539"/>
      <c r="T936" s="1540"/>
      <c r="U936" s="1541" t="s">
        <v>826</v>
      </c>
      <c r="V936" s="1492"/>
      <c r="W936" s="1492"/>
      <c r="X936" s="1492"/>
      <c r="Y936" s="1492"/>
      <c r="Z936" s="1493"/>
      <c r="AA936" s="1393"/>
      <c r="AB936" s="1394"/>
      <c r="AC936" s="1394"/>
      <c r="AD936" s="1394"/>
      <c r="AE936" s="1394"/>
      <c r="AF936" s="1395"/>
      <c r="AU936" s="2"/>
      <c r="AZ936" s="3"/>
      <c r="BA936" s="3"/>
      <c r="BB936" s="3"/>
      <c r="BC936" s="3"/>
    </row>
    <row r="937" spans="6:55" ht="12.95" customHeight="1">
      <c r="F937" s="1538" t="s">
        <v>1603</v>
      </c>
      <c r="G937" s="1539"/>
      <c r="H937" s="1539"/>
      <c r="I937" s="1539"/>
      <c r="J937" s="1539"/>
      <c r="K937" s="1539"/>
      <c r="L937" s="1539"/>
      <c r="M937" s="1539"/>
      <c r="N937" s="1539"/>
      <c r="O937" s="1539"/>
      <c r="P937" s="1539"/>
      <c r="Q937" s="1539"/>
      <c r="R937" s="1539"/>
      <c r="S937" s="1539"/>
      <c r="T937" s="1540"/>
      <c r="U937" s="1541" t="s">
        <v>826</v>
      </c>
      <c r="V937" s="1492"/>
      <c r="W937" s="1492"/>
      <c r="X937" s="1492"/>
      <c r="Y937" s="1492"/>
      <c r="Z937" s="1493"/>
      <c r="AA937" s="1393"/>
      <c r="AB937" s="1394"/>
      <c r="AC937" s="1394"/>
      <c r="AD937" s="1394"/>
      <c r="AE937" s="1394"/>
      <c r="AF937" s="1395"/>
      <c r="AU937" s="2"/>
      <c r="AZ937" s="3"/>
      <c r="BA937" s="3"/>
      <c r="BB937" s="3"/>
      <c r="BC937" s="3"/>
    </row>
    <row r="938" spans="6:55" ht="12.95" customHeight="1">
      <c r="F938" s="1538" t="s">
        <v>1604</v>
      </c>
      <c r="G938" s="1539"/>
      <c r="H938" s="1539"/>
      <c r="I938" s="1539"/>
      <c r="J938" s="1539"/>
      <c r="K938" s="1539"/>
      <c r="L938" s="1539"/>
      <c r="M938" s="1539"/>
      <c r="N938" s="1539"/>
      <c r="O938" s="1539"/>
      <c r="P938" s="1539"/>
      <c r="Q938" s="1539"/>
      <c r="R938" s="1539"/>
      <c r="S938" s="1539"/>
      <c r="T938" s="1540"/>
      <c r="U938" s="1541" t="s">
        <v>826</v>
      </c>
      <c r="V938" s="1492"/>
      <c r="W938" s="1492"/>
      <c r="X938" s="1492"/>
      <c r="Y938" s="1492"/>
      <c r="Z938" s="1493"/>
      <c r="AA938" s="1393"/>
      <c r="AB938" s="1394"/>
      <c r="AC938" s="1394"/>
      <c r="AD938" s="1394"/>
      <c r="AE938" s="1394"/>
      <c r="AF938" s="1395"/>
      <c r="AU938" s="2"/>
      <c r="AZ938" s="3"/>
      <c r="BA938" s="3"/>
      <c r="BB938" s="3"/>
      <c r="BC938" s="3"/>
    </row>
    <row r="939" spans="6:55" ht="12.95" customHeight="1">
      <c r="F939" s="1538" t="s">
        <v>1605</v>
      </c>
      <c r="G939" s="1539"/>
      <c r="H939" s="1539"/>
      <c r="I939" s="1539"/>
      <c r="J939" s="1539"/>
      <c r="K939" s="1539"/>
      <c r="L939" s="1539"/>
      <c r="M939" s="1539"/>
      <c r="N939" s="1539"/>
      <c r="O939" s="1539"/>
      <c r="P939" s="1539"/>
      <c r="Q939" s="1539"/>
      <c r="R939" s="1539"/>
      <c r="S939" s="1539"/>
      <c r="T939" s="1540"/>
      <c r="U939" s="1541" t="s">
        <v>826</v>
      </c>
      <c r="V939" s="1492"/>
      <c r="W939" s="1492"/>
      <c r="X939" s="1492"/>
      <c r="Y939" s="1492"/>
      <c r="Z939" s="1493"/>
      <c r="AA939" s="1393"/>
      <c r="AB939" s="1394"/>
      <c r="AC939" s="1394"/>
      <c r="AD939" s="1394"/>
      <c r="AE939" s="1394"/>
      <c r="AF939" s="1395"/>
      <c r="AU939" s="2"/>
      <c r="AZ939" s="3"/>
      <c r="BA939" s="3"/>
      <c r="BB939" s="3"/>
      <c r="BC939" s="3"/>
    </row>
    <row r="940" spans="6:55" ht="12.95" customHeight="1">
      <c r="F940" s="1538" t="s">
        <v>1606</v>
      </c>
      <c r="G940" s="1539"/>
      <c r="H940" s="1539"/>
      <c r="I940" s="1539"/>
      <c r="J940" s="1539"/>
      <c r="K940" s="1539"/>
      <c r="L940" s="1539"/>
      <c r="M940" s="1539"/>
      <c r="N940" s="1539"/>
      <c r="O940" s="1539"/>
      <c r="P940" s="1539"/>
      <c r="Q940" s="1539"/>
      <c r="R940" s="1539"/>
      <c r="S940" s="1539"/>
      <c r="T940" s="1540"/>
      <c r="U940" s="1541" t="s">
        <v>826</v>
      </c>
      <c r="V940" s="1492"/>
      <c r="W940" s="1492"/>
      <c r="X940" s="1492"/>
      <c r="Y940" s="1492"/>
      <c r="Z940" s="1493"/>
      <c r="AA940" s="1393"/>
      <c r="AB940" s="1394"/>
      <c r="AC940" s="1394"/>
      <c r="AD940" s="1394"/>
      <c r="AE940" s="1394"/>
      <c r="AF940" s="1395"/>
      <c r="AU940" s="2"/>
      <c r="AZ940" s="3"/>
      <c r="BA940" s="3"/>
      <c r="BB940" s="3"/>
      <c r="BC940" s="3"/>
    </row>
    <row r="941" spans="6:55" ht="12.95" customHeight="1">
      <c r="F941" s="1538" t="s">
        <v>1607</v>
      </c>
      <c r="G941" s="1539"/>
      <c r="H941" s="1539"/>
      <c r="I941" s="1539"/>
      <c r="J941" s="1539"/>
      <c r="K941" s="1539"/>
      <c r="L941" s="1539"/>
      <c r="M941" s="1539"/>
      <c r="N941" s="1539"/>
      <c r="O941" s="1539"/>
      <c r="P941" s="1539"/>
      <c r="Q941" s="1539"/>
      <c r="R941" s="1539"/>
      <c r="S941" s="1539"/>
      <c r="T941" s="1540"/>
      <c r="U941" s="1541" t="s">
        <v>826</v>
      </c>
      <c r="V941" s="1492"/>
      <c r="W941" s="1492"/>
      <c r="X941" s="1492"/>
      <c r="Y941" s="1492"/>
      <c r="Z941" s="1493"/>
      <c r="AA941" s="1393"/>
      <c r="AB941" s="1394"/>
      <c r="AC941" s="1394"/>
      <c r="AD941" s="1394"/>
      <c r="AE941" s="1394"/>
      <c r="AF941" s="1395"/>
      <c r="AZ941" s="25"/>
      <c r="BA941" s="25"/>
    </row>
    <row r="942" spans="6:55" ht="12.95" customHeight="1">
      <c r="F942" s="123" t="s">
        <v>1608</v>
      </c>
      <c r="G942" s="5"/>
      <c r="H942" s="5"/>
      <c r="I942" s="5"/>
      <c r="J942" s="5"/>
      <c r="K942" s="5"/>
      <c r="L942" s="5"/>
      <c r="M942" s="5"/>
      <c r="N942" s="5"/>
      <c r="O942" s="5"/>
      <c r="P942" s="5"/>
      <c r="Q942" s="5"/>
      <c r="R942" s="5"/>
      <c r="S942" s="5"/>
      <c r="T942" s="38"/>
      <c r="U942" s="1541" t="s">
        <v>826</v>
      </c>
      <c r="V942" s="1492"/>
      <c r="W942" s="1492"/>
      <c r="X942" s="1492"/>
      <c r="Y942" s="1492"/>
      <c r="Z942" s="1493"/>
      <c r="AA942" s="1393"/>
      <c r="AB942" s="1394"/>
      <c r="AC942" s="1394"/>
      <c r="AD942" s="1394"/>
      <c r="AE942" s="1394"/>
      <c r="AF942" s="1395"/>
    </row>
    <row r="943" spans="6:55" ht="12.95" customHeight="1">
      <c r="F943" s="87" t="s">
        <v>1609</v>
      </c>
      <c r="G943" s="5"/>
      <c r="H943" s="5"/>
      <c r="I943" s="5"/>
      <c r="J943" s="5"/>
      <c r="K943" s="5"/>
      <c r="L943" s="5"/>
      <c r="M943" s="5"/>
      <c r="N943" s="5"/>
      <c r="O943" s="5"/>
      <c r="P943" s="5"/>
      <c r="Q943" s="5"/>
      <c r="R943" s="5"/>
      <c r="S943" s="5"/>
      <c r="T943" s="38"/>
      <c r="U943" s="1541" t="s">
        <v>826</v>
      </c>
      <c r="V943" s="1492"/>
      <c r="W943" s="1492"/>
      <c r="X943" s="1492"/>
      <c r="Y943" s="1492"/>
      <c r="Z943" s="1493"/>
      <c r="AA943" s="1393"/>
      <c r="AB943" s="1394"/>
      <c r="AC943" s="1394"/>
      <c r="AD943" s="1394"/>
      <c r="AE943" s="1394"/>
      <c r="AF943" s="1395"/>
      <c r="AZ943" s="25"/>
      <c r="BA943" s="13"/>
    </row>
    <row r="944" spans="6:55" ht="12.95" customHeight="1">
      <c r="F944" s="87" t="s">
        <v>1610</v>
      </c>
      <c r="G944" s="5"/>
      <c r="H944" s="5"/>
      <c r="I944" s="5"/>
      <c r="J944" s="5"/>
      <c r="K944" s="5"/>
      <c r="L944" s="5"/>
      <c r="M944" s="5"/>
      <c r="N944" s="5"/>
      <c r="O944" s="5"/>
      <c r="P944" s="5"/>
      <c r="Q944" s="5"/>
      <c r="R944" s="5"/>
      <c r="S944" s="5"/>
      <c r="T944" s="38"/>
      <c r="U944" s="1541" t="s">
        <v>826</v>
      </c>
      <c r="V944" s="1492"/>
      <c r="W944" s="1492"/>
      <c r="X944" s="1492"/>
      <c r="Y944" s="1492"/>
      <c r="Z944" s="1493"/>
      <c r="AA944" s="1393"/>
      <c r="AB944" s="1394"/>
      <c r="AC944" s="1394"/>
      <c r="AD944" s="1394"/>
      <c r="AE944" s="1394"/>
      <c r="AF944" s="1395"/>
      <c r="AZ944" s="25"/>
      <c r="BA944" s="13"/>
    </row>
    <row r="945" spans="6:55" ht="12.95" customHeight="1">
      <c r="F945" s="1542" t="s">
        <v>1611</v>
      </c>
      <c r="G945" s="1543"/>
      <c r="H945" s="1543"/>
      <c r="I945" s="1543"/>
      <c r="J945" s="1543"/>
      <c r="K945" s="1543"/>
      <c r="L945" s="1543"/>
      <c r="M945" s="1543"/>
      <c r="N945" s="1543"/>
      <c r="O945" s="1543"/>
      <c r="P945" s="1543"/>
      <c r="Q945" s="1543"/>
      <c r="R945" s="1543"/>
      <c r="S945" s="1543"/>
      <c r="T945" s="1544"/>
      <c r="U945" s="1541" t="s">
        <v>826</v>
      </c>
      <c r="V945" s="1492"/>
      <c r="W945" s="1492"/>
      <c r="X945" s="1492"/>
      <c r="Y945" s="1492"/>
      <c r="Z945" s="1493"/>
      <c r="AA945" s="1393"/>
      <c r="AB945" s="1394"/>
      <c r="AC945" s="1394"/>
      <c r="AD945" s="1394"/>
      <c r="AE945" s="1394"/>
      <c r="AF945" s="1395"/>
      <c r="AZ945" s="25"/>
      <c r="BA945" s="13"/>
    </row>
    <row r="946" spans="6:55" ht="12.95" customHeight="1">
      <c r="F946" s="1542" t="s">
        <v>1612</v>
      </c>
      <c r="G946" s="1543"/>
      <c r="H946" s="1543"/>
      <c r="I946" s="1543"/>
      <c r="J946" s="1543"/>
      <c r="K946" s="1543"/>
      <c r="L946" s="1543"/>
      <c r="M946" s="1543"/>
      <c r="N946" s="1543"/>
      <c r="O946" s="1543"/>
      <c r="P946" s="1543"/>
      <c r="Q946" s="1543"/>
      <c r="R946" s="1543"/>
      <c r="S946" s="1543"/>
      <c r="T946" s="1544"/>
      <c r="U946" s="1541" t="s">
        <v>826</v>
      </c>
      <c r="V946" s="1492"/>
      <c r="W946" s="1492"/>
      <c r="X946" s="1492"/>
      <c r="Y946" s="1492"/>
      <c r="Z946" s="1493"/>
      <c r="AA946" s="1393"/>
      <c r="AB946" s="1394"/>
      <c r="AC946" s="1394"/>
      <c r="AD946" s="1394"/>
      <c r="AE946" s="1394"/>
      <c r="AF946" s="1395"/>
      <c r="AZ946" s="25"/>
      <c r="BA946" s="25"/>
    </row>
    <row r="947" spans="6:55" ht="12.95" customHeight="1">
      <c r="F947" s="1538" t="s">
        <v>1613</v>
      </c>
      <c r="G947" s="1539"/>
      <c r="H947" s="1539"/>
      <c r="I947" s="1539"/>
      <c r="J947" s="1539"/>
      <c r="K947" s="1539"/>
      <c r="L947" s="1539"/>
      <c r="M947" s="1539"/>
      <c r="N947" s="1539"/>
      <c r="O947" s="1539"/>
      <c r="P947" s="1539"/>
      <c r="Q947" s="1539"/>
      <c r="R947" s="1539"/>
      <c r="S947" s="1539"/>
      <c r="T947" s="1540"/>
      <c r="U947" s="1541" t="s">
        <v>826</v>
      </c>
      <c r="V947" s="1492"/>
      <c r="W947" s="1492"/>
      <c r="X947" s="1492"/>
      <c r="Y947" s="1492"/>
      <c r="Z947" s="1493"/>
      <c r="AA947" s="1393"/>
      <c r="AB947" s="1394"/>
      <c r="AC947" s="1394"/>
      <c r="AD947" s="1394"/>
      <c r="AE947" s="1394"/>
      <c r="AF947" s="1395"/>
      <c r="AZ947" s="25"/>
      <c r="BA947" s="25"/>
    </row>
    <row r="948" spans="6:55" ht="12.95" customHeight="1">
      <c r="F948" s="1538" t="s">
        <v>1614</v>
      </c>
      <c r="G948" s="1539"/>
      <c r="H948" s="1539"/>
      <c r="I948" s="1539"/>
      <c r="J948" s="1539"/>
      <c r="K948" s="1539"/>
      <c r="L948" s="1539"/>
      <c r="M948" s="1539"/>
      <c r="N948" s="1539"/>
      <c r="O948" s="1539"/>
      <c r="P948" s="1539"/>
      <c r="Q948" s="1539"/>
      <c r="R948" s="1539"/>
      <c r="S948" s="1539"/>
      <c r="T948" s="1540"/>
      <c r="U948" s="1541" t="s">
        <v>826</v>
      </c>
      <c r="V948" s="1492"/>
      <c r="W948" s="1492"/>
      <c r="X948" s="1492"/>
      <c r="Y948" s="1492"/>
      <c r="Z948" s="1493"/>
      <c r="AA948" s="1393"/>
      <c r="AB948" s="1394"/>
      <c r="AC948" s="1394"/>
      <c r="AD948" s="1394"/>
      <c r="AE948" s="1394"/>
      <c r="AF948" s="1395"/>
      <c r="AZ948" s="25"/>
      <c r="BA948" s="25"/>
    </row>
    <row r="949" spans="6:55" ht="12.95" customHeight="1">
      <c r="F949" s="1538" t="s">
        <v>1615</v>
      </c>
      <c r="G949" s="1539"/>
      <c r="H949" s="1539"/>
      <c r="I949" s="1539"/>
      <c r="J949" s="1539"/>
      <c r="K949" s="1539"/>
      <c r="L949" s="1539"/>
      <c r="M949" s="1539"/>
      <c r="N949" s="1539"/>
      <c r="O949" s="1539"/>
      <c r="P949" s="1539"/>
      <c r="Q949" s="1539"/>
      <c r="R949" s="1539"/>
      <c r="S949" s="1539"/>
      <c r="T949" s="1540"/>
      <c r="U949" s="1541" t="s">
        <v>826</v>
      </c>
      <c r="V949" s="1492"/>
      <c r="W949" s="1492"/>
      <c r="X949" s="1492"/>
      <c r="Y949" s="1492"/>
      <c r="Z949" s="1493"/>
      <c r="AA949" s="1393"/>
      <c r="AB949" s="1394"/>
      <c r="AC949" s="1394"/>
      <c r="AD949" s="1394"/>
      <c r="AE949" s="1394"/>
      <c r="AF949" s="1395"/>
      <c r="AZ949" s="3"/>
      <c r="BA949" s="3"/>
      <c r="BB949" s="13"/>
      <c r="BC949" s="13"/>
    </row>
    <row r="950" spans="6:55" ht="12.95" customHeight="1">
      <c r="F950" s="87" t="s">
        <v>1616</v>
      </c>
      <c r="G950" s="5"/>
      <c r="H950" s="5"/>
      <c r="I950" s="5"/>
      <c r="J950" s="5"/>
      <c r="K950" s="5"/>
      <c r="L950" s="5"/>
      <c r="M950" s="5"/>
      <c r="N950" s="5"/>
      <c r="O950" s="5"/>
      <c r="P950" s="5"/>
      <c r="Q950" s="5"/>
      <c r="R950" s="5"/>
      <c r="S950" s="5"/>
      <c r="T950" s="38"/>
      <c r="U950" s="1541" t="s">
        <v>826</v>
      </c>
      <c r="V950" s="1492"/>
      <c r="W950" s="1492"/>
      <c r="X950" s="1492"/>
      <c r="Y950" s="1492"/>
      <c r="Z950" s="1493"/>
      <c r="AA950" s="1393"/>
      <c r="AB950" s="1394"/>
      <c r="AC950" s="1394"/>
      <c r="AD950" s="1394"/>
      <c r="AE950" s="1394"/>
      <c r="AF950" s="1395"/>
      <c r="AZ950" s="3"/>
      <c r="BA950" s="3"/>
      <c r="BB950" s="13"/>
      <c r="BC950" s="13"/>
    </row>
    <row r="951" spans="6:55" ht="12.95" customHeight="1">
      <c r="F951" s="1542" t="s">
        <v>1617</v>
      </c>
      <c r="G951" s="1543"/>
      <c r="H951" s="1543"/>
      <c r="I951" s="1543"/>
      <c r="J951" s="1543"/>
      <c r="K951" s="1543"/>
      <c r="L951" s="1543"/>
      <c r="M951" s="1543"/>
      <c r="N951" s="1543"/>
      <c r="O951" s="1543"/>
      <c r="P951" s="1543"/>
      <c r="Q951" s="1543"/>
      <c r="R951" s="1543"/>
      <c r="S951" s="1543"/>
      <c r="T951" s="1544"/>
      <c r="U951" s="1541" t="s">
        <v>826</v>
      </c>
      <c r="V951" s="1492"/>
      <c r="W951" s="1492"/>
      <c r="X951" s="1492"/>
      <c r="Y951" s="1492"/>
      <c r="Z951" s="1493"/>
      <c r="AA951" s="1393"/>
      <c r="AB951" s="1394"/>
      <c r="AC951" s="1394"/>
      <c r="AD951" s="1394"/>
      <c r="AE951" s="1394"/>
      <c r="AF951" s="1395"/>
      <c r="AZ951" s="3"/>
      <c r="BA951" s="3"/>
      <c r="BB951" s="3"/>
      <c r="BC951" s="3"/>
    </row>
    <row r="952" spans="6:55" ht="12.95" customHeight="1">
      <c r="F952" s="87" t="s">
        <v>1618</v>
      </c>
      <c r="G952" s="5"/>
      <c r="H952" s="5"/>
      <c r="I952" s="5"/>
      <c r="J952" s="5"/>
      <c r="K952" s="5"/>
      <c r="L952" s="5"/>
      <c r="M952" s="5"/>
      <c r="N952" s="5"/>
      <c r="O952" s="5"/>
      <c r="P952" s="5"/>
      <c r="Q952" s="5"/>
      <c r="R952" s="5"/>
      <c r="S952" s="5"/>
      <c r="T952" s="38"/>
      <c r="U952" s="1541" t="s">
        <v>826</v>
      </c>
      <c r="V952" s="1492"/>
      <c r="W952" s="1492"/>
      <c r="X952" s="1492"/>
      <c r="Y952" s="1492"/>
      <c r="Z952" s="1493"/>
      <c r="AA952" s="1393"/>
      <c r="AB952" s="1394"/>
      <c r="AC952" s="1394"/>
      <c r="AD952" s="1394"/>
      <c r="AE952" s="1394"/>
      <c r="AF952" s="1395"/>
      <c r="AZ952" s="3"/>
      <c r="BA952" s="3"/>
      <c r="BB952" s="3"/>
      <c r="BC952" s="3"/>
    </row>
    <row r="953" spans="6:55" ht="12.95" customHeight="1">
      <c r="F953" s="1542" t="s">
        <v>1619</v>
      </c>
      <c r="G953" s="1543"/>
      <c r="H953" s="1543"/>
      <c r="I953" s="1543"/>
      <c r="J953" s="1543"/>
      <c r="K953" s="1543"/>
      <c r="L953" s="1543"/>
      <c r="M953" s="1543"/>
      <c r="N953" s="1543"/>
      <c r="O953" s="1543"/>
      <c r="P953" s="1543"/>
      <c r="Q953" s="1543"/>
      <c r="R953" s="1543"/>
      <c r="S953" s="1543"/>
      <c r="T953" s="1544"/>
      <c r="U953" s="1541" t="s">
        <v>826</v>
      </c>
      <c r="V953" s="1492"/>
      <c r="W953" s="1492"/>
      <c r="X953" s="1492"/>
      <c r="Y953" s="1492"/>
      <c r="Z953" s="1493"/>
      <c r="AA953" s="1393"/>
      <c r="AB953" s="1394"/>
      <c r="AC953" s="1394"/>
      <c r="AD953" s="1394"/>
      <c r="AE953" s="1394"/>
      <c r="AF953" s="1395"/>
      <c r="AZ953" s="3"/>
      <c r="BA953" s="3"/>
      <c r="BB953" s="3"/>
      <c r="BC953" s="3"/>
    </row>
    <row r="954" spans="6:55" ht="12.95" customHeight="1">
      <c r="F954" s="37" t="s">
        <v>1620</v>
      </c>
      <c r="G954" s="5"/>
      <c r="H954" s="5"/>
      <c r="I954" s="5"/>
      <c r="J954" s="5"/>
      <c r="K954" s="5"/>
      <c r="L954" s="5"/>
      <c r="M954" s="5"/>
      <c r="N954" s="5"/>
      <c r="O954" s="5"/>
      <c r="P954" s="1541" t="s">
        <v>700</v>
      </c>
      <c r="Q954" s="1492"/>
      <c r="R954" s="1492"/>
      <c r="S954" s="1492"/>
      <c r="T954" s="1493"/>
      <c r="U954" s="1541" t="s">
        <v>826</v>
      </c>
      <c r="V954" s="1492"/>
      <c r="W954" s="1492"/>
      <c r="X954" s="1492"/>
      <c r="Y954" s="1492"/>
      <c r="Z954" s="1493"/>
      <c r="AA954" s="1393"/>
      <c r="AB954" s="1394"/>
      <c r="AC954" s="1394"/>
      <c r="AD954" s="1394"/>
      <c r="AE954" s="1394"/>
      <c r="AF954" s="1395"/>
      <c r="AZ954" s="3"/>
      <c r="BA954" s="3"/>
      <c r="BB954" s="3"/>
      <c r="BC954" s="3"/>
    </row>
    <row r="955" spans="6:55" ht="12.95" customHeight="1">
      <c r="F955" s="1538" t="s">
        <v>1621</v>
      </c>
      <c r="G955" s="1539"/>
      <c r="H955" s="1540"/>
      <c r="I955" s="1534" t="s">
        <v>1335</v>
      </c>
      <c r="J955" s="1535"/>
      <c r="K955" s="1535"/>
      <c r="L955" s="1535"/>
      <c r="M955" s="1535"/>
      <c r="N955" s="1535"/>
      <c r="O955" s="1535"/>
      <c r="P955" s="1535"/>
      <c r="Q955" s="1535"/>
      <c r="R955" s="1535"/>
      <c r="S955" s="1535"/>
      <c r="T955" s="1536"/>
      <c r="U955" s="1541" t="s">
        <v>826</v>
      </c>
      <c r="V955" s="1492"/>
      <c r="W955" s="1492"/>
      <c r="X955" s="1492"/>
      <c r="Y955" s="1492"/>
      <c r="Z955" s="1493"/>
      <c r="AA955" s="1393"/>
      <c r="AB955" s="1394"/>
      <c r="AC955" s="1394"/>
      <c r="AD955" s="1394"/>
      <c r="AE955" s="1394"/>
      <c r="AF955" s="1395"/>
      <c r="AZ955" s="3"/>
      <c r="BA955" s="3"/>
      <c r="BB955" s="3"/>
      <c r="BC955" s="3"/>
    </row>
    <row r="956" spans="6:55" ht="12.95" customHeight="1">
      <c r="F956" s="37" t="s">
        <v>1083</v>
      </c>
      <c r="G956" s="40"/>
      <c r="H956" s="40"/>
      <c r="I956" s="1534" t="s">
        <v>1335</v>
      </c>
      <c r="J956" s="1535"/>
      <c r="K956" s="1535"/>
      <c r="L956" s="1535"/>
      <c r="M956" s="1535"/>
      <c r="N956" s="1535"/>
      <c r="O956" s="1535"/>
      <c r="P956" s="1535"/>
      <c r="Q956" s="1535"/>
      <c r="R956" s="1535"/>
      <c r="S956" s="1535"/>
      <c r="T956" s="1536"/>
      <c r="U956" s="1541" t="s">
        <v>826</v>
      </c>
      <c r="V956" s="1492"/>
      <c r="W956" s="1492"/>
      <c r="X956" s="1492"/>
      <c r="Y956" s="1492"/>
      <c r="Z956" s="1493"/>
      <c r="AA956" s="1393"/>
      <c r="AB956" s="1394"/>
      <c r="AC956" s="1394"/>
      <c r="AD956" s="1394"/>
      <c r="AE956" s="1394"/>
      <c r="AF956" s="1395"/>
      <c r="AZ956" s="3"/>
      <c r="BA956" s="3"/>
      <c r="BB956" s="3"/>
      <c r="BC956" s="3"/>
    </row>
    <row r="957" spans="6:55" ht="12.95" customHeight="1">
      <c r="F957" s="37" t="s">
        <v>1622</v>
      </c>
      <c r="G957" s="40"/>
      <c r="H957" s="40"/>
      <c r="I957" s="1534" t="s">
        <v>1335</v>
      </c>
      <c r="J957" s="1535"/>
      <c r="K957" s="1535"/>
      <c r="L957" s="1535"/>
      <c r="M957" s="1535"/>
      <c r="N957" s="1535"/>
      <c r="O957" s="1535"/>
      <c r="P957" s="1535"/>
      <c r="Q957" s="1535"/>
      <c r="R957" s="1535"/>
      <c r="S957" s="1535"/>
      <c r="T957" s="1536"/>
      <c r="U957" s="1541" t="s">
        <v>826</v>
      </c>
      <c r="V957" s="1492"/>
      <c r="W957" s="1492"/>
      <c r="X957" s="1492"/>
      <c r="Y957" s="1492"/>
      <c r="Z957" s="1493"/>
      <c r="AA957" s="1393"/>
      <c r="AB957" s="1394"/>
      <c r="AC957" s="1394"/>
      <c r="AD957" s="1394"/>
      <c r="AE957" s="1394"/>
      <c r="AF957" s="1395"/>
      <c r="AV957" s="2"/>
      <c r="AW957" s="2"/>
      <c r="AX957" s="2"/>
      <c r="AY957" s="2"/>
      <c r="AZ957" s="3"/>
      <c r="BA957" s="3"/>
      <c r="BB957" s="3"/>
      <c r="BC957" s="3"/>
    </row>
    <row r="958" spans="6:55" ht="12.95" customHeight="1">
      <c r="F958" s="39" t="s">
        <v>233</v>
      </c>
      <c r="G958" s="40"/>
      <c r="H958" s="40"/>
      <c r="I958" s="1534" t="s">
        <v>1623</v>
      </c>
      <c r="J958" s="1535"/>
      <c r="K958" s="1535"/>
      <c r="L958" s="1535"/>
      <c r="M958" s="1535"/>
      <c r="N958" s="1535"/>
      <c r="O958" s="1535"/>
      <c r="P958" s="1535"/>
      <c r="Q958" s="1535"/>
      <c r="R958" s="1535"/>
      <c r="S958" s="1535"/>
      <c r="T958" s="1536"/>
      <c r="U958" s="1541" t="s">
        <v>860</v>
      </c>
      <c r="V958" s="1492"/>
      <c r="W958" s="1492"/>
      <c r="X958" s="1492"/>
      <c r="Y958" s="1492"/>
      <c r="Z958" s="1493"/>
      <c r="AA958" s="1393">
        <v>8410000</v>
      </c>
      <c r="AB958" s="1394"/>
      <c r="AC958" s="1394"/>
      <c r="AD958" s="1394"/>
      <c r="AE958" s="1394"/>
      <c r="AF958" s="1395"/>
      <c r="AU958" s="2"/>
      <c r="AZ958" s="3"/>
      <c r="BA958" s="3"/>
      <c r="BB958" s="3"/>
      <c r="BC958" s="3"/>
    </row>
    <row r="959" spans="6:55" ht="12.95" customHeight="1">
      <c r="F959" s="39" t="s">
        <v>233</v>
      </c>
      <c r="G959" s="40"/>
      <c r="H959" s="40"/>
      <c r="I959" s="1534" t="s">
        <v>1335</v>
      </c>
      <c r="J959" s="1535"/>
      <c r="K959" s="1535"/>
      <c r="L959" s="1535"/>
      <c r="M959" s="1535"/>
      <c r="N959" s="1535"/>
      <c r="O959" s="1535"/>
      <c r="P959" s="1535"/>
      <c r="Q959" s="1535"/>
      <c r="R959" s="1535"/>
      <c r="S959" s="1535"/>
      <c r="T959" s="1536"/>
      <c r="U959" s="1541" t="s">
        <v>826</v>
      </c>
      <c r="V959" s="1492"/>
      <c r="W959" s="1492"/>
      <c r="X959" s="1492"/>
      <c r="Y959" s="1492"/>
      <c r="Z959" s="1493"/>
      <c r="AA959" s="1393"/>
      <c r="AB959" s="1394"/>
      <c r="AC959" s="1394"/>
      <c r="AD959" s="1394"/>
      <c r="AE959" s="1394"/>
      <c r="AF959" s="1395"/>
      <c r="AU959" s="2"/>
      <c r="AZ959" s="3"/>
      <c r="BA959" s="3"/>
      <c r="BB959" s="3"/>
      <c r="BC959" s="3"/>
    </row>
    <row r="960" spans="6:55" ht="12.95" customHeight="1">
      <c r="AU960" s="2"/>
      <c r="AZ960" s="3"/>
      <c r="BA960" s="3"/>
      <c r="BB960" s="3"/>
      <c r="BC960" s="3"/>
    </row>
    <row r="961" spans="1:64" ht="12.95" customHeight="1">
      <c r="A961" s="2" t="s">
        <v>927</v>
      </c>
      <c r="C961" s="2" t="s">
        <v>247</v>
      </c>
      <c r="AZ961" s="3"/>
      <c r="BA961" s="3"/>
      <c r="BB961" s="3"/>
      <c r="BC961" s="3"/>
    </row>
    <row r="962" spans="1:64" ht="12.95" customHeight="1">
      <c r="B962" s="2"/>
      <c r="C962" s="19" t="s">
        <v>1624</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1625</v>
      </c>
      <c r="D964" s="5"/>
      <c r="E964" s="5"/>
      <c r="F964" s="5"/>
      <c r="G964" s="5"/>
      <c r="H964" s="5"/>
      <c r="I964" s="5"/>
      <c r="J964" s="5"/>
      <c r="K964" s="5"/>
      <c r="L964" s="38"/>
      <c r="M964" s="1531">
        <v>46327</v>
      </c>
      <c r="N964" s="1532"/>
      <c r="O964" s="1532"/>
      <c r="P964" s="1532"/>
      <c r="Q964" s="1532"/>
      <c r="R964" s="1532"/>
      <c r="S964" s="1533"/>
      <c r="U964" s="87" t="s">
        <v>1625</v>
      </c>
      <c r="V964" s="5"/>
      <c r="W964" s="5"/>
      <c r="X964" s="5"/>
      <c r="Y964" s="5"/>
      <c r="Z964" s="5"/>
      <c r="AA964" s="5"/>
      <c r="AB964" s="5"/>
      <c r="AC964" s="5"/>
      <c r="AD964" s="38"/>
      <c r="AE964" s="1531"/>
      <c r="AF964" s="1532"/>
      <c r="AG964" s="1532"/>
      <c r="AH964" s="1532"/>
      <c r="AI964" s="1532"/>
      <c r="AJ964" s="1532"/>
      <c r="AK964" s="1533"/>
      <c r="AZ964" s="3"/>
      <c r="BA964" s="3"/>
      <c r="BB964" s="3"/>
      <c r="BC964" s="3"/>
    </row>
    <row r="965" spans="1:64" ht="12.95" customHeight="1">
      <c r="C965" s="87" t="s">
        <v>1626</v>
      </c>
      <c r="D965" s="5"/>
      <c r="E965" s="5"/>
      <c r="F965" s="5"/>
      <c r="G965" s="5"/>
      <c r="H965" s="5"/>
      <c r="I965" s="5"/>
      <c r="J965" s="5"/>
      <c r="K965" s="5"/>
      <c r="L965" s="38"/>
      <c r="M965" s="1380" t="s">
        <v>1627</v>
      </c>
      <c r="N965" s="1381"/>
      <c r="O965" s="1381"/>
      <c r="P965" s="1381"/>
      <c r="Q965" s="1381"/>
      <c r="R965" s="1381"/>
      <c r="S965" s="1382"/>
      <c r="U965" s="87" t="s">
        <v>1626</v>
      </c>
      <c r="V965" s="5"/>
      <c r="W965" s="5"/>
      <c r="X965" s="5"/>
      <c r="Y965" s="5"/>
      <c r="Z965" s="5"/>
      <c r="AA965" s="5"/>
      <c r="AB965" s="5"/>
      <c r="AC965" s="5"/>
      <c r="AD965" s="38"/>
      <c r="AE965" s="1380"/>
      <c r="AF965" s="1381"/>
      <c r="AG965" s="1381"/>
      <c r="AH965" s="1381"/>
      <c r="AI965" s="1381"/>
      <c r="AJ965" s="1381"/>
      <c r="AK965" s="1382"/>
      <c r="AZ965" s="3"/>
      <c r="BA965" s="3"/>
      <c r="BB965" s="3"/>
      <c r="BC965" s="3"/>
    </row>
    <row r="966" spans="1:64" ht="12.95" customHeight="1">
      <c r="C966" s="87" t="s">
        <v>1628</v>
      </c>
      <c r="D966" s="5"/>
      <c r="E966" s="5"/>
      <c r="J966" s="1545" t="s">
        <v>1629</v>
      </c>
      <c r="K966" s="1546"/>
      <c r="L966" s="1546"/>
      <c r="M966" s="1546"/>
      <c r="N966" s="1546"/>
      <c r="O966" s="1546"/>
      <c r="P966" s="1546"/>
      <c r="Q966" s="1546"/>
      <c r="R966" s="1546"/>
      <c r="S966" s="1547"/>
      <c r="U966" s="87" t="s">
        <v>1628</v>
      </c>
      <c r="V966" s="5"/>
      <c r="W966" s="5"/>
      <c r="AB966" s="1545" t="s">
        <v>348</v>
      </c>
      <c r="AC966" s="1546"/>
      <c r="AD966" s="1546"/>
      <c r="AE966" s="1546"/>
      <c r="AF966" s="1546"/>
      <c r="AG966" s="1546"/>
      <c r="AH966" s="1546"/>
      <c r="AI966" s="1546"/>
      <c r="AJ966" s="1546"/>
      <c r="AK966" s="1547"/>
      <c r="AZ966" s="3"/>
      <c r="BA966" s="3"/>
      <c r="BB966" s="3"/>
      <c r="BC966" s="3"/>
    </row>
    <row r="967" spans="1:64" ht="12.95" customHeight="1">
      <c r="C967" s="87" t="s">
        <v>1630</v>
      </c>
      <c r="D967" s="5"/>
      <c r="E967" s="5"/>
      <c r="F967" s="5"/>
      <c r="G967" s="5"/>
      <c r="H967" s="5"/>
      <c r="I967" s="5"/>
      <c r="J967" s="5"/>
      <c r="K967" s="5"/>
      <c r="L967" s="38"/>
      <c r="M967" s="1607">
        <v>1</v>
      </c>
      <c r="N967" s="1585"/>
      <c r="O967" s="1585"/>
      <c r="P967" s="1585"/>
      <c r="Q967" s="1585"/>
      <c r="R967" s="1585"/>
      <c r="S967" s="1586"/>
      <c r="U967" s="87" t="s">
        <v>1630</v>
      </c>
      <c r="V967" s="5"/>
      <c r="W967" s="5"/>
      <c r="X967" s="5"/>
      <c r="Y967" s="5"/>
      <c r="Z967" s="5"/>
      <c r="AA967" s="5"/>
      <c r="AB967" s="5"/>
      <c r="AC967" s="5"/>
      <c r="AD967" s="38"/>
      <c r="AE967" s="1584"/>
      <c r="AF967" s="1585"/>
      <c r="AG967" s="1585"/>
      <c r="AH967" s="1585"/>
      <c r="AI967" s="1585"/>
      <c r="AJ967" s="1585"/>
      <c r="AK967" s="1586"/>
      <c r="AZ967" s="3"/>
      <c r="BA967" s="3"/>
      <c r="BB967" s="3"/>
      <c r="BC967" s="3"/>
    </row>
    <row r="968" spans="1:64" ht="12.95" customHeight="1">
      <c r="C968" s="87" t="s">
        <v>1631</v>
      </c>
      <c r="D968" s="5"/>
      <c r="E968" s="5"/>
      <c r="F968" s="5"/>
      <c r="G968" s="5"/>
      <c r="H968" s="5"/>
      <c r="I968" s="5"/>
      <c r="J968" s="5"/>
      <c r="K968" s="5"/>
      <c r="L968" s="38"/>
      <c r="M968" s="1587">
        <v>36</v>
      </c>
      <c r="N968" s="1588"/>
      <c r="O968" s="1588"/>
      <c r="P968" s="1588"/>
      <c r="Q968" s="1588"/>
      <c r="R968" s="1588"/>
      <c r="S968" s="1589"/>
      <c r="U968" s="87" t="s">
        <v>1631</v>
      </c>
      <c r="V968" s="5"/>
      <c r="W968" s="5"/>
      <c r="X968" s="5"/>
      <c r="Y968" s="5"/>
      <c r="Z968" s="5"/>
      <c r="AA968" s="5"/>
      <c r="AB968" s="5"/>
      <c r="AC968" s="5"/>
      <c r="AD968" s="38"/>
      <c r="AE968" s="1587"/>
      <c r="AF968" s="1588"/>
      <c r="AG968" s="1588"/>
      <c r="AH968" s="1588"/>
      <c r="AI968" s="1588"/>
      <c r="AJ968" s="1588"/>
      <c r="AK968" s="1589"/>
      <c r="AV968" s="2"/>
      <c r="AW968" s="2"/>
      <c r="AX968" s="2"/>
      <c r="AY968" s="2"/>
      <c r="AZ968" s="3"/>
      <c r="BA968" s="3"/>
      <c r="BB968" s="3"/>
      <c r="BC968" s="3"/>
    </row>
    <row r="969" spans="1:64" ht="12.95" customHeight="1">
      <c r="C969" s="87" t="s">
        <v>1632</v>
      </c>
      <c r="D969" s="5"/>
      <c r="E969" s="5"/>
      <c r="F969" s="5"/>
      <c r="G969" s="5"/>
      <c r="H969" s="5"/>
      <c r="I969" s="5"/>
      <c r="J969" s="5"/>
      <c r="K969" s="5"/>
      <c r="L969" s="38"/>
      <c r="M969" s="1393">
        <f>Z817</f>
        <v>302520</v>
      </c>
      <c r="N969" s="1394"/>
      <c r="O969" s="1394"/>
      <c r="P969" s="1394"/>
      <c r="Q969" s="1394"/>
      <c r="R969" s="1394"/>
      <c r="S969" s="1395"/>
      <c r="U969" s="87" t="s">
        <v>1632</v>
      </c>
      <c r="V969" s="5"/>
      <c r="W969" s="5"/>
      <c r="X969" s="5"/>
      <c r="Y969" s="5"/>
      <c r="Z969" s="5"/>
      <c r="AA969" s="5"/>
      <c r="AB969" s="5"/>
      <c r="AC969" s="5"/>
      <c r="AD969" s="38"/>
      <c r="AE969" s="1393"/>
      <c r="AF969" s="1394"/>
      <c r="AG969" s="1394"/>
      <c r="AH969" s="1394"/>
      <c r="AI969" s="1394"/>
      <c r="AJ969" s="1394"/>
      <c r="AK969" s="1395"/>
      <c r="AV969" s="2"/>
      <c r="AW969" s="2"/>
      <c r="AX969" s="2"/>
      <c r="AY969" s="2"/>
      <c r="AZ969" s="3"/>
      <c r="BA969" s="3"/>
      <c r="BB969" s="3"/>
      <c r="BC969" s="3"/>
    </row>
    <row r="970" spans="1:64" ht="12.95" customHeight="1">
      <c r="C970" s="87" t="s">
        <v>1633</v>
      </c>
      <c r="D970" s="5"/>
      <c r="E970" s="5"/>
      <c r="F970" s="5"/>
      <c r="G970" s="5"/>
      <c r="H970" s="5"/>
      <c r="I970" s="5"/>
      <c r="J970" s="5"/>
      <c r="K970" s="5"/>
      <c r="L970" s="38"/>
      <c r="M970" s="1393">
        <f>M969*20</f>
        <v>6050400</v>
      </c>
      <c r="N970" s="1394"/>
      <c r="O970" s="1394"/>
      <c r="P970" s="1394"/>
      <c r="Q970" s="1394"/>
      <c r="R970" s="1394"/>
      <c r="S970" s="1395"/>
      <c r="U970" s="87" t="s">
        <v>1633</v>
      </c>
      <c r="V970" s="5"/>
      <c r="W970" s="5"/>
      <c r="X970" s="5"/>
      <c r="Y970" s="5"/>
      <c r="Z970" s="5"/>
      <c r="AA970" s="5"/>
      <c r="AB970" s="5"/>
      <c r="AC970" s="5"/>
      <c r="AD970" s="38"/>
      <c r="AE970" s="1393"/>
      <c r="AF970" s="1394"/>
      <c r="AG970" s="1394"/>
      <c r="AH970" s="1394"/>
      <c r="AI970" s="1394"/>
      <c r="AJ970" s="1394"/>
      <c r="AK970" s="1395"/>
      <c r="AV970" s="2"/>
      <c r="AW970" s="2"/>
      <c r="AX970" s="2"/>
      <c r="AY970" s="2"/>
      <c r="AZ970" s="3"/>
      <c r="BB970" s="3"/>
      <c r="BC970" s="3"/>
    </row>
    <row r="971" spans="1:64" ht="12.95" customHeight="1">
      <c r="C971" s="87" t="s">
        <v>1242</v>
      </c>
      <c r="D971" s="5"/>
      <c r="E971" s="5"/>
      <c r="F971" s="5"/>
      <c r="G971" s="5"/>
      <c r="H971" s="5"/>
      <c r="I971" s="5"/>
      <c r="J971" s="5"/>
      <c r="K971" s="5"/>
      <c r="L971" s="38"/>
      <c r="M971" s="1390">
        <v>20</v>
      </c>
      <c r="N971" s="1391"/>
      <c r="O971" s="1391"/>
      <c r="P971" s="1391"/>
      <c r="Q971" s="1391"/>
      <c r="R971" s="1391"/>
      <c r="S971" s="1392"/>
      <c r="U971" s="87" t="s">
        <v>1242</v>
      </c>
      <c r="V971" s="5"/>
      <c r="W971" s="5"/>
      <c r="X971" s="5"/>
      <c r="Y971" s="5"/>
      <c r="Z971" s="5"/>
      <c r="AA971" s="5"/>
      <c r="AB971" s="5"/>
      <c r="AC971" s="5"/>
      <c r="AD971" s="38"/>
      <c r="AE971" s="1390"/>
      <c r="AF971" s="1391"/>
      <c r="AG971" s="1391"/>
      <c r="AH971" s="1391"/>
      <c r="AI971" s="1391"/>
      <c r="AJ971" s="1391"/>
      <c r="AK971" s="1392"/>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1005</v>
      </c>
      <c r="C973" s="2" t="s">
        <v>1634</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1635</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1636</v>
      </c>
      <c r="G976" s="5"/>
      <c r="H976" s="5"/>
      <c r="I976" s="5"/>
      <c r="J976" s="5"/>
      <c r="K976" s="5"/>
      <c r="L976" s="38"/>
      <c r="M976" s="1304"/>
      <c r="N976" s="1305"/>
      <c r="O976" s="1305"/>
      <c r="P976" s="1305"/>
      <c r="Q976" s="1305"/>
      <c r="R976" s="1305"/>
      <c r="S976" s="1306"/>
      <c r="T976" s="87" t="s">
        <v>1637</v>
      </c>
      <c r="U976" s="5"/>
      <c r="V976" s="5"/>
      <c r="W976" s="5"/>
      <c r="X976" s="5"/>
      <c r="Y976" s="5"/>
      <c r="Z976" s="38"/>
      <c r="AA976" s="1304"/>
      <c r="AB976" s="1305"/>
      <c r="AC976" s="1305"/>
      <c r="AD976" s="1305"/>
      <c r="AE976" s="1305"/>
      <c r="AF976" s="1305"/>
      <c r="AG976" s="1306"/>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1638</v>
      </c>
      <c r="G977" s="5"/>
      <c r="H977" s="5"/>
      <c r="I977" s="5"/>
      <c r="J977" s="5"/>
      <c r="K977" s="5"/>
      <c r="L977" s="38"/>
      <c r="M977" s="1304"/>
      <c r="N977" s="1305"/>
      <c r="O977" s="1305"/>
      <c r="P977" s="1305"/>
      <c r="Q977" s="1305"/>
      <c r="R977" s="1305"/>
      <c r="S977" s="1306"/>
      <c r="T977" s="87" t="s">
        <v>1639</v>
      </c>
      <c r="U977" s="5"/>
      <c r="V977" s="5"/>
      <c r="W977" s="5"/>
      <c r="X977" s="5"/>
      <c r="Y977" s="5"/>
      <c r="Z977" s="38"/>
      <c r="AA977" s="1304"/>
      <c r="AB977" s="1305"/>
      <c r="AC977" s="1305"/>
      <c r="AD977" s="1305"/>
      <c r="AE977" s="1305"/>
      <c r="AF977" s="1305"/>
      <c r="AG977" s="1306"/>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1640</v>
      </c>
      <c r="G978" s="5"/>
      <c r="H978" s="5"/>
      <c r="I978" s="5"/>
      <c r="J978" s="5"/>
      <c r="K978" s="5"/>
      <c r="L978" s="38"/>
      <c r="M978" s="1597" t="s">
        <v>826</v>
      </c>
      <c r="N978" s="1598"/>
      <c r="O978" s="1598"/>
      <c r="P978" s="1598"/>
      <c r="Q978" s="1598"/>
      <c r="R978" s="1598"/>
      <c r="S978" s="1599"/>
      <c r="T978" s="37" t="s">
        <v>1641</v>
      </c>
      <c r="U978" s="5"/>
      <c r="V978" s="5"/>
      <c r="W978" s="5"/>
      <c r="X978" s="5"/>
      <c r="Y978" s="5"/>
      <c r="Z978" s="38"/>
      <c r="AA978" s="1304"/>
      <c r="AB978" s="1305"/>
      <c r="AC978" s="1305"/>
      <c r="AD978" s="1305"/>
      <c r="AE978" s="1305"/>
      <c r="AF978" s="1305"/>
      <c r="AG978" s="1306"/>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1642</v>
      </c>
      <c r="G979" s="5"/>
      <c r="H979" s="5"/>
      <c r="I979" s="5"/>
      <c r="J979" s="5"/>
      <c r="K979" s="5"/>
      <c r="L979" s="38"/>
      <c r="M979" s="1304"/>
      <c r="N979" s="1305"/>
      <c r="O979" s="1305"/>
      <c r="P979" s="1305"/>
      <c r="Q979" s="1305"/>
      <c r="R979" s="1305"/>
      <c r="S979" s="1306"/>
      <c r="T979" s="37" t="s">
        <v>1643</v>
      </c>
      <c r="U979" s="5"/>
      <c r="V979" s="5"/>
      <c r="W979" s="5"/>
      <c r="X979" s="5"/>
      <c r="Y979" s="5"/>
      <c r="Z979" s="38"/>
      <c r="AA979" s="1304"/>
      <c r="AB979" s="1305"/>
      <c r="AC979" s="1305"/>
      <c r="AD979" s="1305"/>
      <c r="AE979" s="1305"/>
      <c r="AF979" s="1305"/>
      <c r="AG979" s="1306"/>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1644</v>
      </c>
      <c r="G980" s="5"/>
      <c r="H980" s="5"/>
      <c r="I980" s="5"/>
      <c r="J980" s="5"/>
      <c r="K980" s="5"/>
      <c r="L980" s="38"/>
      <c r="M980" s="1304"/>
      <c r="N980" s="1305"/>
      <c r="O980" s="1305"/>
      <c r="P980" s="1305"/>
      <c r="Q980" s="1305"/>
      <c r="R980" s="1305"/>
      <c r="S980" s="1306"/>
      <c r="T980" s="37" t="s">
        <v>1645</v>
      </c>
      <c r="U980" s="5"/>
      <c r="V980" s="5"/>
      <c r="W980" s="5"/>
      <c r="X980" s="5"/>
      <c r="Y980" s="5"/>
      <c r="Z980" s="38"/>
      <c r="AA980" s="1304"/>
      <c r="AB980" s="1305"/>
      <c r="AC980" s="1305"/>
      <c r="AD980" s="1305"/>
      <c r="AE980" s="1305"/>
      <c r="AF980" s="1305"/>
      <c r="AG980" s="1306"/>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1628</v>
      </c>
      <c r="G981" s="34"/>
      <c r="H981" s="34"/>
      <c r="I981" s="34"/>
      <c r="J981" s="34"/>
      <c r="K981" s="34"/>
      <c r="L981" s="50"/>
      <c r="M981" s="1545" t="s">
        <v>348</v>
      </c>
      <c r="N981" s="1546"/>
      <c r="O981" s="1546"/>
      <c r="P981" s="1546"/>
      <c r="Q981" s="1546"/>
      <c r="R981" s="1546"/>
      <c r="S981" s="1547"/>
      <c r="T981" s="1301"/>
      <c r="U981" s="1302"/>
      <c r="V981" s="1302"/>
      <c r="W981" s="1302"/>
      <c r="X981" s="1302"/>
      <c r="Y981" s="1302"/>
      <c r="Z981" s="1303"/>
      <c r="AA981" s="1304"/>
      <c r="AB981" s="1305"/>
      <c r="AC981" s="1305"/>
      <c r="AD981" s="1305"/>
      <c r="AE981" s="1305"/>
      <c r="AF981" s="1305"/>
      <c r="AG981" s="1306"/>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1646</v>
      </c>
      <c r="G982" s="34"/>
      <c r="H982" s="34"/>
      <c r="I982" s="34"/>
      <c r="J982" s="34"/>
      <c r="K982" s="34"/>
      <c r="L982" s="50"/>
      <c r="M982" s="1304"/>
      <c r="N982" s="1305"/>
      <c r="O982" s="1305"/>
      <c r="P982" s="1305"/>
      <c r="Q982" s="1305"/>
      <c r="R982" s="1305"/>
      <c r="S982" s="1306"/>
      <c r="T982" s="1301"/>
      <c r="U982" s="1302"/>
      <c r="V982" s="1302"/>
      <c r="W982" s="1302"/>
      <c r="X982" s="1302"/>
      <c r="Y982" s="1302"/>
      <c r="Z982" s="1303"/>
      <c r="AA982" s="1304"/>
      <c r="AB982" s="1305"/>
      <c r="AC982" s="1305"/>
      <c r="AD982" s="1305"/>
      <c r="AE982" s="1305"/>
      <c r="AF982" s="1305"/>
      <c r="AG982" s="1306"/>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1647</v>
      </c>
      <c r="G983" s="34"/>
      <c r="H983" s="34"/>
      <c r="I983" s="34"/>
      <c r="J983" s="34"/>
      <c r="K983" s="34"/>
      <c r="L983" s="34"/>
      <c r="M983" s="34"/>
      <c r="N983" s="34"/>
      <c r="O983" s="1517" t="s">
        <v>700</v>
      </c>
      <c r="P983" s="1518"/>
      <c r="Q983" s="67"/>
      <c r="R983" s="67"/>
      <c r="S983" s="68"/>
      <c r="T983" s="33" t="s">
        <v>233</v>
      </c>
      <c r="U983" s="34"/>
      <c r="V983" s="34"/>
      <c r="W983" s="1384" t="s">
        <v>1335</v>
      </c>
      <c r="X983" s="1385"/>
      <c r="Y983" s="1385"/>
      <c r="Z983" s="1385"/>
      <c r="AA983" s="1385"/>
      <c r="AB983" s="1385"/>
      <c r="AC983" s="1385"/>
      <c r="AD983" s="1385"/>
      <c r="AE983" s="1385"/>
      <c r="AF983" s="1385"/>
      <c r="AG983" s="1386"/>
      <c r="AU983" s="1182"/>
      <c r="AV983" s="70"/>
      <c r="AW983" s="70"/>
      <c r="AX983" s="70"/>
      <c r="AY983" s="70"/>
      <c r="AZ983" s="3"/>
      <c r="BB983" s="3"/>
      <c r="BC983" s="3"/>
      <c r="BD983" s="3"/>
      <c r="BE983" s="3"/>
      <c r="BF983" s="3"/>
      <c r="BG983" s="3"/>
      <c r="BH983" s="3"/>
      <c r="BI983" s="3"/>
      <c r="BJ983" s="3"/>
      <c r="BK983" s="3"/>
      <c r="BL983" s="3"/>
    </row>
    <row r="984" spans="1:64" ht="12.95" customHeight="1">
      <c r="F984" s="1537" t="s">
        <v>1648</v>
      </c>
      <c r="G984" s="1423"/>
      <c r="H984" s="1423"/>
      <c r="I984" s="1423"/>
      <c r="J984" s="1423"/>
      <c r="K984" s="1423"/>
      <c r="L984" s="1423"/>
      <c r="M984" s="1304"/>
      <c r="N984" s="1305"/>
      <c r="O984" s="1305"/>
      <c r="P984" s="1305"/>
      <c r="Q984" s="1305"/>
      <c r="R984" s="1305"/>
      <c r="S984" s="1306"/>
      <c r="T984" s="39"/>
      <c r="U984" s="40"/>
      <c r="V984" s="40"/>
      <c r="W984" s="40"/>
      <c r="X984" s="40"/>
      <c r="Y984" s="40"/>
      <c r="Z984" s="90" t="s">
        <v>1649</v>
      </c>
      <c r="AA984" s="1566"/>
      <c r="AB984" s="1567"/>
      <c r="AC984" s="1567"/>
      <c r="AD984" s="1567"/>
      <c r="AE984" s="1567"/>
      <c r="AF984" s="1567"/>
      <c r="AG984" s="1568"/>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309"/>
      <c r="BH985" s="1309"/>
      <c r="BI985" s="1309"/>
      <c r="BJ985" s="1309"/>
      <c r="BK985" s="1309"/>
      <c r="BL985" s="1309"/>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328" t="s">
        <v>1650</v>
      </c>
      <c r="B988" s="1328"/>
      <c r="C988" s="1328"/>
      <c r="D988" s="1328"/>
      <c r="E988" s="1328"/>
      <c r="F988" s="1328"/>
      <c r="G988" s="1328"/>
      <c r="H988" s="1328"/>
      <c r="I988" s="1328"/>
      <c r="J988" s="1328"/>
      <c r="K988" s="1328"/>
      <c r="L988" s="1328"/>
      <c r="M988" s="1328"/>
      <c r="N988" s="1328"/>
      <c r="O988" s="1328"/>
      <c r="P988" s="1328"/>
      <c r="Q988" s="1328"/>
      <c r="R988" s="1328"/>
      <c r="S988" s="1328"/>
      <c r="T988" s="1328"/>
      <c r="U988" s="1328"/>
      <c r="V988" s="1328"/>
      <c r="W988" s="1328"/>
      <c r="X988" s="1328"/>
      <c r="Y988" s="1328"/>
      <c r="Z988" s="1328"/>
      <c r="AA988" s="1328"/>
      <c r="AB988" s="1328"/>
      <c r="AC988" s="1328"/>
      <c r="AD988" s="1328"/>
      <c r="AE988" s="1328"/>
      <c r="AF988" s="1328"/>
      <c r="AG988" s="1328"/>
      <c r="AH988" s="1328"/>
      <c r="AI988" s="1328"/>
      <c r="AJ988" s="1328"/>
      <c r="AK988" s="1328"/>
      <c r="AL988" s="1328"/>
      <c r="AM988" s="1328"/>
      <c r="AN988" s="1328"/>
      <c r="AO988" s="1328"/>
      <c r="AP988" s="1328"/>
      <c r="AQ988" s="1328"/>
      <c r="AR988" s="1328"/>
      <c r="AS988" s="1328"/>
      <c r="AT988" s="1328"/>
      <c r="AU988" s="1182"/>
      <c r="AV988" s="1182"/>
      <c r="AW988" s="1182"/>
      <c r="AX988" s="1182"/>
      <c r="AY988" s="1182"/>
      <c r="AZ988" s="13"/>
      <c r="BA988" s="13"/>
      <c r="BB988" s="804"/>
      <c r="BC988" s="804"/>
    </row>
    <row r="989" spans="1:64" ht="12.95" customHeight="1">
      <c r="A989" s="1328"/>
      <c r="B989" s="1328"/>
      <c r="C989" s="1328"/>
      <c r="D989" s="1328"/>
      <c r="E989" s="1328"/>
      <c r="F989" s="1328"/>
      <c r="G989" s="1328"/>
      <c r="H989" s="1328"/>
      <c r="I989" s="1328"/>
      <c r="J989" s="1328"/>
      <c r="K989" s="1328"/>
      <c r="L989" s="1328"/>
      <c r="M989" s="1328"/>
      <c r="N989" s="1328"/>
      <c r="O989" s="1328"/>
      <c r="P989" s="1328"/>
      <c r="Q989" s="1328"/>
      <c r="R989" s="1328"/>
      <c r="S989" s="1328"/>
      <c r="T989" s="1328"/>
      <c r="U989" s="1328"/>
      <c r="V989" s="1328"/>
      <c r="W989" s="1328"/>
      <c r="X989" s="1328"/>
      <c r="Y989" s="1328"/>
      <c r="Z989" s="1328"/>
      <c r="AA989" s="1328"/>
      <c r="AB989" s="1328"/>
      <c r="AC989" s="1328"/>
      <c r="AD989" s="1328"/>
      <c r="AE989" s="1328"/>
      <c r="AF989" s="1328"/>
      <c r="AG989" s="1328"/>
      <c r="AH989" s="1328"/>
      <c r="AI989" s="1328"/>
      <c r="AJ989" s="1328"/>
      <c r="AK989" s="1328"/>
      <c r="AL989" s="1328"/>
      <c r="AM989" s="1328"/>
      <c r="AN989" s="1328"/>
      <c r="AO989" s="1328"/>
      <c r="AP989" s="1328"/>
      <c r="AQ989" s="1328"/>
      <c r="AR989" s="1328"/>
      <c r="AS989" s="1328"/>
      <c r="AT989" s="1328"/>
      <c r="AU989" s="1182"/>
      <c r="AV989" s="1182"/>
      <c r="AW989" s="1182"/>
      <c r="AX989" s="1182"/>
      <c r="AY989" s="1182"/>
      <c r="AZ989" s="25"/>
      <c r="BA989" s="13"/>
      <c r="BB989" s="13"/>
      <c r="BC989" s="13"/>
    </row>
    <row r="990" spans="1:64" ht="12.95" customHeight="1">
      <c r="A990" s="1328"/>
      <c r="B990" s="1328"/>
      <c r="C990" s="1328"/>
      <c r="D990" s="1328"/>
      <c r="E990" s="1328"/>
      <c r="F990" s="1328"/>
      <c r="G990" s="1328"/>
      <c r="H990" s="1328"/>
      <c r="I990" s="1328"/>
      <c r="J990" s="1328"/>
      <c r="K990" s="1328"/>
      <c r="L990" s="1328"/>
      <c r="M990" s="1328"/>
      <c r="N990" s="1328"/>
      <c r="O990" s="1328"/>
      <c r="P990" s="1328"/>
      <c r="Q990" s="1328"/>
      <c r="R990" s="1328"/>
      <c r="S990" s="1328"/>
      <c r="T990" s="1328"/>
      <c r="U990" s="1328"/>
      <c r="V990" s="1328"/>
      <c r="W990" s="1328"/>
      <c r="X990" s="1328"/>
      <c r="Y990" s="1328"/>
      <c r="Z990" s="1328"/>
      <c r="AA990" s="1328"/>
      <c r="AB990" s="1328"/>
      <c r="AC990" s="1328"/>
      <c r="AD990" s="1328"/>
      <c r="AE990" s="1328"/>
      <c r="AF990" s="1328"/>
      <c r="AG990" s="1328"/>
      <c r="AH990" s="1328"/>
      <c r="AI990" s="1328"/>
      <c r="AJ990" s="1328"/>
      <c r="AK990" s="1328"/>
      <c r="AL990" s="1328"/>
      <c r="AM990" s="1328"/>
      <c r="AN990" s="1328"/>
      <c r="AO990" s="1328"/>
      <c r="AP990" s="1328"/>
      <c r="AQ990" s="1328"/>
      <c r="AR990" s="1328"/>
      <c r="AS990" s="1328"/>
      <c r="AT990" s="1328"/>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885</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325" t="s">
        <v>1651</v>
      </c>
      <c r="E994" s="1326"/>
      <c r="F994" s="1326"/>
      <c r="G994" s="1326"/>
      <c r="H994" s="1326"/>
      <c r="I994" s="1326"/>
      <c r="J994" s="1326"/>
      <c r="K994" s="1326"/>
      <c r="L994" s="1326"/>
      <c r="M994" s="1326"/>
      <c r="N994" s="1326"/>
      <c r="O994" s="1326"/>
      <c r="P994" s="1326"/>
      <c r="Q994" s="1327"/>
      <c r="R994" s="1325" t="s">
        <v>1652</v>
      </c>
      <c r="S994" s="1326"/>
      <c r="T994" s="1326"/>
      <c r="U994" s="1326"/>
      <c r="V994" s="1326"/>
      <c r="W994" s="1326"/>
      <c r="X994" s="1326"/>
      <c r="Y994" s="1326"/>
      <c r="Z994" s="1326"/>
      <c r="AA994" s="1327"/>
      <c r="AB994" s="1325" t="s">
        <v>1653</v>
      </c>
      <c r="AC994" s="1326"/>
      <c r="AD994" s="1326"/>
      <c r="AE994" s="1326"/>
      <c r="AF994" s="1326"/>
      <c r="AG994" s="1326"/>
      <c r="AH994" s="1326"/>
      <c r="AI994" s="1327"/>
      <c r="AJ994" s="1325" t="s">
        <v>1654</v>
      </c>
      <c r="AK994" s="1326"/>
      <c r="AL994" s="1326"/>
      <c r="AM994" s="1326"/>
      <c r="AN994" s="1326"/>
      <c r="AO994" s="1326"/>
      <c r="AP994" s="1326"/>
      <c r="AQ994" s="1327"/>
      <c r="AR994" s="1182"/>
      <c r="AS994" s="1182"/>
      <c r="AT994" s="1182"/>
      <c r="AU994" s="1182"/>
      <c r="AV994" s="1182"/>
      <c r="AW994" s="1182"/>
      <c r="AX994" s="1182"/>
      <c r="AY994" s="1182"/>
      <c r="AZ994" s="25"/>
      <c r="BB994" s="13"/>
      <c r="BC994" s="13"/>
    </row>
    <row r="995" spans="1:55" ht="12.95" customHeight="1">
      <c r="A995" s="13"/>
      <c r="B995" s="58"/>
      <c r="C995" s="819"/>
      <c r="D995" s="1374" t="s">
        <v>851</v>
      </c>
      <c r="E995" s="1375"/>
      <c r="F995" s="1375"/>
      <c r="G995" s="1375"/>
      <c r="H995" s="1375"/>
      <c r="I995" s="1375"/>
      <c r="J995" s="1375"/>
      <c r="K995" s="1375"/>
      <c r="L995" s="1375"/>
      <c r="M995" s="1375"/>
      <c r="N995" s="1375"/>
      <c r="O995" s="1375"/>
      <c r="P995" s="1375"/>
      <c r="Q995" s="1376"/>
      <c r="R995" s="1383">
        <f>IF(ISNA(IF($CU$122="4%",(INDEX($CS$160:$CW$217,MATCH($DG$122,$CR$160:$CR$217,0),MATCH(D995,$CS$159:$CW$159,0))),(INDEX($CZ$160:$DD$217,MATCH($DG$122,$CY$160:$CY$217,0),MATCH(D995,$CZ$159:$DD$159,0))))),0,IF($CU$122="4%",(INDEX($CS$160:$CW$217,MATCH($DG$122,$CR$160:$CR$217,0),MATCH(D995,$CS$159:$CW$159,0))),(INDEX($CZ$160:$DD$217,MATCH($DG$122,$CY$160:$CY$217,0),MATCH(D995,$CZ$159:$DD$159,0)))))</f>
        <v>323262</v>
      </c>
      <c r="S995" s="1383"/>
      <c r="T995" s="1383"/>
      <c r="U995" s="1383"/>
      <c r="V995" s="1383"/>
      <c r="W995" s="1383"/>
      <c r="X995" s="1383"/>
      <c r="Y995" s="1383"/>
      <c r="Z995" s="1383"/>
      <c r="AA995" s="1383"/>
      <c r="AB995" s="1351">
        <f>CP810</f>
        <v>0</v>
      </c>
      <c r="AC995" s="1352"/>
      <c r="AD995" s="1352"/>
      <c r="AE995" s="1352"/>
      <c r="AF995" s="1352"/>
      <c r="AG995" s="1352"/>
      <c r="AH995" s="1352"/>
      <c r="AI995" s="1353"/>
      <c r="AJ995" s="1365">
        <f>IF(ISERROR((R995*AB995)),0,(R995*AB995))</f>
        <v>0</v>
      </c>
      <c r="AK995" s="1366"/>
      <c r="AL995" s="1366"/>
      <c r="AM995" s="1366"/>
      <c r="AN995" s="1366"/>
      <c r="AO995" s="1366"/>
      <c r="AP995" s="1366"/>
      <c r="AQ995" s="1367"/>
      <c r="AR995" s="1182"/>
      <c r="AS995" s="1182"/>
      <c r="AT995" s="1182"/>
      <c r="AU995" s="1182"/>
      <c r="AV995" s="1182"/>
      <c r="AW995" s="1182"/>
      <c r="AX995" s="1182"/>
      <c r="AY995" s="1182"/>
      <c r="AZ995" s="25"/>
      <c r="BB995" s="13"/>
      <c r="BC995" s="13"/>
    </row>
    <row r="996" spans="1:55" ht="12.95" customHeight="1">
      <c r="A996" s="13"/>
      <c r="B996" s="58"/>
      <c r="C996" s="62"/>
      <c r="D996" s="1374" t="s">
        <v>846</v>
      </c>
      <c r="E996" s="1375"/>
      <c r="F996" s="1375"/>
      <c r="G996" s="1375"/>
      <c r="H996" s="1375"/>
      <c r="I996" s="1375"/>
      <c r="J996" s="1375"/>
      <c r="K996" s="1375"/>
      <c r="L996" s="1375"/>
      <c r="M996" s="1375"/>
      <c r="N996" s="1375"/>
      <c r="O996" s="1375"/>
      <c r="P996" s="1375"/>
      <c r="Q996" s="1376"/>
      <c r="R996" s="1383">
        <f>IF(ISNA(IF($CU$122="4%",(INDEX($CS$160:$CW$217,MATCH($DG$122,$CR$160:$CR$217,0),MATCH(D996,$CS$159:$CW$159,0))),(INDEX($CZ$160:$DD$217,MATCH($DG$122,$CY$160:$CY$217,0),MATCH(D996,$CZ$159:$DD$159,0))))),0,IF($CU$122="4%",(INDEX($CS$160:$CW$217,MATCH($DG$122,$CR$160:$CR$217,0),MATCH(D996,$CS$159:$CW$159,0))),(INDEX($CZ$160:$DD$217,MATCH($DG$122,$CY$160:$CY$217,0),MATCH(D996,$CZ$159:$DD$159,0)))))</f>
        <v>372718</v>
      </c>
      <c r="S996" s="1383"/>
      <c r="T996" s="1383"/>
      <c r="U996" s="1383"/>
      <c r="V996" s="1383"/>
      <c r="W996" s="1383"/>
      <c r="X996" s="1383"/>
      <c r="Y996" s="1383"/>
      <c r="Z996" s="1383"/>
      <c r="AA996" s="1383"/>
      <c r="AB996" s="1351">
        <f>CU810</f>
        <v>13</v>
      </c>
      <c r="AC996" s="1352"/>
      <c r="AD996" s="1352"/>
      <c r="AE996" s="1352"/>
      <c r="AF996" s="1352"/>
      <c r="AG996" s="1352"/>
      <c r="AH996" s="1352"/>
      <c r="AI996" s="1353"/>
      <c r="AJ996" s="1365">
        <f>IF(ISERROR((R996*AB996)),0,(R996*AB996))</f>
        <v>4845334</v>
      </c>
      <c r="AK996" s="1366"/>
      <c r="AL996" s="1366"/>
      <c r="AM996" s="1366"/>
      <c r="AN996" s="1366"/>
      <c r="AO996" s="1366"/>
      <c r="AP996" s="1366"/>
      <c r="AQ996" s="1367"/>
      <c r="AR996" s="1182"/>
      <c r="AS996" s="1182"/>
      <c r="AT996" s="1182"/>
      <c r="AU996" s="1182"/>
      <c r="AV996" s="1182"/>
      <c r="AW996" s="1182"/>
      <c r="AX996" s="1182"/>
      <c r="AY996" s="1182"/>
      <c r="AZ996" s="25"/>
      <c r="BB996" s="13"/>
      <c r="BC996" s="13"/>
    </row>
    <row r="997" spans="1:55" ht="12.95" customHeight="1">
      <c r="A997" s="13"/>
      <c r="B997" s="58"/>
      <c r="C997" s="62"/>
      <c r="D997" s="1374" t="s">
        <v>847</v>
      </c>
      <c r="E997" s="1375"/>
      <c r="F997" s="1375"/>
      <c r="G997" s="1375"/>
      <c r="H997" s="1375"/>
      <c r="I997" s="1375"/>
      <c r="J997" s="1375"/>
      <c r="K997" s="1375"/>
      <c r="L997" s="1375"/>
      <c r="M997" s="1375"/>
      <c r="N997" s="1375"/>
      <c r="O997" s="1375"/>
      <c r="P997" s="1375"/>
      <c r="Q997" s="1376"/>
      <c r="R997" s="1383">
        <f>IF(ISNA(IF($CU$122="4%",(INDEX($CS$160:$CW$217,MATCH($DG$122,$CR$160:$CR$217,0),MATCH(D997,$CS$159:$CW$159,0))),(INDEX($CZ$160:$DD$217,MATCH($DG$122,$CY$160:$CY$217,0),MATCH(D997,$CZ$159:$DD$159,0))))),0,IF($CU$122="4%",(INDEX($CS$160:$CW$217,MATCH($DG$122,$CR$160:$CR$217,0),MATCH(D997,$CS$159:$CW$159,0))),(INDEX($CZ$160:$DD$217,MATCH($DG$122,$CY$160:$CY$217,0),MATCH(D997,$CZ$159:$DD$159,0)))))</f>
        <v>449600</v>
      </c>
      <c r="S997" s="1383"/>
      <c r="T997" s="1383"/>
      <c r="U997" s="1383"/>
      <c r="V997" s="1383"/>
      <c r="W997" s="1383"/>
      <c r="X997" s="1383"/>
      <c r="Y997" s="1383"/>
      <c r="Z997" s="1383"/>
      <c r="AA997" s="1383"/>
      <c r="AB997" s="1351">
        <f>CZ810</f>
        <v>0</v>
      </c>
      <c r="AC997" s="1352"/>
      <c r="AD997" s="1352"/>
      <c r="AE997" s="1352"/>
      <c r="AF997" s="1352"/>
      <c r="AG997" s="1352"/>
      <c r="AH997" s="1352"/>
      <c r="AI997" s="1353"/>
      <c r="AJ997" s="1365">
        <f>IF(ISERROR((R997*AB997)),0,(R997*AB997))</f>
        <v>0</v>
      </c>
      <c r="AK997" s="1366"/>
      <c r="AL997" s="1366"/>
      <c r="AM997" s="1366"/>
      <c r="AN997" s="1366"/>
      <c r="AO997" s="1366"/>
      <c r="AP997" s="1366"/>
      <c r="AQ997" s="1367"/>
      <c r="AR997" s="1182"/>
      <c r="AS997" s="1182"/>
      <c r="AT997" s="1182"/>
      <c r="AU997" s="1182"/>
      <c r="AV997" s="1182"/>
      <c r="AW997" s="1182"/>
      <c r="AX997" s="1182"/>
      <c r="AY997" s="1182"/>
      <c r="AZ997" s="25"/>
      <c r="BB997" s="13"/>
      <c r="BC997" s="13"/>
    </row>
    <row r="998" spans="1:55" ht="12.95" customHeight="1">
      <c r="A998" s="13"/>
      <c r="B998" s="58"/>
      <c r="C998" s="62"/>
      <c r="D998" s="1374" t="s">
        <v>848</v>
      </c>
      <c r="E998" s="1375"/>
      <c r="F998" s="1375"/>
      <c r="G998" s="1375"/>
      <c r="H998" s="1375"/>
      <c r="I998" s="1375"/>
      <c r="J998" s="1375"/>
      <c r="K998" s="1375"/>
      <c r="L998" s="1375"/>
      <c r="M998" s="1375"/>
      <c r="N998" s="1375"/>
      <c r="O998" s="1375"/>
      <c r="P998" s="1375"/>
      <c r="Q998" s="1376"/>
      <c r="R998" s="1383">
        <f>IF(ISNA(IF($CU$122="4%",(INDEX($CS$160:$CW$217,MATCH($DG$122,$CR$160:$CR$217,0),MATCH(D998,$CS$159:$CW$159,0))),(INDEX($CZ$160:$DD$217,MATCH($DG$122,$CY$160:$CY$217,0),MATCH(D998,$CZ$159:$DD$159,0))))),0,IF($CU$122="4%",(INDEX($CS$160:$CW$217,MATCH($DG$122,$CR$160:$CR$217,0),MATCH(D998,$CS$159:$CW$159,0))),(INDEX($CZ$160:$DD$217,MATCH($DG$122,$CY$160:$CY$217,0),MATCH(D998,$CZ$159:$DD$159,0)))))</f>
        <v>575488</v>
      </c>
      <c r="S998" s="1383"/>
      <c r="T998" s="1383"/>
      <c r="U998" s="1383"/>
      <c r="V998" s="1383"/>
      <c r="W998" s="1383"/>
      <c r="X998" s="1383"/>
      <c r="Y998" s="1383"/>
      <c r="Z998" s="1383"/>
      <c r="AA998" s="1383"/>
      <c r="AB998" s="1351">
        <f>DE810</f>
        <v>24</v>
      </c>
      <c r="AC998" s="1352"/>
      <c r="AD998" s="1352"/>
      <c r="AE998" s="1352"/>
      <c r="AF998" s="1352"/>
      <c r="AG998" s="1352"/>
      <c r="AH998" s="1352"/>
      <c r="AI998" s="1353"/>
      <c r="AJ998" s="1365">
        <f>IF(ISERROR((R998*AB998)),0,(R998*AB998))</f>
        <v>13811712</v>
      </c>
      <c r="AK998" s="1366"/>
      <c r="AL998" s="1366"/>
      <c r="AM998" s="1366"/>
      <c r="AN998" s="1366"/>
      <c r="AO998" s="1366"/>
      <c r="AP998" s="1366"/>
      <c r="AQ998" s="1367"/>
      <c r="AR998" s="1182"/>
      <c r="AS998" s="1182"/>
      <c r="AT998" s="1182"/>
      <c r="AU998" s="1182"/>
      <c r="AV998" s="1182"/>
      <c r="AW998" s="1182"/>
      <c r="AX998" s="1182"/>
      <c r="AY998" s="1182"/>
      <c r="AZ998" s="25"/>
      <c r="BA998" s="3"/>
      <c r="BB998" s="13"/>
      <c r="BC998" s="13"/>
    </row>
    <row r="999" spans="1:55" ht="12.95" customHeight="1">
      <c r="A999" s="13"/>
      <c r="B999" s="39"/>
      <c r="C999" s="60"/>
      <c r="D999" s="1374" t="s">
        <v>852</v>
      </c>
      <c r="E999" s="1375"/>
      <c r="F999" s="1375"/>
      <c r="G999" s="1375"/>
      <c r="H999" s="1375"/>
      <c r="I999" s="1375"/>
      <c r="J999" s="1375"/>
      <c r="K999" s="1375"/>
      <c r="L999" s="1375"/>
      <c r="M999" s="1375"/>
      <c r="N999" s="1375"/>
      <c r="O999" s="1375"/>
      <c r="P999" s="1375"/>
      <c r="Q999" s="1376"/>
      <c r="R999" s="1383">
        <f>IF(ISNA(IF($CU$122="4%",(INDEX($CS$160:$CW$217,MATCH($DG$122,$CR$160:$CR$217,0),MATCH(D999,$CS$159:$CW$159,0))),(INDEX($CZ$160:$DD$217,MATCH($DG$122,$CY$160:$CY$217,0),MATCH(D999,$CZ$159:$DD$159,0))))),0,IF($CU$122="4%",(INDEX($CS$160:$CW$217,MATCH($DG$122,$CR$160:$CR$217,0),MATCH(D999,$CS$159:$CW$159,0))),(INDEX($CZ$160:$DD$217,MATCH($DG$122,$CY$160:$CY$217,0),MATCH(D999,$CZ$159:$DD$159,0)))))</f>
        <v>641130</v>
      </c>
      <c r="S999" s="1383"/>
      <c r="T999" s="1383"/>
      <c r="U999" s="1383"/>
      <c r="V999" s="1383"/>
      <c r="W999" s="1383"/>
      <c r="X999" s="1383"/>
      <c r="Y999" s="1383"/>
      <c r="Z999" s="1383"/>
      <c r="AA999" s="1383"/>
      <c r="AB999" s="1351">
        <f>DO810+DJ810</f>
        <v>0</v>
      </c>
      <c r="AC999" s="1352"/>
      <c r="AD999" s="1352"/>
      <c r="AE999" s="1352"/>
      <c r="AF999" s="1352"/>
      <c r="AG999" s="1352"/>
      <c r="AH999" s="1352"/>
      <c r="AI999" s="1353"/>
      <c r="AJ999" s="1365">
        <f>IF(ISERROR((R999*AB999)),0,(R999*AB999))</f>
        <v>0</v>
      </c>
      <c r="AK999" s="1366"/>
      <c r="AL999" s="1366"/>
      <c r="AM999" s="1366"/>
      <c r="AN999" s="1366"/>
      <c r="AO999" s="1366"/>
      <c r="AP999" s="1366"/>
      <c r="AQ999" s="1367"/>
      <c r="AR999" s="1182"/>
      <c r="AS999" s="1182"/>
      <c r="AT999" s="1182"/>
      <c r="AU999" s="1182"/>
      <c r="AV999" s="1182"/>
      <c r="AW999" s="1182"/>
      <c r="AX999" s="1182"/>
      <c r="AY999" s="1182"/>
      <c r="AZ999" s="25"/>
      <c r="BB999" s="13"/>
      <c r="BC999" s="13"/>
    </row>
    <row r="1000" spans="1:55" ht="12.95" customHeight="1">
      <c r="A1000" s="13"/>
      <c r="B1000" s="1557" t="s">
        <v>1655</v>
      </c>
      <c r="C1000" s="1558"/>
      <c r="D1000" s="1558"/>
      <c r="E1000" s="1558"/>
      <c r="F1000" s="1558"/>
      <c r="G1000" s="1558"/>
      <c r="H1000" s="1558"/>
      <c r="I1000" s="1558"/>
      <c r="J1000" s="1558"/>
      <c r="K1000" s="1558"/>
      <c r="L1000" s="1558"/>
      <c r="M1000" s="1558"/>
      <c r="N1000" s="1558"/>
      <c r="O1000" s="1558"/>
      <c r="P1000" s="1558"/>
      <c r="Q1000" s="1558"/>
      <c r="R1000" s="1558"/>
      <c r="S1000" s="1558"/>
      <c r="T1000" s="1558"/>
      <c r="U1000" s="1558"/>
      <c r="V1000" s="1558"/>
      <c r="W1000" s="1558"/>
      <c r="X1000" s="1558"/>
      <c r="Y1000" s="1558"/>
      <c r="Z1000" s="1558"/>
      <c r="AA1000" s="1559"/>
      <c r="AB1000" s="1351">
        <f>SUM(AB995:AI999)</f>
        <v>37</v>
      </c>
      <c r="AC1000" s="1352"/>
      <c r="AD1000" s="1352"/>
      <c r="AE1000" s="1352"/>
      <c r="AF1000" s="1352"/>
      <c r="AG1000" s="1352"/>
      <c r="AH1000" s="1352"/>
      <c r="AI1000" s="1353"/>
      <c r="AJ1000" s="1365"/>
      <c r="AK1000" s="1366"/>
      <c r="AL1000" s="1366"/>
      <c r="AM1000" s="1366"/>
      <c r="AN1000" s="1366"/>
      <c r="AO1000" s="1366"/>
      <c r="AP1000" s="1366"/>
      <c r="AQ1000" s="1367"/>
      <c r="AR1000" s="1182"/>
      <c r="AS1000" s="1182"/>
      <c r="AT1000" s="1182"/>
      <c r="AU1000" s="1182"/>
      <c r="AV1000" s="1182"/>
      <c r="AW1000" s="1182"/>
      <c r="AX1000" s="1182"/>
      <c r="AY1000" s="1182"/>
      <c r="AZ1000" s="3"/>
      <c r="BA1000" s="3"/>
      <c r="BB1000" s="13"/>
      <c r="BC1000" s="13"/>
    </row>
    <row r="1001" spans="1:55" ht="12.95" customHeight="1">
      <c r="A1001" s="13"/>
      <c r="B1001" s="1554" t="s">
        <v>1656</v>
      </c>
      <c r="C1001" s="1555"/>
      <c r="D1001" s="1555"/>
      <c r="E1001" s="1555"/>
      <c r="F1001" s="1555"/>
      <c r="G1001" s="1555"/>
      <c r="H1001" s="1555"/>
      <c r="I1001" s="1555"/>
      <c r="J1001" s="1555"/>
      <c r="K1001" s="1555"/>
      <c r="L1001" s="1555"/>
      <c r="M1001" s="1555"/>
      <c r="N1001" s="1555"/>
      <c r="O1001" s="1555"/>
      <c r="P1001" s="1555"/>
      <c r="Q1001" s="1555"/>
      <c r="R1001" s="1555"/>
      <c r="S1001" s="1555"/>
      <c r="T1001" s="1555"/>
      <c r="U1001" s="1555"/>
      <c r="V1001" s="1555"/>
      <c r="W1001" s="1555"/>
      <c r="X1001" s="1555"/>
      <c r="Y1001" s="1555"/>
      <c r="Z1001" s="1555"/>
      <c r="AA1001" s="1555"/>
      <c r="AB1001" s="1555"/>
      <c r="AC1001" s="1555"/>
      <c r="AD1001" s="1555"/>
      <c r="AE1001" s="1555"/>
      <c r="AF1001" s="1555"/>
      <c r="AG1001" s="1555"/>
      <c r="AH1001" s="1555"/>
      <c r="AI1001" s="1556"/>
      <c r="AJ1001" s="1365">
        <f>SUM(AJ995:AQ999)</f>
        <v>18657046</v>
      </c>
      <c r="AK1001" s="1366"/>
      <c r="AL1001" s="1366"/>
      <c r="AM1001" s="1366"/>
      <c r="AN1001" s="1366"/>
      <c r="AO1001" s="1366"/>
      <c r="AP1001" s="1366"/>
      <c r="AQ1001" s="1367"/>
      <c r="AR1001" s="1182"/>
      <c r="AS1001" s="1182"/>
      <c r="AT1001" s="1182"/>
      <c r="AU1001" s="1182"/>
      <c r="AV1001" s="1182"/>
      <c r="AW1001" s="1182"/>
      <c r="AX1001" s="1182"/>
      <c r="AY1001" s="1182"/>
      <c r="AZ1001" s="3"/>
      <c r="BB1001" s="3"/>
      <c r="BC1001" s="3"/>
    </row>
    <row r="1002" spans="1:55" ht="12.95" customHeight="1">
      <c r="A1002" s="13"/>
      <c r="B1002" s="1551"/>
      <c r="C1002" s="1552"/>
      <c r="D1002" s="1552"/>
      <c r="E1002" s="1552"/>
      <c r="F1002" s="1552"/>
      <c r="G1002" s="1552"/>
      <c r="H1002" s="1552"/>
      <c r="I1002" s="1552"/>
      <c r="J1002" s="1552"/>
      <c r="K1002" s="1552"/>
      <c r="L1002" s="1552"/>
      <c r="M1002" s="1552"/>
      <c r="N1002" s="1552"/>
      <c r="O1002" s="1552"/>
      <c r="P1002" s="1552"/>
      <c r="Q1002" s="1552"/>
      <c r="R1002" s="1552"/>
      <c r="S1002" s="1552"/>
      <c r="T1002" s="1552"/>
      <c r="U1002" s="1552"/>
      <c r="V1002" s="1552"/>
      <c r="W1002" s="1552"/>
      <c r="X1002" s="1552"/>
      <c r="Y1002" s="1552"/>
      <c r="Z1002" s="1552"/>
      <c r="AA1002" s="1552"/>
      <c r="AB1002" s="1552"/>
      <c r="AC1002" s="1552"/>
      <c r="AD1002" s="1552"/>
      <c r="AE1002" s="1553"/>
      <c r="AF1002" s="1569" t="s">
        <v>1657</v>
      </c>
      <c r="AG1002" s="1570"/>
      <c r="AH1002" s="1570"/>
      <c r="AI1002" s="1571"/>
      <c r="AJ1002" s="1551"/>
      <c r="AK1002" s="1552"/>
      <c r="AL1002" s="1552"/>
      <c r="AM1002" s="1552"/>
      <c r="AN1002" s="1552"/>
      <c r="AO1002" s="1552"/>
      <c r="AP1002" s="1552"/>
      <c r="AQ1002" s="1553"/>
      <c r="AR1002" s="1182"/>
      <c r="AS1002" s="1182"/>
      <c r="AT1002" s="1182"/>
      <c r="AU1002" s="1182"/>
      <c r="AV1002" s="1182"/>
      <c r="AW1002" s="1182"/>
      <c r="AX1002" s="1182"/>
      <c r="AY1002" s="1182"/>
      <c r="AZ1002" s="3"/>
      <c r="BA1002" s="3"/>
      <c r="BB1002" s="3"/>
      <c r="BC1002" s="3"/>
    </row>
    <row r="1003" spans="1:55" ht="12.95" customHeight="1">
      <c r="A1003" s="13"/>
      <c r="B1003" s="58"/>
      <c r="C1003" s="1185" t="s">
        <v>1658</v>
      </c>
      <c r="D1003" s="1359" t="s">
        <v>1659</v>
      </c>
      <c r="E1003" s="1360"/>
      <c r="F1003" s="1360"/>
      <c r="G1003" s="1360"/>
      <c r="H1003" s="1360"/>
      <c r="I1003" s="1360"/>
      <c r="J1003" s="1360"/>
      <c r="K1003" s="1360"/>
      <c r="L1003" s="1360"/>
      <c r="M1003" s="1360"/>
      <c r="N1003" s="1360"/>
      <c r="O1003" s="1360"/>
      <c r="P1003" s="1360"/>
      <c r="Q1003" s="1360"/>
      <c r="R1003" s="1360"/>
      <c r="S1003" s="1360"/>
      <c r="T1003" s="1360"/>
      <c r="U1003" s="1360"/>
      <c r="V1003" s="1360"/>
      <c r="W1003" s="1360"/>
      <c r="X1003" s="1360"/>
      <c r="Y1003" s="1360"/>
      <c r="Z1003" s="1360"/>
      <c r="AA1003" s="1360"/>
      <c r="AB1003" s="1360"/>
      <c r="AC1003" s="1360"/>
      <c r="AD1003" s="1360"/>
      <c r="AE1003" s="1361"/>
      <c r="AF1003" s="61"/>
      <c r="AG1003" s="1572" t="s">
        <v>860</v>
      </c>
      <c r="AH1003" s="1573"/>
      <c r="AI1003" s="64"/>
      <c r="AJ1003" s="1329">
        <f>ROUND(IF(AND(AG1003="yes",D1009&gt;0),AJ1001*0.2,0),0)</f>
        <v>3731409</v>
      </c>
      <c r="AK1003" s="1330"/>
      <c r="AL1003" s="1330"/>
      <c r="AM1003" s="1330"/>
      <c r="AN1003" s="1330"/>
      <c r="AO1003" s="1330"/>
      <c r="AP1003" s="1330"/>
      <c r="AQ1003" s="1331"/>
      <c r="AR1003" s="1182"/>
      <c r="AS1003" s="1182"/>
      <c r="AT1003" s="1182"/>
      <c r="AU1003" s="1182"/>
      <c r="AV1003" s="1182"/>
      <c r="AW1003" s="1182"/>
      <c r="AX1003" s="1182"/>
      <c r="AY1003" s="1182"/>
      <c r="AZ1003" s="3"/>
      <c r="BA1003" s="3"/>
      <c r="BB1003" s="3"/>
      <c r="BC1003" s="3"/>
    </row>
    <row r="1004" spans="1:55" ht="12.95" customHeight="1">
      <c r="A1004" s="13"/>
      <c r="B1004" s="1186"/>
      <c r="C1004" s="1187"/>
      <c r="D1004" s="1511" t="s">
        <v>1660</v>
      </c>
      <c r="E1004" s="1512"/>
      <c r="F1004" s="1512"/>
      <c r="G1004" s="1512"/>
      <c r="H1004" s="1512"/>
      <c r="I1004" s="1512"/>
      <c r="J1004" s="1512"/>
      <c r="K1004" s="1512"/>
      <c r="L1004" s="1512"/>
      <c r="M1004" s="1512"/>
      <c r="N1004" s="1512"/>
      <c r="O1004" s="1512"/>
      <c r="P1004" s="1512"/>
      <c r="Q1004" s="1512"/>
      <c r="R1004" s="1512"/>
      <c r="S1004" s="1512"/>
      <c r="T1004" s="1512"/>
      <c r="U1004" s="1512"/>
      <c r="V1004" s="1512"/>
      <c r="W1004" s="1512"/>
      <c r="X1004" s="1512"/>
      <c r="Y1004" s="1512"/>
      <c r="Z1004" s="1512"/>
      <c r="AA1004" s="1512"/>
      <c r="AB1004" s="1512"/>
      <c r="AC1004" s="1512"/>
      <c r="AD1004" s="1512"/>
      <c r="AE1004" s="1513"/>
      <c r="AF1004" s="58"/>
      <c r="AG1004" s="13"/>
      <c r="AH1004" s="13"/>
      <c r="AI1004" s="62"/>
      <c r="AJ1004" s="1332"/>
      <c r="AK1004" s="1333"/>
      <c r="AL1004" s="1333"/>
      <c r="AM1004" s="1333"/>
      <c r="AN1004" s="1333"/>
      <c r="AO1004" s="1333"/>
      <c r="AP1004" s="1333"/>
      <c r="AQ1004" s="1334"/>
      <c r="AR1004" s="1182"/>
      <c r="AS1004" s="1182"/>
      <c r="AT1004" s="1182"/>
      <c r="AU1004" s="1182"/>
      <c r="AV1004" s="1182"/>
      <c r="AW1004" s="1182"/>
      <c r="AX1004" s="1182"/>
      <c r="AY1004" s="1182"/>
      <c r="AZ1004" s="3"/>
      <c r="BA1004" s="3"/>
      <c r="BB1004" s="3"/>
      <c r="BC1004" s="3"/>
    </row>
    <row r="1005" spans="1:55" ht="12.95" customHeight="1">
      <c r="A1005" s="13"/>
      <c r="B1005" s="1186"/>
      <c r="C1005" s="1187"/>
      <c r="D1005" s="1511"/>
      <c r="E1005" s="1512"/>
      <c r="F1005" s="1512"/>
      <c r="G1005" s="1512"/>
      <c r="H1005" s="1512"/>
      <c r="I1005" s="1512"/>
      <c r="J1005" s="1512"/>
      <c r="K1005" s="1512"/>
      <c r="L1005" s="1512"/>
      <c r="M1005" s="1512"/>
      <c r="N1005" s="1512"/>
      <c r="O1005" s="1512"/>
      <c r="P1005" s="1512"/>
      <c r="Q1005" s="1512"/>
      <c r="R1005" s="1512"/>
      <c r="S1005" s="1512"/>
      <c r="T1005" s="1512"/>
      <c r="U1005" s="1512"/>
      <c r="V1005" s="1512"/>
      <c r="W1005" s="1512"/>
      <c r="X1005" s="1512"/>
      <c r="Y1005" s="1512"/>
      <c r="Z1005" s="1512"/>
      <c r="AA1005" s="1512"/>
      <c r="AB1005" s="1512"/>
      <c r="AC1005" s="1512"/>
      <c r="AD1005" s="1512"/>
      <c r="AE1005" s="1513"/>
      <c r="AF1005" s="58"/>
      <c r="AG1005" s="13"/>
      <c r="AH1005" s="13"/>
      <c r="AI1005" s="62"/>
      <c r="AJ1005" s="1332"/>
      <c r="AK1005" s="1333"/>
      <c r="AL1005" s="1333"/>
      <c r="AM1005" s="1333"/>
      <c r="AN1005" s="1333"/>
      <c r="AO1005" s="1333"/>
      <c r="AP1005" s="1333"/>
      <c r="AQ1005" s="1334"/>
      <c r="AR1005" s="1182"/>
      <c r="AS1005" s="1182"/>
      <c r="AT1005" s="1182"/>
      <c r="AU1005" s="1182"/>
      <c r="AV1005" s="1182"/>
      <c r="AW1005" s="1182"/>
      <c r="AX1005" s="1182"/>
      <c r="AY1005" s="1182"/>
      <c r="AZ1005" s="3"/>
      <c r="BA1005" s="3"/>
      <c r="BB1005" s="3"/>
      <c r="BC1005" s="3"/>
    </row>
    <row r="1006" spans="1:55" ht="12.95" customHeight="1">
      <c r="A1006" s="13"/>
      <c r="B1006" s="1186"/>
      <c r="C1006" s="1187"/>
      <c r="D1006" s="1511"/>
      <c r="E1006" s="1512"/>
      <c r="F1006" s="1512"/>
      <c r="G1006" s="1512"/>
      <c r="H1006" s="1512"/>
      <c r="I1006" s="1512"/>
      <c r="J1006" s="1512"/>
      <c r="K1006" s="1512"/>
      <c r="L1006" s="1512"/>
      <c r="M1006" s="1512"/>
      <c r="N1006" s="1512"/>
      <c r="O1006" s="1512"/>
      <c r="P1006" s="1512"/>
      <c r="Q1006" s="1512"/>
      <c r="R1006" s="1512"/>
      <c r="S1006" s="1512"/>
      <c r="T1006" s="1512"/>
      <c r="U1006" s="1512"/>
      <c r="V1006" s="1512"/>
      <c r="W1006" s="1512"/>
      <c r="X1006" s="1512"/>
      <c r="Y1006" s="1512"/>
      <c r="Z1006" s="1512"/>
      <c r="AA1006" s="1512"/>
      <c r="AB1006" s="1512"/>
      <c r="AC1006" s="1512"/>
      <c r="AD1006" s="1512"/>
      <c r="AE1006" s="1513"/>
      <c r="AF1006" s="58"/>
      <c r="AG1006" s="13"/>
      <c r="AH1006" s="13"/>
      <c r="AI1006" s="62"/>
      <c r="AJ1006" s="1332"/>
      <c r="AK1006" s="1333"/>
      <c r="AL1006" s="1333"/>
      <c r="AM1006" s="1333"/>
      <c r="AN1006" s="1333"/>
      <c r="AO1006" s="1333"/>
      <c r="AP1006" s="1333"/>
      <c r="AQ1006" s="1334"/>
      <c r="AR1006" s="1182"/>
      <c r="AS1006" s="1182"/>
      <c r="AT1006" s="1182"/>
      <c r="AU1006" s="1182"/>
      <c r="AV1006" s="1182"/>
      <c r="AW1006" s="1182"/>
      <c r="AX1006" s="1182"/>
      <c r="AY1006" s="1182"/>
      <c r="AZ1006" s="3"/>
      <c r="BA1006" s="3"/>
      <c r="BB1006" s="3"/>
      <c r="BC1006" s="3"/>
    </row>
    <row r="1007" spans="1:55" ht="12.95" customHeight="1">
      <c r="A1007" s="13"/>
      <c r="B1007" s="1186"/>
      <c r="C1007" s="1187"/>
      <c r="D1007" s="1511"/>
      <c r="E1007" s="1512"/>
      <c r="F1007" s="1512"/>
      <c r="G1007" s="1512"/>
      <c r="H1007" s="1512"/>
      <c r="I1007" s="1512"/>
      <c r="J1007" s="1512"/>
      <c r="K1007" s="1512"/>
      <c r="L1007" s="1512"/>
      <c r="M1007" s="1512"/>
      <c r="N1007" s="1512"/>
      <c r="O1007" s="1512"/>
      <c r="P1007" s="1512"/>
      <c r="Q1007" s="1512"/>
      <c r="R1007" s="1512"/>
      <c r="S1007" s="1512"/>
      <c r="T1007" s="1512"/>
      <c r="U1007" s="1512"/>
      <c r="V1007" s="1512"/>
      <c r="W1007" s="1512"/>
      <c r="X1007" s="1512"/>
      <c r="Y1007" s="1512"/>
      <c r="Z1007" s="1512"/>
      <c r="AA1007" s="1512"/>
      <c r="AB1007" s="1512"/>
      <c r="AC1007" s="1512"/>
      <c r="AD1007" s="1512"/>
      <c r="AE1007" s="1513"/>
      <c r="AF1007" s="58"/>
      <c r="AG1007" s="13"/>
      <c r="AH1007" s="13"/>
      <c r="AI1007" s="62"/>
      <c r="AJ1007" s="1332"/>
      <c r="AK1007" s="1333"/>
      <c r="AL1007" s="1333"/>
      <c r="AM1007" s="1333"/>
      <c r="AN1007" s="1333"/>
      <c r="AO1007" s="1333"/>
      <c r="AP1007" s="1333"/>
      <c r="AQ1007" s="1334"/>
      <c r="AR1007" s="1182"/>
      <c r="AS1007" s="1182"/>
      <c r="AT1007" s="1182"/>
      <c r="AU1007" s="1182"/>
      <c r="AV1007" s="1182"/>
      <c r="AW1007" s="1182"/>
      <c r="AX1007" s="1182"/>
      <c r="AY1007" s="1182"/>
      <c r="AZ1007" s="3"/>
      <c r="BA1007" s="3"/>
      <c r="BB1007" s="3"/>
      <c r="BC1007" s="3"/>
    </row>
    <row r="1008" spans="1:55" ht="12.95" customHeight="1">
      <c r="A1008" s="13"/>
      <c r="B1008" s="1186"/>
      <c r="C1008" s="1187"/>
      <c r="D1008" s="1514" t="s">
        <v>1661</v>
      </c>
      <c r="E1008" s="1515"/>
      <c r="F1008" s="1515"/>
      <c r="G1008" s="1515"/>
      <c r="H1008" s="1515"/>
      <c r="I1008" s="1515"/>
      <c r="J1008" s="1515"/>
      <c r="K1008" s="1515"/>
      <c r="L1008" s="1515"/>
      <c r="M1008" s="1515"/>
      <c r="N1008" s="1515"/>
      <c r="O1008" s="1515"/>
      <c r="P1008" s="1515"/>
      <c r="Q1008" s="1515"/>
      <c r="R1008" s="1515"/>
      <c r="S1008" s="1515"/>
      <c r="T1008" s="1515"/>
      <c r="U1008" s="1515"/>
      <c r="V1008" s="1515"/>
      <c r="W1008" s="1515"/>
      <c r="X1008" s="1515"/>
      <c r="Y1008" s="1515"/>
      <c r="Z1008" s="1515"/>
      <c r="AA1008" s="1515"/>
      <c r="AB1008" s="1515"/>
      <c r="AC1008" s="1515"/>
      <c r="AD1008" s="1515"/>
      <c r="AE1008" s="1516"/>
      <c r="AF1008" s="58"/>
      <c r="AG1008" s="13"/>
      <c r="AH1008" s="13"/>
      <c r="AI1008" s="62"/>
      <c r="AJ1008" s="1332"/>
      <c r="AK1008" s="1333"/>
      <c r="AL1008" s="1333"/>
      <c r="AM1008" s="1333"/>
      <c r="AN1008" s="1333"/>
      <c r="AO1008" s="1333"/>
      <c r="AP1008" s="1333"/>
      <c r="AQ1008" s="1334"/>
      <c r="AR1008" s="1182"/>
      <c r="AS1008" s="1182"/>
      <c r="AT1008" s="1182"/>
      <c r="AU1008" s="1182"/>
      <c r="AV1008" s="1182"/>
      <c r="AW1008" s="1182"/>
      <c r="AX1008" s="1182"/>
      <c r="AY1008" s="1182"/>
      <c r="AZ1008" s="3"/>
      <c r="BA1008" s="3"/>
      <c r="BB1008" s="3"/>
      <c r="BC1008" s="3"/>
    </row>
    <row r="1009" spans="1:55" ht="12.95" customHeight="1">
      <c r="A1009" s="13"/>
      <c r="B1009" s="1186"/>
      <c r="C1009" s="1187"/>
      <c r="D1009" s="1508" t="s">
        <v>1662</v>
      </c>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59"/>
      <c r="AG1009" s="6"/>
      <c r="AH1009" s="6"/>
      <c r="AI1009" s="60"/>
      <c r="AJ1009" s="1335"/>
      <c r="AK1009" s="1336"/>
      <c r="AL1009" s="1336"/>
      <c r="AM1009" s="1336"/>
      <c r="AN1009" s="1336"/>
      <c r="AO1009" s="1336"/>
      <c r="AP1009" s="1336"/>
      <c r="AQ1009" s="1337"/>
      <c r="AR1009" s="1182"/>
      <c r="AS1009" s="1182"/>
      <c r="AT1009" s="1182"/>
      <c r="AU1009" s="1182"/>
      <c r="AV1009" s="1182"/>
      <c r="AW1009" s="1182"/>
      <c r="AX1009" s="1182"/>
      <c r="AY1009" s="1182"/>
      <c r="AZ1009" s="3"/>
      <c r="BA1009" s="3"/>
      <c r="BB1009" s="3"/>
      <c r="BC1009" s="3"/>
    </row>
    <row r="1010" spans="1:55" ht="12.95" customHeight="1">
      <c r="A1010" s="13"/>
      <c r="B1010" s="1188"/>
      <c r="C1010" s="1189"/>
      <c r="D1010" s="1313" t="s">
        <v>1663</v>
      </c>
      <c r="E1010" s="1314"/>
      <c r="F1010" s="1314"/>
      <c r="G1010" s="1314"/>
      <c r="H1010" s="1314"/>
      <c r="I1010" s="1314"/>
      <c r="J1010" s="1314"/>
      <c r="K1010" s="1314"/>
      <c r="L1010" s="1314"/>
      <c r="M1010" s="1314"/>
      <c r="N1010" s="1314"/>
      <c r="O1010" s="1314"/>
      <c r="P1010" s="1314"/>
      <c r="Q1010" s="1314"/>
      <c r="R1010" s="1314"/>
      <c r="S1010" s="1314"/>
      <c r="T1010" s="1314"/>
      <c r="U1010" s="1314"/>
      <c r="V1010" s="1314"/>
      <c r="W1010" s="1314"/>
      <c r="X1010" s="1314"/>
      <c r="Y1010" s="1314"/>
      <c r="Z1010" s="1314"/>
      <c r="AA1010" s="1314"/>
      <c r="AB1010" s="1314"/>
      <c r="AC1010" s="1314"/>
      <c r="AD1010" s="1314"/>
      <c r="AE1010" s="1315"/>
      <c r="AF1010" s="61"/>
      <c r="AG1010" s="1323" t="s">
        <v>700</v>
      </c>
      <c r="AH1010" s="1324"/>
      <c r="AI1010" s="64"/>
      <c r="AJ1010" s="1329">
        <f>ROUND(IF(AG1010="yes",AJ1001*0.05,0),0)</f>
        <v>0</v>
      </c>
      <c r="AK1010" s="1330"/>
      <c r="AL1010" s="1330"/>
      <c r="AM1010" s="1330"/>
      <c r="AN1010" s="1330"/>
      <c r="AO1010" s="1330"/>
      <c r="AP1010" s="1330"/>
      <c r="AQ1010" s="1331"/>
      <c r="AR1010" s="1182"/>
      <c r="AS1010" s="1182"/>
      <c r="AT1010" s="1182"/>
      <c r="AU1010" s="1182"/>
      <c r="AV1010" s="1182"/>
      <c r="AW1010" s="1182"/>
      <c r="AX1010" s="1182"/>
      <c r="AY1010" s="1182"/>
      <c r="AZ1010" s="3"/>
      <c r="BA1010" s="3"/>
      <c r="BB1010" s="3"/>
      <c r="BC1010" s="3"/>
    </row>
    <row r="1011" spans="1:55" ht="12.95" customHeight="1">
      <c r="A1011" s="13"/>
      <c r="B1011" s="1186"/>
      <c r="C1011" s="1190"/>
      <c r="D1011" s="1511" t="s">
        <v>1664</v>
      </c>
      <c r="E1011" s="1512"/>
      <c r="F1011" s="1512"/>
      <c r="G1011" s="1512"/>
      <c r="H1011" s="1512"/>
      <c r="I1011" s="1512"/>
      <c r="J1011" s="1512"/>
      <c r="K1011" s="1512"/>
      <c r="L1011" s="1512"/>
      <c r="M1011" s="1512"/>
      <c r="N1011" s="1512"/>
      <c r="O1011" s="1512"/>
      <c r="P1011" s="1512"/>
      <c r="Q1011" s="1512"/>
      <c r="R1011" s="1512"/>
      <c r="S1011" s="1512"/>
      <c r="T1011" s="1512"/>
      <c r="U1011" s="1512"/>
      <c r="V1011" s="1512"/>
      <c r="W1011" s="1512"/>
      <c r="X1011" s="1512"/>
      <c r="Y1011" s="1512"/>
      <c r="Z1011" s="1512"/>
      <c r="AA1011" s="1512"/>
      <c r="AB1011" s="1512"/>
      <c r="AC1011" s="1512"/>
      <c r="AD1011" s="1512"/>
      <c r="AE1011" s="1513"/>
      <c r="AF1011" s="58"/>
      <c r="AG1011" s="13"/>
      <c r="AH1011" s="13"/>
      <c r="AI1011" s="62"/>
      <c r="AJ1011" s="1332"/>
      <c r="AK1011" s="1333"/>
      <c r="AL1011" s="1333"/>
      <c r="AM1011" s="1333"/>
      <c r="AN1011" s="1333"/>
      <c r="AO1011" s="1333"/>
      <c r="AP1011" s="1333"/>
      <c r="AQ1011" s="1334"/>
      <c r="AR1011" s="1182"/>
      <c r="AS1011" s="1182"/>
      <c r="AT1011" s="1182"/>
      <c r="AU1011" s="1182"/>
      <c r="AV1011" s="1182"/>
      <c r="AW1011" s="1182"/>
      <c r="AX1011" s="1182"/>
      <c r="AY1011" s="3"/>
      <c r="AZ1011" s="3"/>
      <c r="BB1011" s="3"/>
    </row>
    <row r="1012" spans="1:55" ht="12.95" customHeight="1">
      <c r="A1012" s="13"/>
      <c r="B1012" s="1186"/>
      <c r="C1012" s="1190"/>
      <c r="D1012" s="1511"/>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58"/>
      <c r="AG1012" s="13"/>
      <c r="AH1012" s="13"/>
      <c r="AI1012" s="62"/>
      <c r="AJ1012" s="1332"/>
      <c r="AK1012" s="1333"/>
      <c r="AL1012" s="1333"/>
      <c r="AM1012" s="1333"/>
      <c r="AN1012" s="1333"/>
      <c r="AO1012" s="1333"/>
      <c r="AP1012" s="1333"/>
      <c r="AQ1012" s="1334"/>
      <c r="AR1012" s="1182"/>
      <c r="AS1012" s="1182"/>
      <c r="AT1012" s="1182"/>
      <c r="AU1012" s="1182"/>
      <c r="AV1012" s="1182"/>
      <c r="AW1012" s="1182"/>
      <c r="AX1012" s="1182"/>
      <c r="AY1012" s="806">
        <f>G761+O805</f>
        <v>36</v>
      </c>
      <c r="AZ1012" s="3"/>
      <c r="BB1012" s="3"/>
    </row>
    <row r="1013" spans="1:55" ht="12.95" customHeight="1">
      <c r="A1013" s="13"/>
      <c r="B1013" s="1186"/>
      <c r="C1013" s="1190"/>
      <c r="D1013" s="1511"/>
      <c r="E1013" s="1512"/>
      <c r="F1013" s="1512"/>
      <c r="G1013" s="1512"/>
      <c r="H1013" s="1512"/>
      <c r="I1013" s="1512"/>
      <c r="J1013" s="1512"/>
      <c r="K1013" s="1512"/>
      <c r="L1013" s="1512"/>
      <c r="M1013" s="1512"/>
      <c r="N1013" s="1512"/>
      <c r="O1013" s="1512"/>
      <c r="P1013" s="1512"/>
      <c r="Q1013" s="1512"/>
      <c r="R1013" s="1512"/>
      <c r="S1013" s="1512"/>
      <c r="T1013" s="1512"/>
      <c r="U1013" s="1512"/>
      <c r="V1013" s="1512"/>
      <c r="W1013" s="1512"/>
      <c r="X1013" s="1512"/>
      <c r="Y1013" s="1512"/>
      <c r="Z1013" s="1512"/>
      <c r="AA1013" s="1512"/>
      <c r="AB1013" s="1512"/>
      <c r="AC1013" s="1512"/>
      <c r="AD1013" s="1512"/>
      <c r="AE1013" s="1513"/>
      <c r="AF1013" s="58"/>
      <c r="AG1013" s="13"/>
      <c r="AH1013" s="13"/>
      <c r="AI1013" s="62"/>
      <c r="AJ1013" s="1332"/>
      <c r="AK1013" s="1333"/>
      <c r="AL1013" s="1333"/>
      <c r="AM1013" s="1333"/>
      <c r="AN1013" s="1333"/>
      <c r="AO1013" s="1333"/>
      <c r="AP1013" s="1333"/>
      <c r="AQ1013" s="1334"/>
      <c r="AR1013" s="1182"/>
      <c r="AS1013" s="1182"/>
      <c r="AT1013" s="1182"/>
      <c r="AU1013" s="1182"/>
      <c r="AV1013" s="1182"/>
      <c r="AW1013" s="1182"/>
      <c r="AX1013" s="1182"/>
      <c r="AY1013" s="13"/>
      <c r="AZ1013" s="3"/>
      <c r="BB1013" s="3"/>
    </row>
    <row r="1014" spans="1:55" ht="12.95" customHeight="1">
      <c r="A1014" s="13"/>
      <c r="B1014" s="1186"/>
      <c r="C1014" s="1190"/>
      <c r="D1014" s="1511"/>
      <c r="E1014" s="1512"/>
      <c r="F1014" s="1512"/>
      <c r="G1014" s="1512"/>
      <c r="H1014" s="1512"/>
      <c r="I1014" s="1512"/>
      <c r="J1014" s="1512"/>
      <c r="K1014" s="1512"/>
      <c r="L1014" s="1512"/>
      <c r="M1014" s="1512"/>
      <c r="N1014" s="1512"/>
      <c r="O1014" s="1512"/>
      <c r="P1014" s="1512"/>
      <c r="Q1014" s="1512"/>
      <c r="R1014" s="1512"/>
      <c r="S1014" s="1512"/>
      <c r="T1014" s="1512"/>
      <c r="U1014" s="1512"/>
      <c r="V1014" s="1512"/>
      <c r="W1014" s="1512"/>
      <c r="X1014" s="1512"/>
      <c r="Y1014" s="1512"/>
      <c r="Z1014" s="1512"/>
      <c r="AA1014" s="1512"/>
      <c r="AB1014" s="1512"/>
      <c r="AC1014" s="1512"/>
      <c r="AD1014" s="1512"/>
      <c r="AE1014" s="1513"/>
      <c r="AF1014" s="58"/>
      <c r="AG1014" s="13"/>
      <c r="AH1014" s="13"/>
      <c r="AI1014" s="62"/>
      <c r="AJ1014" s="1332"/>
      <c r="AK1014" s="1333"/>
      <c r="AL1014" s="1333"/>
      <c r="AM1014" s="1333"/>
      <c r="AN1014" s="1333"/>
      <c r="AO1014" s="1333"/>
      <c r="AP1014" s="1333"/>
      <c r="AQ1014" s="1334"/>
      <c r="AR1014" s="1182"/>
      <c r="AS1014" s="1182"/>
      <c r="AT1014" s="1182"/>
      <c r="AU1014" s="1182"/>
      <c r="AV1014" s="1182"/>
      <c r="AW1014" s="1182"/>
      <c r="AX1014" s="1182"/>
      <c r="AY1014" s="805">
        <f>ROUNDDOWN(X1057/I1057,2)</f>
        <v>0.3</v>
      </c>
      <c r="AZ1014" s="3"/>
      <c r="BB1014" s="3"/>
    </row>
    <row r="1015" spans="1:55" ht="12.95" customHeight="1">
      <c r="A1015" s="13"/>
      <c r="B1015" s="1191"/>
      <c r="C1015" s="1192"/>
      <c r="D1015" s="1514"/>
      <c r="E1015" s="1515"/>
      <c r="F1015" s="1515"/>
      <c r="G1015" s="1515"/>
      <c r="H1015" s="1515"/>
      <c r="I1015" s="1515"/>
      <c r="J1015" s="1515"/>
      <c r="K1015" s="1515"/>
      <c r="L1015" s="1515"/>
      <c r="M1015" s="1515"/>
      <c r="N1015" s="1515"/>
      <c r="O1015" s="1515"/>
      <c r="P1015" s="1515"/>
      <c r="Q1015" s="1515"/>
      <c r="R1015" s="1515"/>
      <c r="S1015" s="1515"/>
      <c r="T1015" s="1515"/>
      <c r="U1015" s="1515"/>
      <c r="V1015" s="1515"/>
      <c r="W1015" s="1515"/>
      <c r="X1015" s="1515"/>
      <c r="Y1015" s="1515"/>
      <c r="Z1015" s="1515"/>
      <c r="AA1015" s="1515"/>
      <c r="AB1015" s="1515"/>
      <c r="AC1015" s="1515"/>
      <c r="AD1015" s="1515"/>
      <c r="AE1015" s="1516"/>
      <c r="AF1015" s="59"/>
      <c r="AG1015" s="6"/>
      <c r="AH1015" s="6"/>
      <c r="AI1015" s="60"/>
      <c r="AJ1015" s="1335"/>
      <c r="AK1015" s="1336"/>
      <c r="AL1015" s="1336"/>
      <c r="AM1015" s="1336"/>
      <c r="AN1015" s="1336"/>
      <c r="AO1015" s="1336"/>
      <c r="AP1015" s="1336"/>
      <c r="AQ1015" s="1337"/>
      <c r="AR1015" s="1182"/>
      <c r="AS1015" s="1182"/>
      <c r="AT1015" s="1182"/>
      <c r="AU1015" s="1182"/>
      <c r="AV1015" s="1182"/>
      <c r="AW1015" s="1182"/>
      <c r="AX1015" s="1182"/>
      <c r="AY1015" s="805">
        <f>ROUNDDOWN(X1061/I1061,2)</f>
        <v>0.08</v>
      </c>
      <c r="AZ1015" s="3"/>
      <c r="BB1015" s="3"/>
    </row>
    <row r="1016" spans="1:55" ht="12.95" customHeight="1">
      <c r="A1016" s="13"/>
      <c r="B1016" s="1188"/>
      <c r="C1016" s="242" t="s">
        <v>1665</v>
      </c>
      <c r="D1016" s="1313" t="s">
        <v>1666</v>
      </c>
      <c r="E1016" s="1314"/>
      <c r="F1016" s="1314"/>
      <c r="G1016" s="1314"/>
      <c r="H1016" s="1314"/>
      <c r="I1016" s="1314"/>
      <c r="J1016" s="1314"/>
      <c r="K1016" s="1314"/>
      <c r="L1016" s="1314"/>
      <c r="M1016" s="1314"/>
      <c r="N1016" s="1314"/>
      <c r="O1016" s="1314"/>
      <c r="P1016" s="1314"/>
      <c r="Q1016" s="1314"/>
      <c r="R1016" s="1314"/>
      <c r="S1016" s="1314"/>
      <c r="T1016" s="1314"/>
      <c r="U1016" s="1314"/>
      <c r="V1016" s="1314"/>
      <c r="W1016" s="1314"/>
      <c r="X1016" s="1314"/>
      <c r="Y1016" s="1314"/>
      <c r="Z1016" s="1314"/>
      <c r="AA1016" s="1314"/>
      <c r="AB1016" s="1314"/>
      <c r="AC1016" s="1314"/>
      <c r="AD1016" s="1314"/>
      <c r="AE1016" s="1315"/>
      <c r="AF1016" s="63"/>
      <c r="AG1016" s="1323" t="s">
        <v>700</v>
      </c>
      <c r="AH1016" s="1324"/>
      <c r="AI1016" s="64"/>
      <c r="AJ1016" s="1329">
        <f>ROUND(IF(AG1016="yes",AJ1001*0.1,0),0)</f>
        <v>0</v>
      </c>
      <c r="AK1016" s="1330"/>
      <c r="AL1016" s="1330"/>
      <c r="AM1016" s="1330"/>
      <c r="AN1016" s="1330"/>
      <c r="AO1016" s="1330"/>
      <c r="AP1016" s="1330"/>
      <c r="AQ1016" s="1331"/>
      <c r="AR1016" s="1182"/>
      <c r="AS1016" s="1182"/>
      <c r="AT1016" s="1182"/>
      <c r="AU1016" s="1182"/>
      <c r="AV1016" s="1182"/>
      <c r="AW1016" s="1182"/>
      <c r="AX1016" s="1182"/>
      <c r="BB1016" s="3"/>
    </row>
    <row r="1017" spans="1:55" ht="12.95" customHeight="1">
      <c r="A1017" s="13"/>
      <c r="B1017" s="58"/>
      <c r="C1017" s="1193"/>
      <c r="D1017" s="1316" t="s">
        <v>1667</v>
      </c>
      <c r="E1017" s="1317"/>
      <c r="F1017" s="1317"/>
      <c r="G1017" s="1317"/>
      <c r="H1017" s="1317"/>
      <c r="I1017" s="1317"/>
      <c r="J1017" s="1317"/>
      <c r="K1017" s="1317"/>
      <c r="L1017" s="1317"/>
      <c r="M1017" s="1317"/>
      <c r="N1017" s="1317"/>
      <c r="O1017" s="1317"/>
      <c r="P1017" s="1317"/>
      <c r="Q1017" s="1317"/>
      <c r="R1017" s="1317"/>
      <c r="S1017" s="1317"/>
      <c r="T1017" s="1317"/>
      <c r="U1017" s="1317"/>
      <c r="V1017" s="1317"/>
      <c r="W1017" s="1317"/>
      <c r="X1017" s="1317"/>
      <c r="Y1017" s="1317"/>
      <c r="Z1017" s="1317"/>
      <c r="AA1017" s="1317"/>
      <c r="AB1017" s="1317"/>
      <c r="AC1017" s="1317"/>
      <c r="AD1017" s="1317"/>
      <c r="AE1017" s="1318"/>
      <c r="AF1017" s="58"/>
      <c r="AI1017" s="62"/>
      <c r="AJ1017" s="1332"/>
      <c r="AK1017" s="1333"/>
      <c r="AL1017" s="1333"/>
      <c r="AM1017" s="1333"/>
      <c r="AN1017" s="1333"/>
      <c r="AO1017" s="1333"/>
      <c r="AP1017" s="1333"/>
      <c r="AQ1017" s="1334"/>
      <c r="AR1017" s="1182"/>
      <c r="AS1017" s="1182"/>
      <c r="AT1017" s="1182"/>
      <c r="AU1017" s="1182"/>
      <c r="AV1017" s="1182"/>
      <c r="AW1017" s="1182"/>
      <c r="AX1017" s="1182"/>
    </row>
    <row r="1018" spans="1:55" ht="12.95" customHeight="1">
      <c r="A1018" s="13"/>
      <c r="B1018" s="58"/>
      <c r="C1018" s="1193"/>
      <c r="D1018" s="1316"/>
      <c r="E1018" s="1317"/>
      <c r="F1018" s="1317"/>
      <c r="G1018" s="1317"/>
      <c r="H1018" s="1317"/>
      <c r="I1018" s="1317"/>
      <c r="J1018" s="1317"/>
      <c r="K1018" s="1317"/>
      <c r="L1018" s="1317"/>
      <c r="M1018" s="1317"/>
      <c r="N1018" s="1317"/>
      <c r="O1018" s="1317"/>
      <c r="P1018" s="1317"/>
      <c r="Q1018" s="1317"/>
      <c r="R1018" s="1317"/>
      <c r="S1018" s="1317"/>
      <c r="T1018" s="1317"/>
      <c r="U1018" s="1317"/>
      <c r="V1018" s="1317"/>
      <c r="W1018" s="1317"/>
      <c r="X1018" s="1317"/>
      <c r="Y1018" s="1317"/>
      <c r="Z1018" s="1317"/>
      <c r="AA1018" s="1317"/>
      <c r="AB1018" s="1317"/>
      <c r="AC1018" s="1317"/>
      <c r="AD1018" s="1317"/>
      <c r="AE1018" s="1318"/>
      <c r="AF1018" s="58"/>
      <c r="AG1018" s="13"/>
      <c r="AH1018" s="13"/>
      <c r="AI1018" s="62"/>
      <c r="AJ1018" s="1332"/>
      <c r="AK1018" s="1333"/>
      <c r="AL1018" s="1333"/>
      <c r="AM1018" s="1333"/>
      <c r="AN1018" s="1333"/>
      <c r="AO1018" s="1333"/>
      <c r="AP1018" s="1333"/>
      <c r="AQ1018" s="1334"/>
      <c r="AR1018" s="1182"/>
      <c r="AS1018" s="1182"/>
      <c r="AT1018" s="1182"/>
      <c r="AU1018" s="1182"/>
      <c r="AV1018" s="1182"/>
      <c r="AW1018" s="1182"/>
      <c r="AX1018" s="1182"/>
    </row>
    <row r="1019" spans="1:55" ht="12.95" customHeight="1">
      <c r="A1019" s="13"/>
      <c r="B1019" s="1194"/>
      <c r="C1019" s="1192"/>
      <c r="D1019" s="1362"/>
      <c r="E1019" s="1363"/>
      <c r="F1019" s="1363"/>
      <c r="G1019" s="1363"/>
      <c r="H1019" s="1363"/>
      <c r="I1019" s="1363"/>
      <c r="J1019" s="1363"/>
      <c r="K1019" s="1363"/>
      <c r="L1019" s="1363"/>
      <c r="M1019" s="1363"/>
      <c r="N1019" s="1363"/>
      <c r="O1019" s="1363"/>
      <c r="P1019" s="1363"/>
      <c r="Q1019" s="1363"/>
      <c r="R1019" s="1363"/>
      <c r="S1019" s="1363"/>
      <c r="T1019" s="1363"/>
      <c r="U1019" s="1363"/>
      <c r="V1019" s="1363"/>
      <c r="W1019" s="1363"/>
      <c r="X1019" s="1363"/>
      <c r="Y1019" s="1363"/>
      <c r="Z1019" s="1363"/>
      <c r="AA1019" s="1363"/>
      <c r="AB1019" s="1363"/>
      <c r="AC1019" s="1363"/>
      <c r="AD1019" s="1363"/>
      <c r="AE1019" s="1364"/>
      <c r="AF1019" s="59"/>
      <c r="AG1019" s="6"/>
      <c r="AH1019" s="6"/>
      <c r="AI1019" s="60"/>
      <c r="AJ1019" s="1335"/>
      <c r="AK1019" s="1336"/>
      <c r="AL1019" s="1336"/>
      <c r="AM1019" s="1336"/>
      <c r="AN1019" s="1336"/>
      <c r="AO1019" s="1336"/>
      <c r="AP1019" s="1336"/>
      <c r="AQ1019" s="1337"/>
      <c r="AR1019" s="1182"/>
      <c r="AS1019" s="1182"/>
      <c r="AT1019" s="1182"/>
      <c r="AU1019" s="1182"/>
      <c r="AV1019" s="1182"/>
      <c r="AW1019" s="1182"/>
      <c r="AX1019" s="1182"/>
    </row>
    <row r="1020" spans="1:55" ht="12.95" customHeight="1">
      <c r="A1020" s="13"/>
      <c r="B1020" s="61"/>
      <c r="C1020" s="242" t="s">
        <v>1668</v>
      </c>
      <c r="D1020" s="1313" t="s">
        <v>1669</v>
      </c>
      <c r="E1020" s="1314"/>
      <c r="F1020" s="1314"/>
      <c r="G1020" s="1314"/>
      <c r="H1020" s="1314"/>
      <c r="I1020" s="1314"/>
      <c r="J1020" s="1314"/>
      <c r="K1020" s="1314"/>
      <c r="L1020" s="1314"/>
      <c r="M1020" s="1314"/>
      <c r="N1020" s="1314"/>
      <c r="O1020" s="1314"/>
      <c r="P1020" s="1314"/>
      <c r="Q1020" s="1314"/>
      <c r="R1020" s="1314"/>
      <c r="S1020" s="1314"/>
      <c r="T1020" s="1314"/>
      <c r="U1020" s="1314"/>
      <c r="V1020" s="1314"/>
      <c r="W1020" s="1314"/>
      <c r="X1020" s="1314"/>
      <c r="Y1020" s="1314"/>
      <c r="Z1020" s="1314"/>
      <c r="AA1020" s="1314"/>
      <c r="AB1020" s="1314"/>
      <c r="AC1020" s="1314"/>
      <c r="AD1020" s="1314"/>
      <c r="AE1020" s="1315"/>
      <c r="AF1020" s="61"/>
      <c r="AG1020" s="1323" t="s">
        <v>700</v>
      </c>
      <c r="AH1020" s="1324"/>
      <c r="AI1020" s="64"/>
      <c r="AJ1020" s="1329">
        <f>ROUND(IF(AG1020="yes",AJ1001*0.02,0),0)</f>
        <v>0</v>
      </c>
      <c r="AK1020" s="1330"/>
      <c r="AL1020" s="1330"/>
      <c r="AM1020" s="1330"/>
      <c r="AN1020" s="1330"/>
      <c r="AO1020" s="1330"/>
      <c r="AP1020" s="1330"/>
      <c r="AQ1020" s="1331"/>
      <c r="AR1020" s="1182"/>
      <c r="AS1020" s="1182"/>
      <c r="AT1020" s="1182"/>
      <c r="AU1020" s="1182"/>
      <c r="AV1020" s="1182"/>
      <c r="AW1020" s="1182"/>
      <c r="AX1020" s="1182"/>
    </row>
    <row r="1021" spans="1:55" ht="14.25" customHeight="1">
      <c r="A1021" s="13"/>
      <c r="B1021" s="58"/>
      <c r="C1021" s="1193"/>
      <c r="D1021" s="1362" t="s">
        <v>1670</v>
      </c>
      <c r="E1021" s="1363"/>
      <c r="F1021" s="1363"/>
      <c r="G1021" s="1363"/>
      <c r="H1021" s="1363"/>
      <c r="I1021" s="1363"/>
      <c r="J1021" s="1363"/>
      <c r="K1021" s="1363"/>
      <c r="L1021" s="1363"/>
      <c r="M1021" s="1363"/>
      <c r="N1021" s="1363"/>
      <c r="O1021" s="1363"/>
      <c r="P1021" s="1363"/>
      <c r="Q1021" s="1363"/>
      <c r="R1021" s="1363"/>
      <c r="S1021" s="1363"/>
      <c r="T1021" s="1363"/>
      <c r="U1021" s="1363"/>
      <c r="V1021" s="1363"/>
      <c r="W1021" s="1363"/>
      <c r="X1021" s="1363"/>
      <c r="Y1021" s="1363"/>
      <c r="Z1021" s="1363"/>
      <c r="AA1021" s="1363"/>
      <c r="AB1021" s="1363"/>
      <c r="AC1021" s="1363"/>
      <c r="AD1021" s="1363"/>
      <c r="AE1021" s="1364"/>
      <c r="AF1021" s="59"/>
      <c r="AG1021" s="6"/>
      <c r="AH1021" s="6"/>
      <c r="AI1021" s="60"/>
      <c r="AJ1021" s="1335"/>
      <c r="AK1021" s="1336"/>
      <c r="AL1021" s="1336"/>
      <c r="AM1021" s="1336"/>
      <c r="AN1021" s="1336"/>
      <c r="AO1021" s="1336"/>
      <c r="AP1021" s="1336"/>
      <c r="AQ1021" s="1337"/>
      <c r="AR1021" s="1182"/>
      <c r="AS1021" s="1182"/>
      <c r="AT1021" s="1182"/>
      <c r="AU1021" s="1182"/>
      <c r="AV1021" s="1182"/>
      <c r="AW1021" s="1182"/>
      <c r="AX1021" s="3" t="s">
        <v>1671</v>
      </c>
      <c r="AZ1021" s="3" t="s">
        <v>1672</v>
      </c>
    </row>
    <row r="1022" spans="1:55" ht="12.95" customHeight="1">
      <c r="A1022" s="13"/>
      <c r="B1022" s="61"/>
      <c r="C1022" s="242" t="s">
        <v>1673</v>
      </c>
      <c r="D1022" s="1313" t="s">
        <v>1674</v>
      </c>
      <c r="E1022" s="1314"/>
      <c r="F1022" s="1314"/>
      <c r="G1022" s="1314"/>
      <c r="H1022" s="1314"/>
      <c r="I1022" s="1314"/>
      <c r="J1022" s="1314"/>
      <c r="K1022" s="1314"/>
      <c r="L1022" s="1314"/>
      <c r="M1022" s="1314"/>
      <c r="N1022" s="1314"/>
      <c r="O1022" s="1314"/>
      <c r="P1022" s="1314"/>
      <c r="Q1022" s="1314"/>
      <c r="R1022" s="1314"/>
      <c r="S1022" s="1314"/>
      <c r="T1022" s="1314"/>
      <c r="U1022" s="1314"/>
      <c r="V1022" s="1314"/>
      <c r="W1022" s="1314"/>
      <c r="X1022" s="1314"/>
      <c r="Y1022" s="1314"/>
      <c r="Z1022" s="1314"/>
      <c r="AA1022" s="1314"/>
      <c r="AB1022" s="1314"/>
      <c r="AC1022" s="1314"/>
      <c r="AD1022" s="1314"/>
      <c r="AE1022" s="1315"/>
      <c r="AF1022" s="61"/>
      <c r="AG1022" s="1323" t="s">
        <v>700</v>
      </c>
      <c r="AH1022" s="1324"/>
      <c r="AI1022" s="61"/>
      <c r="AJ1022" s="1329">
        <f>ROUND(IF(AG1022="yes",AJ1001*0.02,0),0)</f>
        <v>0</v>
      </c>
      <c r="AK1022" s="1330"/>
      <c r="AL1022" s="1330"/>
      <c r="AM1022" s="1330"/>
      <c r="AN1022" s="1330"/>
      <c r="AO1022" s="1330"/>
      <c r="AP1022" s="1330"/>
      <c r="AQ1022" s="1331"/>
      <c r="AR1022" s="1182"/>
      <c r="AS1022" s="1182"/>
      <c r="AT1022" s="1182"/>
      <c r="AU1022" s="1182"/>
      <c r="AV1022" s="1182"/>
      <c r="AW1022" s="1182"/>
      <c r="AX1022" s="3">
        <v>1</v>
      </c>
      <c r="AY1022" s="1195">
        <f>IF((_xlfn.XLOOKUP(AX1022,$C$1074:$C$1112,$A$1074:$A$1112,"",0,1))="Yes",AZ1022,0)</f>
        <v>0</v>
      </c>
      <c r="AZ1022" s="1078">
        <v>0.2</v>
      </c>
    </row>
    <row r="1023" spans="1:55" ht="12.95" customHeight="1">
      <c r="A1023" s="13"/>
      <c r="B1023" s="58"/>
      <c r="C1023" s="1193"/>
      <c r="D1023" s="1316" t="s">
        <v>1675</v>
      </c>
      <c r="E1023" s="1317"/>
      <c r="F1023" s="1317"/>
      <c r="G1023" s="1317"/>
      <c r="H1023" s="1317"/>
      <c r="I1023" s="1317"/>
      <c r="J1023" s="1317"/>
      <c r="K1023" s="1317"/>
      <c r="L1023" s="1317"/>
      <c r="M1023" s="1317"/>
      <c r="N1023" s="1317"/>
      <c r="O1023" s="1317"/>
      <c r="P1023" s="1317"/>
      <c r="Q1023" s="1317"/>
      <c r="R1023" s="1317"/>
      <c r="S1023" s="1317"/>
      <c r="T1023" s="1317"/>
      <c r="U1023" s="1317"/>
      <c r="V1023" s="1317"/>
      <c r="W1023" s="1317"/>
      <c r="X1023" s="1317"/>
      <c r="Y1023" s="1317"/>
      <c r="Z1023" s="1317"/>
      <c r="AA1023" s="1317"/>
      <c r="AB1023" s="1317"/>
      <c r="AC1023" s="1317"/>
      <c r="AD1023" s="1317"/>
      <c r="AE1023" s="1318"/>
      <c r="AF1023" s="1345" t="str">
        <f>IF(AND(AG1022="yes",T212&lt;&gt;1),"The project may not be eligible for this boost","")</f>
        <v/>
      </c>
      <c r="AG1023" s="1346"/>
      <c r="AH1023" s="1346"/>
      <c r="AI1023" s="1347"/>
      <c r="AJ1023" s="1332"/>
      <c r="AK1023" s="1333"/>
      <c r="AL1023" s="1333"/>
      <c r="AM1023" s="1333"/>
      <c r="AN1023" s="1333"/>
      <c r="AO1023" s="1333"/>
      <c r="AP1023" s="1333"/>
      <c r="AQ1023" s="1334"/>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362"/>
      <c r="E1024" s="1363"/>
      <c r="F1024" s="1363"/>
      <c r="G1024" s="1363"/>
      <c r="H1024" s="1363"/>
      <c r="I1024" s="1363"/>
      <c r="J1024" s="1363"/>
      <c r="K1024" s="1363"/>
      <c r="L1024" s="1363"/>
      <c r="M1024" s="1363"/>
      <c r="N1024" s="1363"/>
      <c r="O1024" s="1363"/>
      <c r="P1024" s="1363"/>
      <c r="Q1024" s="1363"/>
      <c r="R1024" s="1363"/>
      <c r="S1024" s="1363"/>
      <c r="T1024" s="1363"/>
      <c r="U1024" s="1363"/>
      <c r="V1024" s="1363"/>
      <c r="W1024" s="1363"/>
      <c r="X1024" s="1363"/>
      <c r="Y1024" s="1363"/>
      <c r="Z1024" s="1363"/>
      <c r="AA1024" s="1363"/>
      <c r="AB1024" s="1363"/>
      <c r="AC1024" s="1363"/>
      <c r="AD1024" s="1363"/>
      <c r="AE1024" s="1364"/>
      <c r="AF1024" s="1348"/>
      <c r="AG1024" s="1349"/>
      <c r="AH1024" s="1349"/>
      <c r="AI1024" s="1350"/>
      <c r="AJ1024" s="1335"/>
      <c r="AK1024" s="1336"/>
      <c r="AL1024" s="1336"/>
      <c r="AM1024" s="1336"/>
      <c r="AN1024" s="1336"/>
      <c r="AO1024" s="1336"/>
      <c r="AP1024" s="1336"/>
      <c r="AQ1024" s="1337"/>
      <c r="AR1024" s="1182"/>
      <c r="AS1024" s="1182"/>
      <c r="AT1024" s="1182"/>
      <c r="AU1024" s="1182"/>
      <c r="AV1024" s="1182"/>
      <c r="AW1024" s="1182"/>
      <c r="AX1024" s="3">
        <v>3</v>
      </c>
      <c r="AY1024" s="1195">
        <f t="shared" si="55"/>
        <v>0</v>
      </c>
      <c r="AZ1024" s="1078">
        <v>0.05</v>
      </c>
    </row>
    <row r="1025" spans="1:52" ht="12.95" customHeight="1">
      <c r="A1025" s="13"/>
      <c r="B1025" s="61"/>
      <c r="C1025" s="242" t="s">
        <v>1676</v>
      </c>
      <c r="D1025" s="1359" t="s">
        <v>1677</v>
      </c>
      <c r="E1025" s="1360"/>
      <c r="F1025" s="1360"/>
      <c r="G1025" s="1360"/>
      <c r="H1025" s="1360"/>
      <c r="I1025" s="1360"/>
      <c r="J1025" s="1360"/>
      <c r="K1025" s="1360"/>
      <c r="L1025" s="1360"/>
      <c r="M1025" s="1360"/>
      <c r="N1025" s="1360"/>
      <c r="O1025" s="1360"/>
      <c r="P1025" s="1360"/>
      <c r="Q1025" s="1360"/>
      <c r="R1025" s="1360"/>
      <c r="S1025" s="1360"/>
      <c r="T1025" s="1360"/>
      <c r="U1025" s="1360"/>
      <c r="V1025" s="1360"/>
      <c r="W1025" s="1360"/>
      <c r="X1025" s="1360"/>
      <c r="Y1025" s="1360"/>
      <c r="Z1025" s="1360"/>
      <c r="AA1025" s="1360"/>
      <c r="AB1025" s="1360"/>
      <c r="AC1025" s="1360"/>
      <c r="AD1025" s="1360"/>
      <c r="AE1025" s="1361"/>
      <c r="AF1025" s="61"/>
      <c r="AG1025" s="1323" t="s">
        <v>700</v>
      </c>
      <c r="AH1025" s="1324"/>
      <c r="AI1025" s="64"/>
      <c r="AJ1025" s="1329">
        <f>IF(AG1025="yes",AJ1001*AY1033,0)</f>
        <v>0</v>
      </c>
      <c r="AK1025" s="1330"/>
      <c r="AL1025" s="1330"/>
      <c r="AM1025" s="1330"/>
      <c r="AN1025" s="1330"/>
      <c r="AO1025" s="1330"/>
      <c r="AP1025" s="1330"/>
      <c r="AQ1025" s="1331"/>
      <c r="AR1025" s="1182"/>
      <c r="AS1025" s="1182"/>
      <c r="AT1025" s="1182"/>
      <c r="AU1025" s="1182"/>
      <c r="AV1025" s="1182"/>
      <c r="AW1025" s="1182"/>
      <c r="AX1025" s="3">
        <v>4</v>
      </c>
      <c r="AY1025" s="1195">
        <f t="shared" si="55"/>
        <v>0</v>
      </c>
      <c r="AZ1025" s="1078">
        <v>0.02</v>
      </c>
    </row>
    <row r="1026" spans="1:52" ht="12.95" customHeight="1">
      <c r="A1026" s="13"/>
      <c r="B1026" s="58"/>
      <c r="C1026" s="1193"/>
      <c r="D1026" s="1316" t="s">
        <v>1678</v>
      </c>
      <c r="E1026" s="1317"/>
      <c r="F1026" s="1317"/>
      <c r="G1026" s="1317"/>
      <c r="H1026" s="1317"/>
      <c r="I1026" s="1317"/>
      <c r="J1026" s="1317"/>
      <c r="K1026" s="1317"/>
      <c r="L1026" s="1317"/>
      <c r="M1026" s="1317"/>
      <c r="N1026" s="1317"/>
      <c r="O1026" s="1317"/>
      <c r="P1026" s="1317"/>
      <c r="Q1026" s="1317"/>
      <c r="R1026" s="1317"/>
      <c r="S1026" s="1317"/>
      <c r="T1026" s="1317"/>
      <c r="U1026" s="1317"/>
      <c r="V1026" s="1317"/>
      <c r="W1026" s="1317"/>
      <c r="X1026" s="1317"/>
      <c r="Y1026" s="1317"/>
      <c r="Z1026" s="1317"/>
      <c r="AA1026" s="1317"/>
      <c r="AB1026" s="1317"/>
      <c r="AC1026" s="1317"/>
      <c r="AD1026" s="1317"/>
      <c r="AE1026" s="1318"/>
      <c r="AF1026" s="1339" t="str">
        <f>IF(AND(AG1025="Yes",AY1033=0),AY1036,"")</f>
        <v/>
      </c>
      <c r="AG1026" s="1340"/>
      <c r="AH1026" s="1340"/>
      <c r="AI1026" s="1341"/>
      <c r="AJ1026" s="1332"/>
      <c r="AK1026" s="1333"/>
      <c r="AL1026" s="1333"/>
      <c r="AM1026" s="1333"/>
      <c r="AN1026" s="1333"/>
      <c r="AO1026" s="1333"/>
      <c r="AP1026" s="1333"/>
      <c r="AQ1026" s="1334"/>
      <c r="AR1026" s="1182"/>
      <c r="AS1026" s="1182"/>
      <c r="AT1026" s="1182"/>
      <c r="AU1026" s="1182"/>
      <c r="AV1026" s="1182"/>
      <c r="AW1026" s="1182"/>
      <c r="AX1026" s="3">
        <v>5</v>
      </c>
      <c r="AY1026" s="1195">
        <f t="shared" si="55"/>
        <v>0</v>
      </c>
      <c r="AZ1026" s="1078">
        <v>0.04</v>
      </c>
    </row>
    <row r="1027" spans="1:52" ht="12.95" customHeight="1">
      <c r="A1027" s="13"/>
      <c r="B1027" s="58"/>
      <c r="C1027" s="1193"/>
      <c r="D1027" s="1316"/>
      <c r="E1027" s="1317"/>
      <c r="F1027" s="1317"/>
      <c r="G1027" s="1317"/>
      <c r="H1027" s="1317"/>
      <c r="I1027" s="1317"/>
      <c r="J1027" s="1317"/>
      <c r="K1027" s="1317"/>
      <c r="L1027" s="1317"/>
      <c r="M1027" s="1317"/>
      <c r="N1027" s="1317"/>
      <c r="O1027" s="1317"/>
      <c r="P1027" s="1317"/>
      <c r="Q1027" s="1317"/>
      <c r="R1027" s="1317"/>
      <c r="S1027" s="1317"/>
      <c r="T1027" s="1317"/>
      <c r="U1027" s="1317"/>
      <c r="V1027" s="1317"/>
      <c r="W1027" s="1317"/>
      <c r="X1027" s="1317"/>
      <c r="Y1027" s="1317"/>
      <c r="Z1027" s="1317"/>
      <c r="AA1027" s="1317"/>
      <c r="AB1027" s="1317"/>
      <c r="AC1027" s="1317"/>
      <c r="AD1027" s="1317"/>
      <c r="AE1027" s="1318"/>
      <c r="AF1027" s="1339"/>
      <c r="AG1027" s="1340"/>
      <c r="AH1027" s="1340"/>
      <c r="AI1027" s="1341"/>
      <c r="AJ1027" s="1332"/>
      <c r="AK1027" s="1333"/>
      <c r="AL1027" s="1333"/>
      <c r="AM1027" s="1333"/>
      <c r="AN1027" s="1333"/>
      <c r="AO1027" s="1333"/>
      <c r="AP1027" s="1333"/>
      <c r="AQ1027" s="1334"/>
      <c r="AR1027" s="1182"/>
      <c r="AS1027" s="1182"/>
      <c r="AT1027" s="1182"/>
      <c r="AU1027" s="1182"/>
      <c r="AV1027" s="1182"/>
      <c r="AW1027" s="1182"/>
      <c r="AX1027" s="3">
        <v>6</v>
      </c>
      <c r="AY1027" s="1195">
        <f t="shared" si="55"/>
        <v>0</v>
      </c>
      <c r="AZ1027" s="1078">
        <v>0.04</v>
      </c>
    </row>
    <row r="1028" spans="1:52" ht="12.95" customHeight="1">
      <c r="A1028" s="13"/>
      <c r="B1028" s="1196"/>
      <c r="C1028" s="1190"/>
      <c r="D1028" s="1362"/>
      <c r="E1028" s="1363"/>
      <c r="F1028" s="1363"/>
      <c r="G1028" s="1363"/>
      <c r="H1028" s="1363"/>
      <c r="I1028" s="1363"/>
      <c r="J1028" s="1363"/>
      <c r="K1028" s="1363"/>
      <c r="L1028" s="1363"/>
      <c r="M1028" s="1363"/>
      <c r="N1028" s="1363"/>
      <c r="O1028" s="1363"/>
      <c r="P1028" s="1363"/>
      <c r="Q1028" s="1363"/>
      <c r="R1028" s="1363"/>
      <c r="S1028" s="1363"/>
      <c r="T1028" s="1363"/>
      <c r="U1028" s="1363"/>
      <c r="V1028" s="1363"/>
      <c r="W1028" s="1363"/>
      <c r="X1028" s="1363"/>
      <c r="Y1028" s="1363"/>
      <c r="Z1028" s="1363"/>
      <c r="AA1028" s="1363"/>
      <c r="AB1028" s="1363"/>
      <c r="AC1028" s="1363"/>
      <c r="AD1028" s="1363"/>
      <c r="AE1028" s="1364"/>
      <c r="AF1028" s="1342"/>
      <c r="AG1028" s="1343"/>
      <c r="AH1028" s="1343"/>
      <c r="AI1028" s="1344"/>
      <c r="AJ1028" s="1335"/>
      <c r="AK1028" s="1336"/>
      <c r="AL1028" s="1336"/>
      <c r="AM1028" s="1336"/>
      <c r="AN1028" s="1336"/>
      <c r="AO1028" s="1336"/>
      <c r="AP1028" s="1336"/>
      <c r="AQ1028" s="1337"/>
      <c r="AR1028" s="1182"/>
      <c r="AS1028" s="1182"/>
      <c r="AT1028" s="1182"/>
      <c r="AU1028" s="1182"/>
      <c r="AV1028" s="1182"/>
      <c r="AW1028" s="1182"/>
      <c r="AX1028" s="3">
        <v>7</v>
      </c>
      <c r="AY1028" s="1195">
        <f t="shared" si="55"/>
        <v>0</v>
      </c>
      <c r="AZ1028" s="1078">
        <v>0.01</v>
      </c>
    </row>
    <row r="1029" spans="1:52" ht="12.95" customHeight="1">
      <c r="A1029" s="13"/>
      <c r="B1029" s="61"/>
      <c r="C1029" s="242" t="s">
        <v>1679</v>
      </c>
      <c r="D1029" s="1521" t="s">
        <v>1680</v>
      </c>
      <c r="E1029" s="1522"/>
      <c r="F1029" s="1522"/>
      <c r="G1029" s="1522"/>
      <c r="H1029" s="1522"/>
      <c r="I1029" s="1522"/>
      <c r="J1029" s="1522"/>
      <c r="K1029" s="1522"/>
      <c r="L1029" s="1522"/>
      <c r="M1029" s="1522"/>
      <c r="N1029" s="1522"/>
      <c r="O1029" s="1522"/>
      <c r="P1029" s="1522"/>
      <c r="Q1029" s="1522"/>
      <c r="R1029" s="1522"/>
      <c r="S1029" s="1522"/>
      <c r="T1029" s="1522"/>
      <c r="U1029" s="1522"/>
      <c r="V1029" s="1522"/>
      <c r="W1029" s="1522"/>
      <c r="X1029" s="1522"/>
      <c r="Y1029" s="1522"/>
      <c r="Z1029" s="1522"/>
      <c r="AA1029" s="1522"/>
      <c r="AB1029" s="1522"/>
      <c r="AC1029" s="1522"/>
      <c r="AD1029" s="1522"/>
      <c r="AE1029" s="1523"/>
      <c r="AF1029" s="61"/>
      <c r="AG1029" s="1323" t="s">
        <v>700</v>
      </c>
      <c r="AH1029" s="1324"/>
      <c r="AI1029" s="64"/>
      <c r="AJ1029" s="1329">
        <f>ROUND(IF(AND(AG1029="Yes",J1033&lt;&gt;"N/A",AF1032&lt;&gt;""),MIN(AF1032,(0.15*AJ1001)),0),0)</f>
        <v>0</v>
      </c>
      <c r="AK1029" s="1330"/>
      <c r="AL1029" s="1330"/>
      <c r="AM1029" s="1330"/>
      <c r="AN1029" s="1330"/>
      <c r="AO1029" s="1330"/>
      <c r="AP1029" s="1330"/>
      <c r="AQ1029" s="1331"/>
      <c r="AR1029" s="1182"/>
      <c r="AS1029" s="1182"/>
      <c r="AT1029" s="1182"/>
      <c r="AU1029" s="1182"/>
      <c r="AV1029" s="1182"/>
      <c r="AW1029" s="1182"/>
      <c r="AX1029" s="3">
        <v>8</v>
      </c>
      <c r="AY1029" s="1195">
        <f t="shared" si="55"/>
        <v>0</v>
      </c>
      <c r="AZ1029" s="1078">
        <v>0.01</v>
      </c>
    </row>
    <row r="1030" spans="1:52" ht="12.95" customHeight="1">
      <c r="A1030" s="13"/>
      <c r="B1030" s="1196"/>
      <c r="C1030" s="1197"/>
      <c r="D1030" s="1524"/>
      <c r="E1030" s="1525"/>
      <c r="F1030" s="1525"/>
      <c r="G1030" s="1525"/>
      <c r="H1030" s="1525"/>
      <c r="I1030" s="1525"/>
      <c r="J1030" s="1525"/>
      <c r="K1030" s="1525"/>
      <c r="L1030" s="1525"/>
      <c r="M1030" s="1525"/>
      <c r="N1030" s="1525"/>
      <c r="O1030" s="1525"/>
      <c r="P1030" s="1525"/>
      <c r="Q1030" s="1525"/>
      <c r="R1030" s="1525"/>
      <c r="S1030" s="1525"/>
      <c r="T1030" s="1525"/>
      <c r="U1030" s="1525"/>
      <c r="V1030" s="1525"/>
      <c r="W1030" s="1525"/>
      <c r="X1030" s="1525"/>
      <c r="Y1030" s="1525"/>
      <c r="Z1030" s="1525"/>
      <c r="AA1030" s="1525"/>
      <c r="AB1030" s="1525"/>
      <c r="AC1030" s="1525"/>
      <c r="AD1030" s="1525"/>
      <c r="AE1030" s="1526"/>
      <c r="AF1030" s="1368" t="str">
        <f>IF(AG1029="yes","Please Select Type and Enter Amount:","")</f>
        <v/>
      </c>
      <c r="AG1030" s="1369"/>
      <c r="AH1030" s="1369"/>
      <c r="AI1030" s="1370"/>
      <c r="AJ1030" s="1332"/>
      <c r="AK1030" s="1333"/>
      <c r="AL1030" s="1333"/>
      <c r="AM1030" s="1333"/>
      <c r="AN1030" s="1333"/>
      <c r="AO1030" s="1333"/>
      <c r="AP1030" s="1333"/>
      <c r="AQ1030" s="1334"/>
      <c r="AR1030" s="1182"/>
      <c r="AS1030" s="1182"/>
      <c r="AT1030" s="1182"/>
      <c r="AU1030" s="1182"/>
      <c r="AV1030" s="1182"/>
      <c r="AW1030" s="1182"/>
      <c r="AX1030" s="3">
        <v>9</v>
      </c>
      <c r="AY1030" s="1195">
        <f t="shared" si="55"/>
        <v>0</v>
      </c>
      <c r="AZ1030" s="1078">
        <v>0.01</v>
      </c>
    </row>
    <row r="1031" spans="1:52" ht="12.95" customHeight="1">
      <c r="A1031" s="13"/>
      <c r="B1031" s="1196"/>
      <c r="C1031" s="1197"/>
      <c r="D1031" s="1316" t="s">
        <v>1681</v>
      </c>
      <c r="E1031" s="1317"/>
      <c r="F1031" s="1317"/>
      <c r="G1031" s="1317"/>
      <c r="H1031" s="1317"/>
      <c r="I1031" s="1317"/>
      <c r="J1031" s="1317"/>
      <c r="K1031" s="1317"/>
      <c r="L1031" s="1317"/>
      <c r="M1031" s="1317"/>
      <c r="N1031" s="1317"/>
      <c r="O1031" s="1317"/>
      <c r="P1031" s="1317"/>
      <c r="Q1031" s="1317"/>
      <c r="R1031" s="1317"/>
      <c r="S1031" s="1317"/>
      <c r="T1031" s="1317"/>
      <c r="U1031" s="1317"/>
      <c r="V1031" s="1317"/>
      <c r="W1031" s="1317"/>
      <c r="X1031" s="1317"/>
      <c r="Y1031" s="1317"/>
      <c r="Z1031" s="1317"/>
      <c r="AA1031" s="1317"/>
      <c r="AB1031" s="1317"/>
      <c r="AC1031" s="1317"/>
      <c r="AD1031" s="1317"/>
      <c r="AE1031" s="1318"/>
      <c r="AF1031" s="1368"/>
      <c r="AG1031" s="1369"/>
      <c r="AH1031" s="1369"/>
      <c r="AI1031" s="1370"/>
      <c r="AJ1031" s="1332"/>
      <c r="AK1031" s="1333"/>
      <c r="AL1031" s="1333"/>
      <c r="AM1031" s="1333"/>
      <c r="AN1031" s="1333"/>
      <c r="AO1031" s="1333"/>
      <c r="AP1031" s="1333"/>
      <c r="AQ1031" s="1334"/>
      <c r="AR1031" s="1182"/>
      <c r="AS1031" s="1182"/>
      <c r="AT1031" s="1182"/>
      <c r="AU1031" s="1182"/>
      <c r="AV1031" s="1182"/>
      <c r="AW1031" s="1182"/>
      <c r="AX1031" s="3">
        <v>10</v>
      </c>
      <c r="AY1031" s="1195">
        <f t="shared" si="55"/>
        <v>0</v>
      </c>
      <c r="AZ1031" s="1078">
        <v>0.02</v>
      </c>
    </row>
    <row r="1032" spans="1:52" ht="12.95" customHeight="1">
      <c r="A1032" s="13"/>
      <c r="B1032" s="1196"/>
      <c r="C1032" s="1197"/>
      <c r="D1032" s="1316"/>
      <c r="E1032" s="1317"/>
      <c r="F1032" s="1317"/>
      <c r="G1032" s="1317"/>
      <c r="H1032" s="1317"/>
      <c r="I1032" s="1317"/>
      <c r="J1032" s="1317"/>
      <c r="K1032" s="1317"/>
      <c r="L1032" s="1317"/>
      <c r="M1032" s="1317"/>
      <c r="N1032" s="1317"/>
      <c r="O1032" s="1317"/>
      <c r="P1032" s="1317"/>
      <c r="Q1032" s="1317"/>
      <c r="R1032" s="1317"/>
      <c r="S1032" s="1317"/>
      <c r="T1032" s="1317"/>
      <c r="U1032" s="1317"/>
      <c r="V1032" s="1317"/>
      <c r="W1032" s="1317"/>
      <c r="X1032" s="1317"/>
      <c r="Y1032" s="1317"/>
      <c r="Z1032" s="1317"/>
      <c r="AA1032" s="1317"/>
      <c r="AB1032" s="1317"/>
      <c r="AC1032" s="1317"/>
      <c r="AD1032" s="1317"/>
      <c r="AE1032" s="1318"/>
      <c r="AF1032" s="1530"/>
      <c r="AG1032" s="1530"/>
      <c r="AH1032" s="1530"/>
      <c r="AI1032" s="1530"/>
      <c r="AJ1032" s="1332"/>
      <c r="AK1032" s="1333"/>
      <c r="AL1032" s="1333"/>
      <c r="AM1032" s="1333"/>
      <c r="AN1032" s="1333"/>
      <c r="AO1032" s="1333"/>
      <c r="AP1032" s="1333"/>
      <c r="AQ1032" s="1334"/>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1682</v>
      </c>
      <c r="E1033" s="66"/>
      <c r="F1033" s="66"/>
      <c r="G1033" s="788"/>
      <c r="H1033" s="788"/>
      <c r="I1033" s="41"/>
      <c r="J1033" s="1548" t="s">
        <v>826</v>
      </c>
      <c r="K1033" s="1549"/>
      <c r="L1033" s="1549"/>
      <c r="M1033" s="1549"/>
      <c r="N1033" s="1549"/>
      <c r="O1033" s="1549"/>
      <c r="P1033" s="1549"/>
      <c r="Q1033" s="1549"/>
      <c r="R1033" s="1549"/>
      <c r="S1033" s="1549"/>
      <c r="T1033" s="1549"/>
      <c r="U1033" s="1549"/>
      <c r="V1033" s="1549"/>
      <c r="W1033" s="1549"/>
      <c r="X1033" s="1549"/>
      <c r="Y1033" s="1549"/>
      <c r="Z1033" s="1549"/>
      <c r="AA1033" s="1549"/>
      <c r="AB1033" s="1549"/>
      <c r="AC1033" s="1549"/>
      <c r="AD1033" s="1549"/>
      <c r="AE1033" s="1550"/>
      <c r="AF1033" s="1530"/>
      <c r="AG1033" s="1530"/>
      <c r="AH1033" s="1530"/>
      <c r="AI1033" s="1530"/>
      <c r="AJ1033" s="1335"/>
      <c r="AK1033" s="1336"/>
      <c r="AL1033" s="1336"/>
      <c r="AM1033" s="1336"/>
      <c r="AN1033" s="1336"/>
      <c r="AO1033" s="1336"/>
      <c r="AP1033" s="1336"/>
      <c r="AQ1033" s="1337"/>
      <c r="AR1033" s="1182"/>
      <c r="AS1033" s="1182"/>
      <c r="AT1033" s="1182"/>
      <c r="AU1033" s="1182"/>
      <c r="AV1033" s="1182"/>
      <c r="AW1033" s="1182"/>
      <c r="AX1033" s="918" t="s">
        <v>1683</v>
      </c>
      <c r="AY1033" s="1198">
        <f>IF(SUM(AY1022:AY1032)&lt;=0.2,SUM(AY1022:AY1032),0.2)</f>
        <v>0</v>
      </c>
    </row>
    <row r="1034" spans="1:52" ht="12.95" customHeight="1">
      <c r="A1034" s="13"/>
      <c r="B1034" s="61"/>
      <c r="C1034" s="242" t="s">
        <v>1684</v>
      </c>
      <c r="D1034" s="1313" t="s">
        <v>1685</v>
      </c>
      <c r="E1034" s="1314"/>
      <c r="F1034" s="1314"/>
      <c r="G1034" s="1314"/>
      <c r="H1034" s="1314"/>
      <c r="I1034" s="1314"/>
      <c r="J1034" s="1314"/>
      <c r="K1034" s="1314"/>
      <c r="L1034" s="1314"/>
      <c r="M1034" s="1314"/>
      <c r="N1034" s="1314"/>
      <c r="O1034" s="1314"/>
      <c r="P1034" s="1314"/>
      <c r="Q1034" s="1314"/>
      <c r="R1034" s="1314"/>
      <c r="S1034" s="1314"/>
      <c r="T1034" s="1314"/>
      <c r="U1034" s="1314"/>
      <c r="V1034" s="1314"/>
      <c r="W1034" s="1314"/>
      <c r="X1034" s="1314"/>
      <c r="Y1034" s="1314"/>
      <c r="Z1034" s="1314"/>
      <c r="AA1034" s="1314"/>
      <c r="AB1034" s="1314"/>
      <c r="AC1034" s="1314"/>
      <c r="AD1034" s="1314"/>
      <c r="AE1034" s="1315"/>
      <c r="AF1034" s="61"/>
      <c r="AG1034" s="1323" t="s">
        <v>700</v>
      </c>
      <c r="AH1034" s="1324"/>
      <c r="AI1034" s="64"/>
      <c r="AJ1034" s="1329">
        <f>ROUND(IF(AG1034="Yes",AF1036,0),0)</f>
        <v>0</v>
      </c>
      <c r="AK1034" s="1330"/>
      <c r="AL1034" s="1330"/>
      <c r="AM1034" s="1330"/>
      <c r="AN1034" s="1330"/>
      <c r="AO1034" s="1330"/>
      <c r="AP1034" s="1330"/>
      <c r="AQ1034" s="1331"/>
      <c r="AR1034" s="1182"/>
      <c r="AS1034" s="1182"/>
      <c r="AT1034" s="1182"/>
      <c r="AU1034" s="1182"/>
      <c r="AV1034" s="1182"/>
      <c r="AW1034" s="1182"/>
      <c r="AX1034" s="1182"/>
      <c r="AY1034" s="1182"/>
    </row>
    <row r="1035" spans="1:52" ht="12.95" customHeight="1">
      <c r="A1035" s="13"/>
      <c r="B1035" s="58"/>
      <c r="C1035" s="1193"/>
      <c r="D1035" s="1316" t="s">
        <v>1686</v>
      </c>
      <c r="E1035" s="1317"/>
      <c r="F1035" s="1317"/>
      <c r="G1035" s="1317"/>
      <c r="H1035" s="1317"/>
      <c r="I1035" s="1317"/>
      <c r="J1035" s="1317"/>
      <c r="K1035" s="1317"/>
      <c r="L1035" s="1317"/>
      <c r="M1035" s="1317"/>
      <c r="N1035" s="1317"/>
      <c r="O1035" s="1317"/>
      <c r="P1035" s="1317"/>
      <c r="Q1035" s="1317"/>
      <c r="R1035" s="1317"/>
      <c r="S1035" s="1317"/>
      <c r="T1035" s="1317"/>
      <c r="U1035" s="1317"/>
      <c r="V1035" s="1317"/>
      <c r="W1035" s="1317"/>
      <c r="X1035" s="1317"/>
      <c r="Y1035" s="1317"/>
      <c r="Z1035" s="1317"/>
      <c r="AA1035" s="1317"/>
      <c r="AB1035" s="1317"/>
      <c r="AC1035" s="1317"/>
      <c r="AD1035" s="1317"/>
      <c r="AE1035" s="1318"/>
      <c r="AF1035" s="1527" t="str">
        <f>IF(AG1034="yes","Enter Amount:","")</f>
        <v/>
      </c>
      <c r="AG1035" s="1528"/>
      <c r="AH1035" s="1528"/>
      <c r="AI1035" s="1529"/>
      <c r="AJ1035" s="1332"/>
      <c r="AK1035" s="1333"/>
      <c r="AL1035" s="1333"/>
      <c r="AM1035" s="1333"/>
      <c r="AN1035" s="1333"/>
      <c r="AO1035" s="1333"/>
      <c r="AP1035" s="1333"/>
      <c r="AQ1035" s="1334"/>
      <c r="AR1035" s="1182"/>
      <c r="AS1035" s="1182"/>
      <c r="AT1035" s="1182"/>
      <c r="AU1035" s="1182"/>
      <c r="AV1035" s="1182"/>
      <c r="AW1035" s="1182"/>
      <c r="AX1035" s="1182"/>
      <c r="AY1035" s="1182"/>
    </row>
    <row r="1036" spans="1:52" ht="12.95" customHeight="1">
      <c r="A1036" s="13"/>
      <c r="B1036" s="58"/>
      <c r="C1036" s="1193"/>
      <c r="D1036" s="1316"/>
      <c r="E1036" s="1317"/>
      <c r="F1036" s="1317"/>
      <c r="G1036" s="1317"/>
      <c r="H1036" s="1317"/>
      <c r="I1036" s="1317"/>
      <c r="J1036" s="1317"/>
      <c r="K1036" s="1317"/>
      <c r="L1036" s="1317"/>
      <c r="M1036" s="1317"/>
      <c r="N1036" s="1317"/>
      <c r="O1036" s="1317"/>
      <c r="P1036" s="1317"/>
      <c r="Q1036" s="1317"/>
      <c r="R1036" s="1317"/>
      <c r="S1036" s="1317"/>
      <c r="T1036" s="1317"/>
      <c r="U1036" s="1317"/>
      <c r="V1036" s="1317"/>
      <c r="W1036" s="1317"/>
      <c r="X1036" s="1317"/>
      <c r="Y1036" s="1317"/>
      <c r="Z1036" s="1317"/>
      <c r="AA1036" s="1317"/>
      <c r="AB1036" s="1317"/>
      <c r="AC1036" s="1317"/>
      <c r="AD1036" s="1317"/>
      <c r="AE1036" s="1318"/>
      <c r="AF1036" s="1530"/>
      <c r="AG1036" s="1530"/>
      <c r="AH1036" s="1530"/>
      <c r="AI1036" s="1530"/>
      <c r="AJ1036" s="1332"/>
      <c r="AK1036" s="1333"/>
      <c r="AL1036" s="1333"/>
      <c r="AM1036" s="1333"/>
      <c r="AN1036" s="1333"/>
      <c r="AO1036" s="1333"/>
      <c r="AP1036" s="1333"/>
      <c r="AQ1036" s="1334"/>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362"/>
      <c r="E1037" s="1363"/>
      <c r="F1037" s="1363"/>
      <c r="G1037" s="1363"/>
      <c r="H1037" s="1363"/>
      <c r="I1037" s="1363"/>
      <c r="J1037" s="1363"/>
      <c r="K1037" s="1363"/>
      <c r="L1037" s="1363"/>
      <c r="M1037" s="1363"/>
      <c r="N1037" s="1363"/>
      <c r="O1037" s="1363"/>
      <c r="P1037" s="1363"/>
      <c r="Q1037" s="1363"/>
      <c r="R1037" s="1363"/>
      <c r="S1037" s="1363"/>
      <c r="T1037" s="1363"/>
      <c r="U1037" s="1363"/>
      <c r="V1037" s="1363"/>
      <c r="W1037" s="1363"/>
      <c r="X1037" s="1363"/>
      <c r="Y1037" s="1363"/>
      <c r="Z1037" s="1363"/>
      <c r="AA1037" s="1363"/>
      <c r="AB1037" s="1363"/>
      <c r="AC1037" s="1363"/>
      <c r="AD1037" s="1363"/>
      <c r="AE1037" s="1364"/>
      <c r="AF1037" s="1530"/>
      <c r="AG1037" s="1530"/>
      <c r="AH1037" s="1530"/>
      <c r="AI1037" s="1530"/>
      <c r="AJ1037" s="1335"/>
      <c r="AK1037" s="1336"/>
      <c r="AL1037" s="1336"/>
      <c r="AM1037" s="1336"/>
      <c r="AN1037" s="1336"/>
      <c r="AO1037" s="1336"/>
      <c r="AP1037" s="1336"/>
      <c r="AQ1037" s="1337"/>
      <c r="AR1037" s="1182"/>
      <c r="AS1037" s="1182"/>
      <c r="AT1037" s="1182"/>
      <c r="AU1037" s="1182"/>
      <c r="AV1037" s="1182"/>
      <c r="AW1037" s="1182"/>
      <c r="AX1037" s="1182"/>
      <c r="AY1037" s="1182"/>
    </row>
    <row r="1038" spans="1:52" ht="12.95" customHeight="1">
      <c r="A1038" s="13"/>
      <c r="B1038" s="61"/>
      <c r="C1038" s="242" t="s">
        <v>1687</v>
      </c>
      <c r="D1038" s="1359" t="s">
        <v>1688</v>
      </c>
      <c r="E1038" s="1360"/>
      <c r="F1038" s="1360"/>
      <c r="G1038" s="1360"/>
      <c r="H1038" s="1360"/>
      <c r="I1038" s="1360"/>
      <c r="J1038" s="1360"/>
      <c r="K1038" s="1360"/>
      <c r="L1038" s="1360"/>
      <c r="M1038" s="1360"/>
      <c r="N1038" s="1360"/>
      <c r="O1038" s="1360"/>
      <c r="P1038" s="1360"/>
      <c r="Q1038" s="1360"/>
      <c r="R1038" s="1360"/>
      <c r="S1038" s="1360"/>
      <c r="T1038" s="1360"/>
      <c r="U1038" s="1360"/>
      <c r="V1038" s="1360"/>
      <c r="W1038" s="1360"/>
      <c r="X1038" s="1360"/>
      <c r="Y1038" s="1360"/>
      <c r="Z1038" s="1360"/>
      <c r="AA1038" s="1360"/>
      <c r="AB1038" s="1360"/>
      <c r="AC1038" s="1360"/>
      <c r="AD1038" s="1360"/>
      <c r="AE1038" s="1361"/>
      <c r="AF1038" s="61"/>
      <c r="AG1038" s="1323" t="s">
        <v>700</v>
      </c>
      <c r="AH1038" s="1324"/>
      <c r="AI1038" s="64"/>
      <c r="AJ1038" s="1329">
        <f>ROUND(IF(AG1038="yes",(AJ1001*0.1),0),0)</f>
        <v>0</v>
      </c>
      <c r="AK1038" s="1330"/>
      <c r="AL1038" s="1330"/>
      <c r="AM1038" s="1330"/>
      <c r="AN1038" s="1330"/>
      <c r="AO1038" s="1330"/>
      <c r="AP1038" s="1330"/>
      <c r="AQ1038" s="1331"/>
      <c r="AR1038" s="1182"/>
      <c r="AS1038" s="1182"/>
      <c r="AT1038" s="1182"/>
      <c r="AU1038" s="1182"/>
      <c r="AV1038" s="1182"/>
      <c r="AW1038" s="1182"/>
      <c r="AX1038" s="1182"/>
      <c r="AY1038" s="1182"/>
    </row>
    <row r="1039" spans="1:52" ht="12.95" customHeight="1">
      <c r="A1039" s="13"/>
      <c r="B1039" s="58"/>
      <c r="C1039" s="1193"/>
      <c r="D1039" s="1316" t="s">
        <v>1689</v>
      </c>
      <c r="E1039" s="1317"/>
      <c r="F1039" s="1317"/>
      <c r="G1039" s="1317"/>
      <c r="H1039" s="1317"/>
      <c r="I1039" s="1317"/>
      <c r="J1039" s="1317"/>
      <c r="K1039" s="1317"/>
      <c r="L1039" s="1317"/>
      <c r="M1039" s="1317"/>
      <c r="N1039" s="1317"/>
      <c r="O1039" s="1317"/>
      <c r="P1039" s="1317"/>
      <c r="Q1039" s="1317"/>
      <c r="R1039" s="1317"/>
      <c r="S1039" s="1317"/>
      <c r="T1039" s="1317"/>
      <c r="U1039" s="1317"/>
      <c r="V1039" s="1317"/>
      <c r="W1039" s="1317"/>
      <c r="X1039" s="1317"/>
      <c r="Y1039" s="1317"/>
      <c r="Z1039" s="1317"/>
      <c r="AA1039" s="1317"/>
      <c r="AB1039" s="1317"/>
      <c r="AC1039" s="1317"/>
      <c r="AD1039" s="1317"/>
      <c r="AE1039" s="1318"/>
      <c r="AF1039" s="58"/>
      <c r="AG1039" s="13"/>
      <c r="AH1039" s="13"/>
      <c r="AI1039" s="62"/>
      <c r="AJ1039" s="1332"/>
      <c r="AK1039" s="1333"/>
      <c r="AL1039" s="1333"/>
      <c r="AM1039" s="1333"/>
      <c r="AN1039" s="1333"/>
      <c r="AO1039" s="1333"/>
      <c r="AP1039" s="1333"/>
      <c r="AQ1039" s="1334"/>
      <c r="AR1039" s="1182"/>
      <c r="AS1039" s="1182"/>
      <c r="AT1039" s="1182"/>
      <c r="AU1039" s="1182"/>
      <c r="AV1039" s="1182"/>
      <c r="AW1039" s="1182"/>
      <c r="AX1039" s="1182"/>
      <c r="AY1039" s="1182"/>
    </row>
    <row r="1040" spans="1:52" ht="12.95" customHeight="1">
      <c r="A1040" s="13"/>
      <c r="B1040" s="59"/>
      <c r="C1040" s="1193"/>
      <c r="D1040" s="1362"/>
      <c r="E1040" s="1363"/>
      <c r="F1040" s="1363"/>
      <c r="G1040" s="1363"/>
      <c r="H1040" s="1363"/>
      <c r="I1040" s="1363"/>
      <c r="J1040" s="1363"/>
      <c r="K1040" s="1363"/>
      <c r="L1040" s="1363"/>
      <c r="M1040" s="1363"/>
      <c r="N1040" s="1363"/>
      <c r="O1040" s="1363"/>
      <c r="P1040" s="1363"/>
      <c r="Q1040" s="1363"/>
      <c r="R1040" s="1363"/>
      <c r="S1040" s="1363"/>
      <c r="T1040" s="1363"/>
      <c r="U1040" s="1363"/>
      <c r="V1040" s="1363"/>
      <c r="W1040" s="1363"/>
      <c r="X1040" s="1363"/>
      <c r="Y1040" s="1363"/>
      <c r="Z1040" s="1363"/>
      <c r="AA1040" s="1363"/>
      <c r="AB1040" s="1363"/>
      <c r="AC1040" s="1363"/>
      <c r="AD1040" s="1363"/>
      <c r="AE1040" s="1364"/>
      <c r="AF1040" s="58"/>
      <c r="AG1040" s="13"/>
      <c r="AH1040" s="13"/>
      <c r="AI1040" s="62"/>
      <c r="AJ1040" s="1335"/>
      <c r="AK1040" s="1336"/>
      <c r="AL1040" s="1336"/>
      <c r="AM1040" s="1336"/>
      <c r="AN1040" s="1336"/>
      <c r="AO1040" s="1336"/>
      <c r="AP1040" s="1336"/>
      <c r="AQ1040" s="1337"/>
      <c r="AR1040" s="1182"/>
      <c r="AS1040" s="1182"/>
      <c r="AT1040" s="1182"/>
      <c r="AU1040" s="1182"/>
      <c r="AV1040" s="1182"/>
      <c r="AW1040" s="1182"/>
      <c r="AX1040" s="1182"/>
      <c r="AY1040" s="1182"/>
    </row>
    <row r="1041" spans="1:57" ht="12.95" customHeight="1">
      <c r="A1041" s="13"/>
      <c r="B1041" s="58"/>
      <c r="C1041" s="242" t="s">
        <v>22</v>
      </c>
      <c r="D1041" s="1313" t="s">
        <v>1690</v>
      </c>
      <c r="E1041" s="1314"/>
      <c r="F1041" s="1314"/>
      <c r="G1041" s="1314"/>
      <c r="H1041" s="1314"/>
      <c r="I1041" s="1314"/>
      <c r="J1041" s="1314"/>
      <c r="K1041" s="1314"/>
      <c r="L1041" s="1314"/>
      <c r="M1041" s="1314"/>
      <c r="N1041" s="1314"/>
      <c r="O1041" s="1314"/>
      <c r="P1041" s="1314"/>
      <c r="Q1041" s="1314"/>
      <c r="R1041" s="1314"/>
      <c r="S1041" s="1314"/>
      <c r="T1041" s="1314"/>
      <c r="U1041" s="1314"/>
      <c r="V1041" s="1314"/>
      <c r="W1041" s="1314"/>
      <c r="X1041" s="1314"/>
      <c r="Y1041" s="1314"/>
      <c r="Z1041" s="1314"/>
      <c r="AA1041" s="1314"/>
      <c r="AB1041" s="1314"/>
      <c r="AC1041" s="1314"/>
      <c r="AD1041" s="1314"/>
      <c r="AE1041" s="1315"/>
      <c r="AF1041" s="61"/>
      <c r="AG1041" s="1323" t="s">
        <v>700</v>
      </c>
      <c r="AH1041" s="1324"/>
      <c r="AI1041" s="64"/>
      <c r="AJ1041" s="1329">
        <f>ROUND(IF(AG1041="yes",(AJ1001*0.15),0),0)</f>
        <v>0</v>
      </c>
      <c r="AK1041" s="1330"/>
      <c r="AL1041" s="1330"/>
      <c r="AM1041" s="1330"/>
      <c r="AN1041" s="1330"/>
      <c r="AO1041" s="1330"/>
      <c r="AP1041" s="1330"/>
      <c r="AQ1041" s="1331"/>
      <c r="AR1041" s="1182"/>
      <c r="AS1041" s="1182"/>
      <c r="AT1041" s="1182"/>
      <c r="AU1041" s="1182"/>
      <c r="AV1041" s="1182"/>
      <c r="AW1041" s="1182"/>
      <c r="AX1041" s="1182"/>
      <c r="AY1041" s="1182"/>
    </row>
    <row r="1042" spans="1:57" ht="12.95" customHeight="1">
      <c r="A1042" s="13"/>
      <c r="B1042" s="58"/>
      <c r="C1042" s="1193"/>
      <c r="D1042" s="1354" t="s">
        <v>1691</v>
      </c>
      <c r="E1042" s="1235"/>
      <c r="F1042" s="1235"/>
      <c r="G1042" s="1235"/>
      <c r="H1042" s="1235"/>
      <c r="I1042" s="1235"/>
      <c r="J1042" s="1235"/>
      <c r="K1042" s="1235"/>
      <c r="L1042" s="1235"/>
      <c r="M1042" s="1235"/>
      <c r="N1042" s="1235"/>
      <c r="O1042" s="1235"/>
      <c r="P1042" s="1235"/>
      <c r="Q1042" s="1235"/>
      <c r="R1042" s="1235"/>
      <c r="S1042" s="1235"/>
      <c r="T1042" s="1235"/>
      <c r="U1042" s="1235"/>
      <c r="V1042" s="1235"/>
      <c r="W1042" s="1235"/>
      <c r="X1042" s="1235"/>
      <c r="Y1042" s="1235"/>
      <c r="Z1042" s="1235"/>
      <c r="AA1042" s="1235"/>
      <c r="AB1042" s="1235"/>
      <c r="AC1042" s="1235"/>
      <c r="AD1042" s="1235"/>
      <c r="AE1042" s="1355"/>
      <c r="AF1042" s="807"/>
      <c r="AG1042" s="808"/>
      <c r="AH1042" s="808"/>
      <c r="AI1042" s="809"/>
      <c r="AJ1042" s="1332"/>
      <c r="AK1042" s="1333"/>
      <c r="AL1042" s="1333"/>
      <c r="AM1042" s="1333"/>
      <c r="AN1042" s="1333"/>
      <c r="AO1042" s="1333"/>
      <c r="AP1042" s="1333"/>
      <c r="AQ1042" s="1334"/>
      <c r="AR1042" s="1182"/>
      <c r="AS1042" s="1182"/>
      <c r="AT1042" s="1182"/>
      <c r="AU1042" s="1182"/>
      <c r="AV1042" s="1182"/>
      <c r="AW1042" s="1182"/>
      <c r="AX1042" s="1182"/>
      <c r="AY1042" s="1182"/>
    </row>
    <row r="1043" spans="1:57" ht="12.95" customHeight="1">
      <c r="A1043" s="13"/>
      <c r="B1043" s="58"/>
      <c r="C1043" s="1193"/>
      <c r="D1043" s="1354"/>
      <c r="E1043" s="1235"/>
      <c r="F1043" s="1235"/>
      <c r="G1043" s="1235"/>
      <c r="H1043" s="1235"/>
      <c r="I1043" s="1235"/>
      <c r="J1043" s="1235"/>
      <c r="K1043" s="1235"/>
      <c r="L1043" s="1235"/>
      <c r="M1043" s="1235"/>
      <c r="N1043" s="1235"/>
      <c r="O1043" s="1235"/>
      <c r="P1043" s="1235"/>
      <c r="Q1043" s="1235"/>
      <c r="R1043" s="1235"/>
      <c r="S1043" s="1235"/>
      <c r="T1043" s="1235"/>
      <c r="U1043" s="1235"/>
      <c r="V1043" s="1235"/>
      <c r="W1043" s="1235"/>
      <c r="X1043" s="1235"/>
      <c r="Y1043" s="1235"/>
      <c r="Z1043" s="1235"/>
      <c r="AA1043" s="1235"/>
      <c r="AB1043" s="1235"/>
      <c r="AC1043" s="1235"/>
      <c r="AD1043" s="1235"/>
      <c r="AE1043" s="1355"/>
      <c r="AF1043" s="807"/>
      <c r="AG1043" s="808"/>
      <c r="AH1043" s="808"/>
      <c r="AI1043" s="809"/>
      <c r="AJ1043" s="1332"/>
      <c r="AK1043" s="1333"/>
      <c r="AL1043" s="1333"/>
      <c r="AM1043" s="1333"/>
      <c r="AN1043" s="1333"/>
      <c r="AO1043" s="1333"/>
      <c r="AP1043" s="1333"/>
      <c r="AQ1043" s="1334"/>
      <c r="AR1043" s="1182"/>
      <c r="AS1043" s="1182"/>
      <c r="AT1043" s="1182"/>
      <c r="AU1043" s="1182"/>
      <c r="AV1043" s="1182"/>
      <c r="AW1043" s="1182"/>
      <c r="AX1043" s="1182"/>
      <c r="AY1043" s="1182"/>
    </row>
    <row r="1044" spans="1:57" ht="12.95" customHeight="1">
      <c r="A1044" s="13"/>
      <c r="B1044" s="58"/>
      <c r="C1044" s="1193"/>
      <c r="D1044" s="1356"/>
      <c r="E1044" s="1357"/>
      <c r="F1044" s="1357"/>
      <c r="G1044" s="1357"/>
      <c r="H1044" s="1357"/>
      <c r="I1044" s="1357"/>
      <c r="J1044" s="1357"/>
      <c r="K1044" s="1357"/>
      <c r="L1044" s="1357"/>
      <c r="M1044" s="1357"/>
      <c r="N1044" s="1357"/>
      <c r="O1044" s="1357"/>
      <c r="P1044" s="1357"/>
      <c r="Q1044" s="1357"/>
      <c r="R1044" s="1357"/>
      <c r="S1044" s="1357"/>
      <c r="T1044" s="1357"/>
      <c r="U1044" s="1357"/>
      <c r="V1044" s="1357"/>
      <c r="W1044" s="1357"/>
      <c r="X1044" s="1357"/>
      <c r="Y1044" s="1357"/>
      <c r="Z1044" s="1357"/>
      <c r="AA1044" s="1357"/>
      <c r="AB1044" s="1357"/>
      <c r="AC1044" s="1357"/>
      <c r="AD1044" s="1357"/>
      <c r="AE1044" s="1358"/>
      <c r="AF1044" s="810"/>
      <c r="AG1044" s="811"/>
      <c r="AH1044" s="811"/>
      <c r="AI1044" s="812"/>
      <c r="AJ1044" s="1335"/>
      <c r="AK1044" s="1336"/>
      <c r="AL1044" s="1336"/>
      <c r="AM1044" s="1336"/>
      <c r="AN1044" s="1336"/>
      <c r="AO1044" s="1336"/>
      <c r="AP1044" s="1336"/>
      <c r="AQ1044" s="1337"/>
      <c r="AR1044" s="1182"/>
      <c r="AS1044" s="1182"/>
      <c r="AT1044" s="1182"/>
      <c r="AU1044" s="1182"/>
      <c r="AV1044" s="1182"/>
      <c r="AW1044" s="1182"/>
      <c r="AX1044" s="1182"/>
      <c r="AY1044" s="1182"/>
    </row>
    <row r="1045" spans="1:57" ht="12.95" customHeight="1">
      <c r="A1045" s="13"/>
      <c r="B1045" s="58"/>
      <c r="C1045" s="242" t="s">
        <v>22</v>
      </c>
      <c r="D1045" s="1359" t="s">
        <v>1692</v>
      </c>
      <c r="E1045" s="1360"/>
      <c r="F1045" s="1360"/>
      <c r="G1045" s="1360"/>
      <c r="H1045" s="1360"/>
      <c r="I1045" s="1360"/>
      <c r="J1045" s="1360"/>
      <c r="K1045" s="1360"/>
      <c r="L1045" s="1360"/>
      <c r="M1045" s="1360"/>
      <c r="N1045" s="1360"/>
      <c r="O1045" s="1360"/>
      <c r="P1045" s="1360"/>
      <c r="Q1045" s="1360"/>
      <c r="R1045" s="1360"/>
      <c r="S1045" s="1360"/>
      <c r="T1045" s="1360"/>
      <c r="U1045" s="1360"/>
      <c r="V1045" s="1360"/>
      <c r="W1045" s="1360"/>
      <c r="X1045" s="1360"/>
      <c r="Y1045" s="1360"/>
      <c r="Z1045" s="1360"/>
      <c r="AA1045" s="1360"/>
      <c r="AB1045" s="1360"/>
      <c r="AC1045" s="1360"/>
      <c r="AD1045" s="1360"/>
      <c r="AE1045" s="1361"/>
      <c r="AF1045" s="58"/>
      <c r="AG1045" s="1519" t="s">
        <v>700</v>
      </c>
      <c r="AH1045" s="1520"/>
      <c r="AI1045" s="62"/>
      <c r="AJ1045" s="1329">
        <f>ROUND(IF(AND(AG1045="yes",AJ1041=0),(AJ1001*0.1),0),0)</f>
        <v>0</v>
      </c>
      <c r="AK1045" s="1330"/>
      <c r="AL1045" s="1330"/>
      <c r="AM1045" s="1330"/>
      <c r="AN1045" s="1330"/>
      <c r="AO1045" s="1330"/>
      <c r="AP1045" s="1330"/>
      <c r="AQ1045" s="1331"/>
      <c r="AR1045" s="1182"/>
      <c r="AS1045" s="1182"/>
      <c r="AT1045" s="1182"/>
      <c r="AU1045" s="1182"/>
      <c r="AV1045" s="1182"/>
      <c r="AW1045" s="1182"/>
      <c r="AX1045" s="1182"/>
      <c r="AY1045" s="1182"/>
    </row>
    <row r="1046" spans="1:57" ht="12.95" customHeight="1">
      <c r="A1046" s="13"/>
      <c r="B1046" s="58"/>
      <c r="C1046" s="1193"/>
      <c r="D1046" s="1354" t="s">
        <v>1693</v>
      </c>
      <c r="E1046" s="1235"/>
      <c r="F1046" s="1235"/>
      <c r="G1046" s="1235"/>
      <c r="H1046" s="1235"/>
      <c r="I1046" s="1235"/>
      <c r="J1046" s="1235"/>
      <c r="K1046" s="1235"/>
      <c r="L1046" s="1235"/>
      <c r="M1046" s="1235"/>
      <c r="N1046" s="1235"/>
      <c r="O1046" s="1235"/>
      <c r="P1046" s="1235"/>
      <c r="Q1046" s="1235"/>
      <c r="R1046" s="1235"/>
      <c r="S1046" s="1235"/>
      <c r="T1046" s="1235"/>
      <c r="U1046" s="1235"/>
      <c r="V1046" s="1235"/>
      <c r="W1046" s="1235"/>
      <c r="X1046" s="1235"/>
      <c r="Y1046" s="1235"/>
      <c r="Z1046" s="1235"/>
      <c r="AA1046" s="1235"/>
      <c r="AB1046" s="1235"/>
      <c r="AC1046" s="1235"/>
      <c r="AD1046" s="1235"/>
      <c r="AE1046" s="1355"/>
      <c r="AF1046" s="58"/>
      <c r="AG1046" s="13"/>
      <c r="AH1046" s="13"/>
      <c r="AI1046" s="62"/>
      <c r="AJ1046" s="1332"/>
      <c r="AK1046" s="1333"/>
      <c r="AL1046" s="1333"/>
      <c r="AM1046" s="1333"/>
      <c r="AN1046" s="1333"/>
      <c r="AO1046" s="1333"/>
      <c r="AP1046" s="1333"/>
      <c r="AQ1046" s="1334"/>
      <c r="AR1046" s="1182"/>
      <c r="AS1046" s="1182"/>
      <c r="AT1046" s="1182"/>
      <c r="AU1046" s="1182"/>
      <c r="AV1046" s="1182"/>
      <c r="AW1046" s="1182"/>
      <c r="AX1046" s="1182"/>
      <c r="AY1046" s="1182"/>
    </row>
    <row r="1047" spans="1:57" ht="12.95" customHeight="1">
      <c r="A1047" s="13"/>
      <c r="B1047" s="58"/>
      <c r="C1047" s="1193"/>
      <c r="D1047" s="1354"/>
      <c r="E1047" s="1235"/>
      <c r="F1047" s="1235"/>
      <c r="G1047" s="1235"/>
      <c r="H1047" s="1235"/>
      <c r="I1047" s="1235"/>
      <c r="J1047" s="1235"/>
      <c r="K1047" s="1235"/>
      <c r="L1047" s="1235"/>
      <c r="M1047" s="1235"/>
      <c r="N1047" s="1235"/>
      <c r="O1047" s="1235"/>
      <c r="P1047" s="1235"/>
      <c r="Q1047" s="1235"/>
      <c r="R1047" s="1235"/>
      <c r="S1047" s="1235"/>
      <c r="T1047" s="1235"/>
      <c r="U1047" s="1235"/>
      <c r="V1047" s="1235"/>
      <c r="W1047" s="1235"/>
      <c r="X1047" s="1235"/>
      <c r="Y1047" s="1235"/>
      <c r="Z1047" s="1235"/>
      <c r="AA1047" s="1235"/>
      <c r="AB1047" s="1235"/>
      <c r="AC1047" s="1235"/>
      <c r="AD1047" s="1235"/>
      <c r="AE1047" s="1355"/>
      <c r="AF1047" s="58"/>
      <c r="AG1047" s="13"/>
      <c r="AH1047" s="13"/>
      <c r="AI1047" s="62"/>
      <c r="AJ1047" s="1332"/>
      <c r="AK1047" s="1333"/>
      <c r="AL1047" s="1333"/>
      <c r="AM1047" s="1333"/>
      <c r="AN1047" s="1333"/>
      <c r="AO1047" s="1333"/>
      <c r="AP1047" s="1333"/>
      <c r="AQ1047" s="1334"/>
      <c r="AR1047" s="1182"/>
      <c r="AS1047" s="1182"/>
      <c r="AT1047" s="1182"/>
      <c r="AU1047" s="1182"/>
      <c r="AV1047" s="1182"/>
      <c r="AW1047" s="1182"/>
      <c r="AX1047" s="1182"/>
      <c r="AY1047" s="1182"/>
      <c r="BA1047" s="1065">
        <f>IFERROR(('Sources and Uses Budget'!$C$17+'Sources and Uses Budget'!$C$18+'Sources and Uses Budget'!$C$22)/$AG$446,0)</f>
        <v>130270.27027027027</v>
      </c>
      <c r="BB1047" s="1065" t="s">
        <v>1694</v>
      </c>
      <c r="BC1047" s="1065"/>
      <c r="BD1047" s="1065"/>
      <c r="BE1047" s="1065"/>
    </row>
    <row r="1048" spans="1:57" ht="12.95" customHeight="1">
      <c r="A1048" s="13"/>
      <c r="B1048" s="58"/>
      <c r="C1048" s="1193"/>
      <c r="D1048" s="1354"/>
      <c r="E1048" s="1235"/>
      <c r="F1048" s="1235"/>
      <c r="G1048" s="1235"/>
      <c r="H1048" s="1235"/>
      <c r="I1048" s="1235"/>
      <c r="J1048" s="1235"/>
      <c r="K1048" s="1235"/>
      <c r="L1048" s="1235"/>
      <c r="M1048" s="1235"/>
      <c r="N1048" s="1235"/>
      <c r="O1048" s="1235"/>
      <c r="P1048" s="1235"/>
      <c r="Q1048" s="1235"/>
      <c r="R1048" s="1235"/>
      <c r="S1048" s="1235"/>
      <c r="T1048" s="1235"/>
      <c r="U1048" s="1235"/>
      <c r="V1048" s="1235"/>
      <c r="W1048" s="1235"/>
      <c r="X1048" s="1235"/>
      <c r="Y1048" s="1235"/>
      <c r="Z1048" s="1235"/>
      <c r="AA1048" s="1235"/>
      <c r="AB1048" s="1235"/>
      <c r="AC1048" s="1235"/>
      <c r="AD1048" s="1235"/>
      <c r="AE1048" s="1355"/>
      <c r="AF1048" s="58"/>
      <c r="AG1048" s="13"/>
      <c r="AH1048" s="13"/>
      <c r="AI1048" s="62"/>
      <c r="AJ1048" s="1332"/>
      <c r="AK1048" s="1333"/>
      <c r="AL1048" s="1333"/>
      <c r="AM1048" s="1333"/>
      <c r="AN1048" s="1333"/>
      <c r="AO1048" s="1333"/>
      <c r="AP1048" s="1333"/>
      <c r="AQ1048" s="1334"/>
      <c r="AR1048" s="1182"/>
      <c r="AS1048" s="1182"/>
      <c r="AT1048" s="1182"/>
      <c r="AU1048" s="1182"/>
      <c r="AV1048" s="1182"/>
      <c r="AW1048" s="1182"/>
      <c r="AX1048" s="1182"/>
      <c r="AY1048" s="1182"/>
      <c r="BA1048">
        <f>IFERROR((($CI$761+$CM$761)/$AG$449),0)</f>
        <v>0.4</v>
      </c>
      <c r="BB1048" s="3" t="s">
        <v>1695</v>
      </c>
    </row>
    <row r="1049" spans="1:57" ht="12.95" customHeight="1">
      <c r="A1049" s="13"/>
      <c r="B1049" s="58"/>
      <c r="C1049" s="1193"/>
      <c r="D1049" s="1356"/>
      <c r="E1049" s="1357"/>
      <c r="F1049" s="1357"/>
      <c r="G1049" s="1357"/>
      <c r="H1049" s="1357"/>
      <c r="I1049" s="1357"/>
      <c r="J1049" s="1357"/>
      <c r="K1049" s="1357"/>
      <c r="L1049" s="1357"/>
      <c r="M1049" s="1357"/>
      <c r="N1049" s="1357"/>
      <c r="O1049" s="1357"/>
      <c r="P1049" s="1357"/>
      <c r="Q1049" s="1357"/>
      <c r="R1049" s="1357"/>
      <c r="S1049" s="1357"/>
      <c r="T1049" s="1357"/>
      <c r="U1049" s="1357"/>
      <c r="V1049" s="1357"/>
      <c r="W1049" s="1357"/>
      <c r="X1049" s="1357"/>
      <c r="Y1049" s="1357"/>
      <c r="Z1049" s="1357"/>
      <c r="AA1049" s="1357"/>
      <c r="AB1049" s="1357"/>
      <c r="AC1049" s="1357"/>
      <c r="AD1049" s="1357"/>
      <c r="AE1049" s="1358"/>
      <c r="AF1049" s="58"/>
      <c r="AG1049" s="13"/>
      <c r="AH1049" s="13"/>
      <c r="AI1049" s="62"/>
      <c r="AJ1049" s="1332"/>
      <c r="AK1049" s="1333"/>
      <c r="AL1049" s="1333"/>
      <c r="AM1049" s="1333"/>
      <c r="AN1049" s="1333"/>
      <c r="AO1049" s="1333"/>
      <c r="AP1049" s="1333"/>
      <c r="AQ1049" s="1334"/>
      <c r="AR1049" s="1182"/>
      <c r="AS1049" s="1182"/>
      <c r="AT1049" s="1182"/>
      <c r="AU1049" s="1182"/>
      <c r="AV1049" s="1182"/>
      <c r="AW1049" s="1182"/>
      <c r="AX1049" s="1182"/>
      <c r="AY1049" s="1182"/>
      <c r="BA1049" t="b">
        <f>'Points System'!AJ163="Yes"</f>
        <v>0</v>
      </c>
      <c r="BB1049" s="3" t="s">
        <v>1696</v>
      </c>
    </row>
    <row r="1050" spans="1:57" ht="12.95" customHeight="1">
      <c r="A1050" s="13"/>
      <c r="B1050" s="61"/>
      <c r="C1050" s="96" t="s">
        <v>1697</v>
      </c>
      <c r="D1050" s="1313" t="s">
        <v>1698</v>
      </c>
      <c r="E1050" s="1314"/>
      <c r="F1050" s="1314"/>
      <c r="G1050" s="1314"/>
      <c r="H1050" s="1314"/>
      <c r="I1050" s="1314"/>
      <c r="J1050" s="1314"/>
      <c r="K1050" s="1314"/>
      <c r="L1050" s="1314"/>
      <c r="M1050" s="1314"/>
      <c r="N1050" s="1314"/>
      <c r="O1050" s="1314"/>
      <c r="P1050" s="1314"/>
      <c r="Q1050" s="1314"/>
      <c r="R1050" s="1314"/>
      <c r="S1050" s="1314"/>
      <c r="T1050" s="1314"/>
      <c r="U1050" s="1314"/>
      <c r="V1050" s="1314"/>
      <c r="W1050" s="1314"/>
      <c r="X1050" s="1314"/>
      <c r="Y1050" s="1314"/>
      <c r="Z1050" s="1314"/>
      <c r="AA1050" s="1314"/>
      <c r="AB1050" s="1314"/>
      <c r="AC1050" s="1314"/>
      <c r="AD1050" s="1314"/>
      <c r="AE1050" s="1315"/>
      <c r="AF1050" s="61"/>
      <c r="AG1050" s="1323" t="s">
        <v>700</v>
      </c>
      <c r="AH1050" s="1324"/>
      <c r="AI1050" s="64"/>
      <c r="AJ1050" s="1329">
        <f>ROUND(IF(AG1050="yes",(AJ1001*0.1),0),0)</f>
        <v>0</v>
      </c>
      <c r="AK1050" s="1330"/>
      <c r="AL1050" s="1330"/>
      <c r="AM1050" s="1330"/>
      <c r="AN1050" s="1330"/>
      <c r="AO1050" s="1330"/>
      <c r="AP1050" s="1330"/>
      <c r="AQ1050" s="1331"/>
      <c r="AR1050" s="1182"/>
      <c r="AS1050" s="1182"/>
      <c r="AT1050" s="1182"/>
      <c r="AU1050" s="1182"/>
      <c r="AV1050" s="1182"/>
      <c r="AW1050" s="1182"/>
      <c r="AX1050" s="1182"/>
      <c r="AY1050" s="1182"/>
      <c r="BA1050">
        <f>Q212</f>
        <v>0</v>
      </c>
      <c r="BB1050" s="3" t="s">
        <v>1699</v>
      </c>
    </row>
    <row r="1051" spans="1:57" ht="12.95" customHeight="1">
      <c r="A1051" s="13"/>
      <c r="B1051" s="58"/>
      <c r="C1051" s="1193"/>
      <c r="D1051" s="1316" t="s">
        <v>1700</v>
      </c>
      <c r="E1051" s="1317"/>
      <c r="F1051" s="1317"/>
      <c r="G1051" s="1317"/>
      <c r="H1051" s="1317"/>
      <c r="I1051" s="1317"/>
      <c r="J1051" s="1317"/>
      <c r="K1051" s="1317"/>
      <c r="L1051" s="1317"/>
      <c r="M1051" s="1317"/>
      <c r="N1051" s="1317"/>
      <c r="O1051" s="1317"/>
      <c r="P1051" s="1317"/>
      <c r="Q1051" s="1317"/>
      <c r="R1051" s="1317"/>
      <c r="S1051" s="1317"/>
      <c r="T1051" s="1317"/>
      <c r="U1051" s="1317"/>
      <c r="V1051" s="1317"/>
      <c r="W1051" s="1317"/>
      <c r="X1051" s="1317"/>
      <c r="Y1051" s="1317"/>
      <c r="Z1051" s="1317"/>
      <c r="AA1051" s="1317"/>
      <c r="AB1051" s="1317"/>
      <c r="AC1051" s="1317"/>
      <c r="AD1051" s="1317"/>
      <c r="AE1051" s="1318"/>
      <c r="AF1051" s="58"/>
      <c r="AG1051" s="13"/>
      <c r="AH1051" s="13"/>
      <c r="AI1051" s="62"/>
      <c r="AJ1051" s="1332"/>
      <c r="AK1051" s="1333"/>
      <c r="AL1051" s="1333"/>
      <c r="AM1051" s="1333"/>
      <c r="AN1051" s="1333"/>
      <c r="AO1051" s="1333"/>
      <c r="AP1051" s="1333"/>
      <c r="AQ1051" s="1334"/>
      <c r="AR1051" s="1182"/>
      <c r="AS1051" s="1182"/>
      <c r="AT1051" s="1182"/>
      <c r="AU1051" s="1182"/>
      <c r="AV1051" s="1182"/>
      <c r="AW1051" s="1182"/>
      <c r="AX1051" s="1182"/>
      <c r="AY1051" s="1182"/>
      <c r="BA1051" s="1066">
        <f>T212</f>
        <v>0</v>
      </c>
      <c r="BB1051" s="3" t="s">
        <v>1701</v>
      </c>
    </row>
    <row r="1052" spans="1:57" ht="12.95" customHeight="1">
      <c r="A1052" s="13"/>
      <c r="B1052" s="58"/>
      <c r="C1052" s="1193"/>
      <c r="D1052" s="1316"/>
      <c r="E1052" s="1317"/>
      <c r="F1052" s="1317"/>
      <c r="G1052" s="1317"/>
      <c r="H1052" s="1317"/>
      <c r="I1052" s="1317"/>
      <c r="J1052" s="1317"/>
      <c r="K1052" s="1317"/>
      <c r="L1052" s="1317"/>
      <c r="M1052" s="1317"/>
      <c r="N1052" s="1317"/>
      <c r="O1052" s="1317"/>
      <c r="P1052" s="1317"/>
      <c r="Q1052" s="1317"/>
      <c r="R1052" s="1317"/>
      <c r="S1052" s="1317"/>
      <c r="T1052" s="1317"/>
      <c r="U1052" s="1317"/>
      <c r="V1052" s="1317"/>
      <c r="W1052" s="1317"/>
      <c r="X1052" s="1317"/>
      <c r="Y1052" s="1317"/>
      <c r="Z1052" s="1317"/>
      <c r="AA1052" s="1317"/>
      <c r="AB1052" s="1317"/>
      <c r="AC1052" s="1317"/>
      <c r="AD1052" s="1317"/>
      <c r="AE1052" s="1318"/>
      <c r="AF1052" s="58"/>
      <c r="AG1052" s="13"/>
      <c r="AH1052" s="13"/>
      <c r="AI1052" s="62"/>
      <c r="AJ1052" s="1332"/>
      <c r="AK1052" s="1333"/>
      <c r="AL1052" s="1333"/>
      <c r="AM1052" s="1333"/>
      <c r="AN1052" s="1333"/>
      <c r="AO1052" s="1333"/>
      <c r="AP1052" s="1333"/>
      <c r="AQ1052" s="1334"/>
      <c r="AR1052" s="1182"/>
      <c r="AS1052" s="1182"/>
      <c r="AT1052" s="1182"/>
      <c r="AU1052" s="1182"/>
      <c r="AV1052" s="1182"/>
      <c r="AW1052" s="1182"/>
      <c r="AX1052" s="1182"/>
      <c r="AY1052" s="1182"/>
    </row>
    <row r="1053" spans="1:57" ht="12.95" customHeight="1">
      <c r="A1053" s="13"/>
      <c r="B1053" s="58"/>
      <c r="C1053" s="1193"/>
      <c r="D1053" s="1362"/>
      <c r="E1053" s="1363"/>
      <c r="F1053" s="1363"/>
      <c r="G1053" s="1363"/>
      <c r="H1053" s="1363"/>
      <c r="I1053" s="1363"/>
      <c r="J1053" s="1363"/>
      <c r="K1053" s="1363"/>
      <c r="L1053" s="1363"/>
      <c r="M1053" s="1363"/>
      <c r="N1053" s="1363"/>
      <c r="O1053" s="1363"/>
      <c r="P1053" s="1363"/>
      <c r="Q1053" s="1363"/>
      <c r="R1053" s="1363"/>
      <c r="S1053" s="1363"/>
      <c r="T1053" s="1363"/>
      <c r="U1053" s="1363"/>
      <c r="V1053" s="1363"/>
      <c r="W1053" s="1363"/>
      <c r="X1053" s="1363"/>
      <c r="Y1053" s="1363"/>
      <c r="Z1053" s="1363"/>
      <c r="AA1053" s="1363"/>
      <c r="AB1053" s="1363"/>
      <c r="AC1053" s="1363"/>
      <c r="AD1053" s="1363"/>
      <c r="AE1053" s="1364"/>
      <c r="AF1053" s="58"/>
      <c r="AG1053" s="13"/>
      <c r="AH1053" s="13"/>
      <c r="AI1053" s="62"/>
      <c r="AJ1053" s="1335"/>
      <c r="AK1053" s="1336"/>
      <c r="AL1053" s="1336"/>
      <c r="AM1053" s="1336"/>
      <c r="AN1053" s="1336"/>
      <c r="AO1053" s="1336"/>
      <c r="AP1053" s="1336"/>
      <c r="AQ1053" s="1337"/>
      <c r="AR1053" s="1182"/>
      <c r="AS1053" s="1182"/>
      <c r="AT1053" s="1182"/>
      <c r="AU1053" s="1182"/>
      <c r="AV1053" s="1182"/>
      <c r="AW1053" s="1182"/>
      <c r="AX1053" s="1182"/>
      <c r="AY1053" s="1182"/>
    </row>
    <row r="1054" spans="1:57" ht="12.95" customHeight="1">
      <c r="A1054" s="13"/>
      <c r="B1054" s="61"/>
      <c r="C1054" s="96" t="s">
        <v>1702</v>
      </c>
      <c r="D1054" s="1359" t="s">
        <v>1703</v>
      </c>
      <c r="E1054" s="1360"/>
      <c r="F1054" s="1360"/>
      <c r="G1054" s="1360"/>
      <c r="H1054" s="1360"/>
      <c r="I1054" s="1360"/>
      <c r="J1054" s="1360"/>
      <c r="K1054" s="1360"/>
      <c r="L1054" s="1360"/>
      <c r="M1054" s="1360"/>
      <c r="N1054" s="1360"/>
      <c r="O1054" s="1360"/>
      <c r="P1054" s="1360"/>
      <c r="Q1054" s="1360"/>
      <c r="R1054" s="1360"/>
      <c r="S1054" s="1360"/>
      <c r="T1054" s="1360"/>
      <c r="U1054" s="1360"/>
      <c r="V1054" s="1360"/>
      <c r="W1054" s="1360"/>
      <c r="X1054" s="1360"/>
      <c r="Y1054" s="1360"/>
      <c r="Z1054" s="1360"/>
      <c r="AA1054" s="1360"/>
      <c r="AB1054" s="1360"/>
      <c r="AC1054" s="1360"/>
      <c r="AD1054" s="1360"/>
      <c r="AE1054" s="1361"/>
      <c r="AF1054" s="61"/>
      <c r="AG1054" s="1319" t="str">
        <f>IF(X1057&gt;0,"Yes","No")</f>
        <v>Yes</v>
      </c>
      <c r="AH1054" s="1320"/>
      <c r="AI1054" s="64"/>
      <c r="AJ1054" s="1329">
        <f>IF((X1057=0),0,AY1014*AJ1001)</f>
        <v>5597113.7999999998</v>
      </c>
      <c r="AK1054" s="1330"/>
      <c r="AL1054" s="1330"/>
      <c r="AM1054" s="1330"/>
      <c r="AN1054" s="1330"/>
      <c r="AO1054" s="1330"/>
      <c r="AP1054" s="1330"/>
      <c r="AQ1054" s="1331"/>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1704</v>
      </c>
      <c r="BB1054" s="3"/>
      <c r="BC1054" s="3"/>
      <c r="BD1054" s="3"/>
    </row>
    <row r="1055" spans="1:57" ht="12.95" customHeight="1">
      <c r="A1055" s="13"/>
      <c r="B1055" s="58"/>
      <c r="C1055" s="345"/>
      <c r="D1055" s="1316" t="s">
        <v>1705</v>
      </c>
      <c r="E1055" s="1317"/>
      <c r="F1055" s="1317"/>
      <c r="G1055" s="1317"/>
      <c r="H1055" s="1317"/>
      <c r="I1055" s="1317"/>
      <c r="J1055" s="1317"/>
      <c r="K1055" s="1317"/>
      <c r="L1055" s="1317"/>
      <c r="M1055" s="1317"/>
      <c r="N1055" s="1317"/>
      <c r="O1055" s="1317"/>
      <c r="P1055" s="1317"/>
      <c r="Q1055" s="1317"/>
      <c r="R1055" s="1317"/>
      <c r="S1055" s="1317"/>
      <c r="T1055" s="1317"/>
      <c r="U1055" s="1317"/>
      <c r="V1055" s="1317"/>
      <c r="W1055" s="1317"/>
      <c r="X1055" s="1317"/>
      <c r="Y1055" s="1317"/>
      <c r="Z1055" s="1317"/>
      <c r="AA1055" s="1317"/>
      <c r="AB1055" s="1317"/>
      <c r="AC1055" s="1317"/>
      <c r="AD1055" s="1317"/>
      <c r="AE1055" s="1318"/>
      <c r="AF1055" s="58"/>
      <c r="AG1055" s="1199"/>
      <c r="AH1055" s="1199"/>
      <c r="AI1055" s="62"/>
      <c r="AJ1055" s="1332"/>
      <c r="AK1055" s="1333"/>
      <c r="AL1055" s="1333"/>
      <c r="AM1055" s="1333"/>
      <c r="AN1055" s="1333"/>
      <c r="AO1055" s="1333"/>
      <c r="AP1055" s="1333"/>
      <c r="AQ1055" s="1334"/>
      <c r="AR1055" s="1182"/>
      <c r="AS1055" s="1182"/>
      <c r="AT1055" s="1182"/>
      <c r="AU1055" s="12"/>
      <c r="AV1055" s="1182"/>
      <c r="AW1055" s="1182"/>
      <c r="AX1055" s="1182"/>
      <c r="AY1055" s="1182"/>
      <c r="AZ1055" s="852">
        <f>'Sources and Uses Budget'!S97*BA1055</f>
        <v>1069875</v>
      </c>
      <c r="BA1055" s="1064">
        <f>IF(BA1049,20%,15%)</f>
        <v>0.15</v>
      </c>
      <c r="BB1055" s="3" t="s">
        <v>1706</v>
      </c>
      <c r="BC1055" s="3" t="s">
        <v>1707</v>
      </c>
      <c r="BD1055" s="3"/>
    </row>
    <row r="1056" spans="1:57" ht="12.95" customHeight="1">
      <c r="A1056" s="13"/>
      <c r="B1056" s="58"/>
      <c r="C1056" s="345"/>
      <c r="D1056" s="1316"/>
      <c r="E1056" s="1317"/>
      <c r="F1056" s="1317"/>
      <c r="G1056" s="1317"/>
      <c r="H1056" s="1317"/>
      <c r="I1056" s="1317"/>
      <c r="J1056" s="1317"/>
      <c r="K1056" s="1317"/>
      <c r="L1056" s="1317"/>
      <c r="M1056" s="1317"/>
      <c r="N1056" s="1317"/>
      <c r="O1056" s="1317"/>
      <c r="P1056" s="1317"/>
      <c r="Q1056" s="1317"/>
      <c r="R1056" s="1317"/>
      <c r="S1056" s="1317"/>
      <c r="T1056" s="1317"/>
      <c r="U1056" s="1317"/>
      <c r="V1056" s="1317"/>
      <c r="W1056" s="1317"/>
      <c r="X1056" s="1317"/>
      <c r="Y1056" s="1317"/>
      <c r="Z1056" s="1317"/>
      <c r="AA1056" s="1317"/>
      <c r="AB1056" s="1317"/>
      <c r="AC1056" s="1317"/>
      <c r="AD1056" s="1317"/>
      <c r="AE1056" s="1318"/>
      <c r="AF1056" s="58"/>
      <c r="AG1056" s="1199"/>
      <c r="AH1056" s="1199"/>
      <c r="AI1056" s="62"/>
      <c r="AJ1056" s="1332"/>
      <c r="AK1056" s="1333"/>
      <c r="AL1056" s="1333"/>
      <c r="AM1056" s="1333"/>
      <c r="AN1056" s="1333"/>
      <c r="AO1056" s="1333"/>
      <c r="AP1056" s="1333"/>
      <c r="AQ1056" s="1334"/>
      <c r="AR1056" s="1182"/>
      <c r="AS1056" s="1182"/>
      <c r="AT1056" s="1182"/>
      <c r="AU1056" s="12"/>
      <c r="AV1056" s="1182"/>
      <c r="AW1056" s="1182"/>
      <c r="AX1056" s="1182"/>
      <c r="AY1056" s="1182"/>
      <c r="AZ1056" s="852">
        <f>IF(M365="N/A",0,'Sources and Uses Budget'!T97*BA1056)</f>
        <v>0</v>
      </c>
      <c r="BA1056" s="1064">
        <v>0.15</v>
      </c>
      <c r="BB1056" s="3" t="s">
        <v>1706</v>
      </c>
      <c r="BC1056" s="3" t="s">
        <v>1708</v>
      </c>
      <c r="BD1056" s="3"/>
    </row>
    <row r="1057" spans="1:56" ht="12.95" customHeight="1">
      <c r="A1057" s="13"/>
      <c r="B1057" s="59"/>
      <c r="C1057" s="60"/>
      <c r="D1057" s="97" t="s">
        <v>1709</v>
      </c>
      <c r="E1057" s="6"/>
      <c r="F1057" s="6"/>
      <c r="G1057" s="6"/>
      <c r="H1057" s="6"/>
      <c r="I1057" s="1321">
        <f>AY1012</f>
        <v>36</v>
      </c>
      <c r="J1057" s="1322"/>
      <c r="K1057" s="6"/>
      <c r="L1057" s="6"/>
      <c r="M1057" s="6"/>
      <c r="N1057" s="6"/>
      <c r="O1057" s="6"/>
      <c r="P1057" s="6"/>
      <c r="Q1057" s="6"/>
      <c r="R1057" s="6"/>
      <c r="S1057" s="6"/>
      <c r="T1057" s="6"/>
      <c r="U1057" s="6"/>
      <c r="V1057" s="98" t="s">
        <v>1710</v>
      </c>
      <c r="W1057" s="40"/>
      <c r="X1057" s="1319">
        <f>CI761</f>
        <v>11</v>
      </c>
      <c r="Y1057" s="1320"/>
      <c r="Z1057" s="40"/>
      <c r="AA1057" s="40"/>
      <c r="AB1057" s="40"/>
      <c r="AC1057" s="40"/>
      <c r="AD1057" s="40"/>
      <c r="AE1057" s="41"/>
      <c r="AF1057" s="816"/>
      <c r="AG1057" s="817"/>
      <c r="AH1057" s="817"/>
      <c r="AI1057" s="818"/>
      <c r="AJ1057" s="1335"/>
      <c r="AK1057" s="1336"/>
      <c r="AL1057" s="1336"/>
      <c r="AM1057" s="1336"/>
      <c r="AN1057" s="1336"/>
      <c r="AO1057" s="1336"/>
      <c r="AP1057" s="1336"/>
      <c r="AQ1057" s="1337"/>
      <c r="AR1057" s="1182"/>
      <c r="AS1057" s="1182"/>
      <c r="AT1057" s="1182"/>
      <c r="AU1057" s="13"/>
      <c r="AV1057" s="1182"/>
      <c r="AW1057" s="1182"/>
      <c r="AX1057" s="1182"/>
      <c r="AY1057" s="1182"/>
      <c r="AZ1057" s="852">
        <f>IF(M367="N/A",0,'Sources and Uses Budget'!T97*BA1057)</f>
        <v>1177500</v>
      </c>
      <c r="BA1057" s="1064" cm="1">
        <f t="array" ref="BA1057">_xlfn.IFS(X180="Yes",5%,$BA$1047&gt;50000,15%,BA1048&gt;=30%,15%,TRUE,5%)</f>
        <v>0.15</v>
      </c>
      <c r="BB1057" s="3" t="s">
        <v>1706</v>
      </c>
      <c r="BC1057" s="3" t="s">
        <v>1711</v>
      </c>
      <c r="BD1057" s="3"/>
    </row>
    <row r="1058" spans="1:56" ht="12.95" customHeight="1">
      <c r="A1058" s="13"/>
      <c r="B1058" s="61"/>
      <c r="C1058" s="96" t="s">
        <v>1712</v>
      </c>
      <c r="D1058" s="1313" t="s">
        <v>1713</v>
      </c>
      <c r="E1058" s="1314"/>
      <c r="F1058" s="1314"/>
      <c r="G1058" s="1314"/>
      <c r="H1058" s="1314"/>
      <c r="I1058" s="1314"/>
      <c r="J1058" s="1314"/>
      <c r="K1058" s="1314"/>
      <c r="L1058" s="1314"/>
      <c r="M1058" s="1314"/>
      <c r="N1058" s="1314"/>
      <c r="O1058" s="1314"/>
      <c r="P1058" s="1314"/>
      <c r="Q1058" s="1314"/>
      <c r="R1058" s="1314"/>
      <c r="S1058" s="1314"/>
      <c r="T1058" s="1314"/>
      <c r="U1058" s="1314"/>
      <c r="V1058" s="1314"/>
      <c r="W1058" s="1314"/>
      <c r="X1058" s="1314"/>
      <c r="Y1058" s="1314"/>
      <c r="Z1058" s="1314"/>
      <c r="AA1058" s="1314"/>
      <c r="AB1058" s="1314"/>
      <c r="AC1058" s="1314"/>
      <c r="AD1058" s="1314"/>
      <c r="AE1058" s="1315"/>
      <c r="AF1058" s="58"/>
      <c r="AG1058" s="1319" t="str">
        <f>IF(X1061&gt;0,"Yes","No")</f>
        <v>Yes</v>
      </c>
      <c r="AH1058" s="1320"/>
      <c r="AI1058" s="62"/>
      <c r="AJ1058" s="1329">
        <f>IF((X1061=0),0,(2*AY1015)*AJ1001)</f>
        <v>2985127.36</v>
      </c>
      <c r="AK1058" s="1330"/>
      <c r="AL1058" s="1330"/>
      <c r="AM1058" s="1330"/>
      <c r="AN1058" s="1330"/>
      <c r="AO1058" s="1330"/>
      <c r="AP1058" s="1330"/>
      <c r="AQ1058" s="1331"/>
      <c r="AR1058" s="1182"/>
      <c r="AS1058" s="1182"/>
      <c r="AT1058" s="1182"/>
      <c r="AU1058" s="13"/>
      <c r="AV1058" s="1182"/>
      <c r="AW1058" s="1182"/>
      <c r="AX1058" s="1182"/>
      <c r="AY1058" s="1182"/>
      <c r="AZ1058" s="852">
        <f>AZ1054*BA1058</f>
        <v>0</v>
      </c>
      <c r="BA1058" s="1064">
        <v>0.15</v>
      </c>
      <c r="BB1058" s="3" t="s">
        <v>1706</v>
      </c>
      <c r="BC1058" s="3" t="s">
        <v>1714</v>
      </c>
      <c r="BD1058" s="3"/>
    </row>
    <row r="1059" spans="1:56" ht="12.95" customHeight="1">
      <c r="A1059" s="13"/>
      <c r="B1059" s="58"/>
      <c r="C1059" s="345"/>
      <c r="D1059" s="1316" t="s">
        <v>1715</v>
      </c>
      <c r="E1059" s="1317"/>
      <c r="F1059" s="1317"/>
      <c r="G1059" s="1317"/>
      <c r="H1059" s="1317"/>
      <c r="I1059" s="1317"/>
      <c r="J1059" s="1317"/>
      <c r="K1059" s="1317"/>
      <c r="L1059" s="1317"/>
      <c r="M1059" s="1317"/>
      <c r="N1059" s="1317"/>
      <c r="O1059" s="1317"/>
      <c r="P1059" s="1317"/>
      <c r="Q1059" s="1317"/>
      <c r="R1059" s="1317"/>
      <c r="S1059" s="1317"/>
      <c r="T1059" s="1317"/>
      <c r="U1059" s="1317"/>
      <c r="V1059" s="1317"/>
      <c r="W1059" s="1317"/>
      <c r="X1059" s="1317"/>
      <c r="Y1059" s="1317"/>
      <c r="Z1059" s="1317"/>
      <c r="AA1059" s="1317"/>
      <c r="AB1059" s="1317"/>
      <c r="AC1059" s="1317"/>
      <c r="AD1059" s="1317"/>
      <c r="AE1059" s="1318"/>
      <c r="AF1059" s="58"/>
      <c r="AG1059" s="1199"/>
      <c r="AH1059" s="1199"/>
      <c r="AI1059" s="62"/>
      <c r="AJ1059" s="1332"/>
      <c r="AK1059" s="1333"/>
      <c r="AL1059" s="1333"/>
      <c r="AM1059" s="1333"/>
      <c r="AN1059" s="1333"/>
      <c r="AO1059" s="1333"/>
      <c r="AP1059" s="1333"/>
      <c r="AQ1059" s="1334"/>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316"/>
      <c r="E1060" s="1317"/>
      <c r="F1060" s="1317"/>
      <c r="G1060" s="1317"/>
      <c r="H1060" s="1317"/>
      <c r="I1060" s="1317"/>
      <c r="J1060" s="1317"/>
      <c r="K1060" s="1317"/>
      <c r="L1060" s="1317"/>
      <c r="M1060" s="1317"/>
      <c r="N1060" s="1317"/>
      <c r="O1060" s="1317"/>
      <c r="P1060" s="1317"/>
      <c r="Q1060" s="1317"/>
      <c r="R1060" s="1317"/>
      <c r="S1060" s="1317"/>
      <c r="T1060" s="1317"/>
      <c r="U1060" s="1317"/>
      <c r="V1060" s="1317"/>
      <c r="W1060" s="1317"/>
      <c r="X1060" s="1317"/>
      <c r="Y1060" s="1317"/>
      <c r="Z1060" s="1317"/>
      <c r="AA1060" s="1317"/>
      <c r="AB1060" s="1317"/>
      <c r="AC1060" s="1317"/>
      <c r="AD1060" s="1317"/>
      <c r="AE1060" s="1318"/>
      <c r="AF1060" s="813"/>
      <c r="AG1060" s="814"/>
      <c r="AH1060" s="814"/>
      <c r="AI1060" s="815"/>
      <c r="AJ1060" s="1332"/>
      <c r="AK1060" s="1333"/>
      <c r="AL1060" s="1333"/>
      <c r="AM1060" s="1333"/>
      <c r="AN1060" s="1333"/>
      <c r="AO1060" s="1333"/>
      <c r="AP1060" s="1333"/>
      <c r="AQ1060" s="1334"/>
      <c r="AR1060" s="1182"/>
      <c r="AS1060" s="1182"/>
      <c r="AT1060" s="1182"/>
      <c r="AU1060" s="1182"/>
      <c r="AV1060" s="1182"/>
      <c r="AW1060" s="1182"/>
      <c r="AX1060" s="1182"/>
      <c r="AY1060" s="1182"/>
      <c r="AZ1060" s="852">
        <f>ROUNDDOWN(MIN(SUM(AZ1055,AZ1056,AZ1057,AZ1058),BD1060),0)</f>
        <v>2247375</v>
      </c>
      <c r="BA1060" s="3" t="s">
        <v>1716</v>
      </c>
      <c r="BB1060" s="3"/>
      <c r="BC1060" s="3"/>
      <c r="BD1060" s="3" cm="1">
        <f t="array" ref="BD1060">_xlfn.IFS(BA1049,3000000,AND(BA1050&gt;=25%,BA1051&gt;=15),2800000,TRUE,2500000)</f>
        <v>2500000</v>
      </c>
    </row>
    <row r="1061" spans="1:56" ht="12.95" customHeight="1">
      <c r="A1061" s="13"/>
      <c r="B1061" s="59"/>
      <c r="C1061" s="60"/>
      <c r="D1061" s="97" t="s">
        <v>1709</v>
      </c>
      <c r="E1061" s="6"/>
      <c r="F1061" s="6"/>
      <c r="G1061" s="6"/>
      <c r="H1061" s="6"/>
      <c r="I1061" s="1321">
        <f>AY1012</f>
        <v>36</v>
      </c>
      <c r="J1061" s="1322"/>
      <c r="K1061" s="13"/>
      <c r="L1061" s="6"/>
      <c r="M1061" s="6"/>
      <c r="N1061" s="6"/>
      <c r="O1061" s="6"/>
      <c r="P1061" s="6"/>
      <c r="Q1061" s="6"/>
      <c r="R1061" s="6"/>
      <c r="S1061" s="6"/>
      <c r="T1061" s="6"/>
      <c r="U1061" s="6"/>
      <c r="V1061" s="98" t="s">
        <v>1717</v>
      </c>
      <c r="X1061" s="1319">
        <f>CM761</f>
        <v>3</v>
      </c>
      <c r="Y1061" s="1320"/>
      <c r="AF1061" s="816"/>
      <c r="AG1061" s="817"/>
      <c r="AH1061" s="817"/>
      <c r="AI1061" s="818"/>
      <c r="AJ1061" s="1335"/>
      <c r="AK1061" s="1336"/>
      <c r="AL1061" s="1336"/>
      <c r="AM1061" s="1336"/>
      <c r="AN1061" s="1336"/>
      <c r="AO1061" s="1336"/>
      <c r="AP1061" s="1336"/>
      <c r="AQ1061" s="1337"/>
      <c r="AR1061" s="1182"/>
      <c r="AS1061" s="1182"/>
      <c r="AT1061" s="1182"/>
      <c r="AU1061" s="1182"/>
      <c r="AV1061" s="1182"/>
      <c r="AW1061" s="1182"/>
      <c r="AX1061" s="1182"/>
      <c r="AY1061" s="1182"/>
      <c r="AZ1061" s="852">
        <f>ROUNDDOWN(MAX(0,BA1061*(SUM(AG1102,AL1102,AZ1054)-BD1061))+BF1061,0)</f>
        <v>0</v>
      </c>
      <c r="BA1061" s="1064">
        <f>IF(L1051,7%,5%)</f>
        <v>0.05</v>
      </c>
      <c r="BB1061" s="3" t="s">
        <v>1718</v>
      </c>
      <c r="BC1061" s="3"/>
      <c r="BD1061" s="3">
        <v>6666667</v>
      </c>
    </row>
    <row r="1062" spans="1:56" ht="12.95" customHeight="1">
      <c r="A1062" s="13"/>
      <c r="B1062" s="77"/>
      <c r="C1062" s="1200"/>
      <c r="D1062" s="1311" t="s">
        <v>1719</v>
      </c>
      <c r="E1062" s="1311"/>
      <c r="F1062" s="1311"/>
      <c r="G1062" s="1311"/>
      <c r="H1062" s="1311"/>
      <c r="I1062" s="1311"/>
      <c r="J1062" s="1311"/>
      <c r="K1062" s="1311"/>
      <c r="L1062" s="1311"/>
      <c r="M1062" s="1311"/>
      <c r="N1062" s="1311"/>
      <c r="O1062" s="1311"/>
      <c r="P1062" s="1311"/>
      <c r="Q1062" s="1311"/>
      <c r="R1062" s="1311"/>
      <c r="S1062" s="1311"/>
      <c r="T1062" s="1311"/>
      <c r="U1062" s="1311"/>
      <c r="V1062" s="1311"/>
      <c r="W1062" s="1311"/>
      <c r="X1062" s="1311"/>
      <c r="Y1062" s="1311"/>
      <c r="Z1062" s="1311"/>
      <c r="AA1062" s="1311"/>
      <c r="AB1062" s="1311"/>
      <c r="AC1062" s="1311"/>
      <c r="AD1062" s="1311"/>
      <c r="AE1062" s="1311"/>
      <c r="AF1062" s="1311"/>
      <c r="AG1062" s="1311"/>
      <c r="AH1062" s="1311"/>
      <c r="AI1062" s="1312"/>
      <c r="AJ1062" s="1371">
        <f>SUM(AJ1001:AQ1061)</f>
        <v>30970696.16</v>
      </c>
      <c r="AK1062" s="1372"/>
      <c r="AL1062" s="1372"/>
      <c r="AM1062" s="1372"/>
      <c r="AN1062" s="1372"/>
      <c r="AO1062" s="1372"/>
      <c r="AP1062" s="1372"/>
      <c r="AQ1062" s="1373"/>
      <c r="AR1062" s="1182"/>
      <c r="AS1062" s="1182"/>
      <c r="AT1062" s="1182"/>
      <c r="AU1062" s="1182"/>
      <c r="AV1062" s="1182"/>
      <c r="AW1062" s="1182"/>
      <c r="AX1062" s="1182"/>
      <c r="AY1062" s="1182"/>
      <c r="AZ1062" s="1063">
        <v>6000000</v>
      </c>
      <c r="BA1062" s="3" t="s">
        <v>1720</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1721</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2247375</v>
      </c>
      <c r="BB1064" s="3" t="s">
        <v>1722</v>
      </c>
      <c r="BC1064" s="3"/>
      <c r="BD1064" s="3"/>
    </row>
    <row r="1065" spans="1:56" ht="12.95" customHeight="1">
      <c r="A1065" s="13"/>
      <c r="B1065" s="1182"/>
      <c r="C1065" s="1182"/>
      <c r="D1065" s="1182"/>
      <c r="E1065" s="1182"/>
      <c r="F1065" s="1182"/>
      <c r="G1065" s="1058" t="s">
        <v>1723</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89">
        <f>'Sources and Uses Budget'!S107+'Sources and Uses Budget'!T107</f>
        <v>17229875</v>
      </c>
      <c r="AB1065" s="1789"/>
      <c r="AC1065" s="1789"/>
      <c r="AD1065" s="1789"/>
      <c r="AE1065" s="1789"/>
      <c r="AF1065" s="1789"/>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2247375</v>
      </c>
      <c r="BB1065" s="3" t="s">
        <v>1724</v>
      </c>
      <c r="BC1065" s="3"/>
      <c r="BD1065" s="3"/>
    </row>
    <row r="1066" spans="1:56" ht="12.95" customHeight="1">
      <c r="A1066" s="13"/>
      <c r="B1066" s="1182"/>
      <c r="C1066" s="1182"/>
      <c r="D1066" s="1182"/>
      <c r="E1066" s="1182"/>
      <c r="F1066" s="1182"/>
      <c r="G1066" s="1058"/>
      <c r="H1066" s="1058" t="s">
        <v>1725</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90">
        <f>IFERROR((AA1065-BA1068)/(AJ1062-AJ1054-AJ1058),"")</f>
        <v>0.76958749498346357</v>
      </c>
      <c r="AB1066" s="1791"/>
      <c r="AC1066" s="1791"/>
      <c r="AD1066" s="1791"/>
      <c r="AE1066" s="1791"/>
      <c r="AF1066" s="1792"/>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79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3"/>
      <c r="I1067" s="1793"/>
      <c r="J1067" s="1793"/>
      <c r="K1067" s="1793"/>
      <c r="L1067" s="1793"/>
      <c r="M1067" s="1793"/>
      <c r="N1067" s="1793"/>
      <c r="O1067" s="1793"/>
      <c r="P1067" s="1793"/>
      <c r="Q1067" s="1793"/>
      <c r="R1067" s="1793"/>
      <c r="S1067" s="1793"/>
      <c r="T1067" s="1793"/>
      <c r="U1067" s="1793"/>
      <c r="V1067" s="1793"/>
      <c r="W1067" s="1793"/>
      <c r="X1067" s="1793"/>
      <c r="Y1067" s="1793"/>
      <c r="Z1067" s="1793"/>
      <c r="AA1067" s="1793"/>
      <c r="AB1067" s="1793"/>
      <c r="AC1067" s="1793"/>
      <c r="AD1067" s="1793"/>
      <c r="AE1067" s="1793"/>
      <c r="AF1067" s="1793"/>
      <c r="AG1067" s="1793"/>
      <c r="AH1067" s="1793"/>
      <c r="AI1067" s="1793"/>
      <c r="AJ1067" s="1793"/>
      <c r="AK1067" s="1793"/>
      <c r="AL1067" s="1793"/>
      <c r="AM1067" s="1793"/>
      <c r="AN1067" s="1793"/>
      <c r="AO1067" s="1182"/>
      <c r="AP1067" s="1182"/>
      <c r="AQ1067" s="1182"/>
      <c r="AR1067" s="1182"/>
      <c r="AS1067" s="1182"/>
      <c r="AT1067" s="1182"/>
      <c r="AU1067" s="1182"/>
      <c r="AV1067" s="13"/>
      <c r="AW1067" s="13"/>
      <c r="AX1067" s="13"/>
      <c r="AY1067" s="13"/>
      <c r="BA1067" s="1067">
        <f>'Sources and Uses Budget'!$S$104+'Sources and Uses Budget'!$T$104</f>
        <v>2247375</v>
      </c>
      <c r="BB1067" s="3" t="s">
        <v>1726</v>
      </c>
    </row>
    <row r="1068" spans="1:56" ht="12.95" customHeight="1">
      <c r="A1068" s="13"/>
      <c r="B1068" s="13"/>
      <c r="C1068" s="1201"/>
      <c r="D1068" s="1204"/>
      <c r="E1068" s="1204"/>
      <c r="F1068" s="1204"/>
      <c r="G1068" s="1793"/>
      <c r="H1068" s="1793"/>
      <c r="I1068" s="1793"/>
      <c r="J1068" s="1793"/>
      <c r="K1068" s="1793"/>
      <c r="L1068" s="1793"/>
      <c r="M1068" s="1793"/>
      <c r="N1068" s="1793"/>
      <c r="O1068" s="1793"/>
      <c r="P1068" s="1793"/>
      <c r="Q1068" s="1793"/>
      <c r="R1068" s="1793"/>
      <c r="S1068" s="1793"/>
      <c r="T1068" s="1793"/>
      <c r="U1068" s="1793"/>
      <c r="V1068" s="1793"/>
      <c r="W1068" s="1793"/>
      <c r="X1068" s="1793"/>
      <c r="Y1068" s="1793"/>
      <c r="Z1068" s="1793"/>
      <c r="AA1068" s="1793"/>
      <c r="AB1068" s="1793"/>
      <c r="AC1068" s="1793"/>
      <c r="AD1068" s="1793"/>
      <c r="AE1068" s="1793"/>
      <c r="AF1068" s="1793"/>
      <c r="AG1068" s="1793"/>
      <c r="AH1068" s="1793"/>
      <c r="AI1068" s="1793"/>
      <c r="AJ1068" s="1793"/>
      <c r="AK1068" s="1793"/>
      <c r="AL1068" s="1793"/>
      <c r="AM1068" s="1793"/>
      <c r="AN1068" s="1793"/>
      <c r="AO1068" s="1182"/>
      <c r="AP1068" s="1182"/>
      <c r="AQ1068" s="1182"/>
      <c r="AR1068" s="1182"/>
      <c r="AS1068" s="1182"/>
      <c r="AT1068" s="1182"/>
      <c r="AU1068" s="1182"/>
      <c r="AV1068" s="13"/>
      <c r="AW1068" s="13"/>
      <c r="AX1068" s="13"/>
      <c r="AY1068" s="13"/>
      <c r="BA1068" s="1068">
        <f>MAX($BA$1067-$BA$1064,0)</f>
        <v>0</v>
      </c>
      <c r="BB1068" s="3" t="s">
        <v>1727</v>
      </c>
    </row>
    <row r="1069" spans="1:56" ht="12.95" customHeight="1">
      <c r="A1069" s="1205"/>
      <c r="B1069" s="1054"/>
      <c r="C1069" s="1054"/>
      <c r="D1069" s="1054"/>
      <c r="E1069" s="1054"/>
      <c r="F1069" s="1054"/>
      <c r="G1069" s="1793"/>
      <c r="H1069" s="1793"/>
      <c r="I1069" s="1793"/>
      <c r="J1069" s="1793"/>
      <c r="K1069" s="1793"/>
      <c r="L1069" s="1793"/>
      <c r="M1069" s="1793"/>
      <c r="N1069" s="1793"/>
      <c r="O1069" s="1793"/>
      <c r="P1069" s="1793"/>
      <c r="Q1069" s="1793"/>
      <c r="R1069" s="1793"/>
      <c r="S1069" s="1793"/>
      <c r="T1069" s="1793"/>
      <c r="U1069" s="1793"/>
      <c r="V1069" s="1793"/>
      <c r="W1069" s="1793"/>
      <c r="X1069" s="1793"/>
      <c r="Y1069" s="1793"/>
      <c r="Z1069" s="1793"/>
      <c r="AA1069" s="1793"/>
      <c r="AB1069" s="1793"/>
      <c r="AC1069" s="1793"/>
      <c r="AD1069" s="1793"/>
      <c r="AE1069" s="1793"/>
      <c r="AF1069" s="1793"/>
      <c r="AG1069" s="1793"/>
      <c r="AH1069" s="1793"/>
      <c r="AI1069" s="1793"/>
      <c r="AJ1069" s="1793"/>
      <c r="AK1069" s="1793"/>
      <c r="AL1069" s="1793"/>
      <c r="AM1069" s="1793"/>
      <c r="AN1069" s="1793"/>
      <c r="AO1069" s="1054"/>
      <c r="AP1069" s="1054"/>
      <c r="AQ1069" s="1182"/>
      <c r="AR1069" s="1182"/>
      <c r="AS1069" s="1182"/>
      <c r="AT1069" s="1182"/>
      <c r="AU1069" s="1182"/>
      <c r="AV1069" s="1182"/>
      <c r="AW1069" s="1182"/>
      <c r="AX1069" s="1182"/>
      <c r="AY1069" s="1182"/>
    </row>
    <row r="1070" spans="1:56" ht="12.95" customHeight="1">
      <c r="A1070" s="1338" t="s">
        <v>1728</v>
      </c>
      <c r="B1070" s="1338"/>
      <c r="C1070" s="1338"/>
      <c r="D1070" s="1338"/>
      <c r="E1070" s="1338"/>
      <c r="F1070" s="1338"/>
      <c r="G1070" s="1338"/>
      <c r="H1070" s="1338"/>
      <c r="I1070" s="1338"/>
      <c r="J1070" s="1338"/>
      <c r="K1070" s="1338"/>
      <c r="L1070" s="1338"/>
      <c r="M1070" s="1338"/>
      <c r="N1070" s="1338"/>
      <c r="O1070" s="1338"/>
      <c r="P1070" s="1338"/>
      <c r="Q1070" s="1338"/>
      <c r="R1070" s="1338"/>
      <c r="S1070" s="1338"/>
      <c r="T1070" s="1338"/>
      <c r="U1070" s="1338"/>
      <c r="V1070" s="1338"/>
      <c r="W1070" s="1338"/>
      <c r="X1070" s="1338"/>
      <c r="Y1070" s="1338"/>
      <c r="Z1070" s="1338"/>
      <c r="AA1070" s="1338"/>
      <c r="AB1070" s="1338"/>
      <c r="AC1070" s="1338"/>
      <c r="AD1070" s="1338"/>
      <c r="AE1070" s="1338"/>
      <c r="AF1070" s="1338"/>
      <c r="AG1070" s="1338"/>
      <c r="AH1070" s="1338"/>
      <c r="AI1070" s="1338"/>
      <c r="AJ1070" s="1338"/>
      <c r="AK1070" s="1338"/>
      <c r="AL1070" s="1338"/>
      <c r="AM1070" s="1338"/>
      <c r="AN1070" s="1338"/>
      <c r="AO1070" s="1338"/>
      <c r="AP1070" s="1338"/>
      <c r="AQ1070" s="1338"/>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1729</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1730</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308" t="s">
        <v>826</v>
      </c>
      <c r="B1074" s="1308"/>
      <c r="C1074" s="1309">
        <v>1</v>
      </c>
      <c r="D1074" s="1309"/>
      <c r="E1074" s="13" t="s">
        <v>1731</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309"/>
      <c r="D1075" s="1309"/>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308" t="s">
        <v>826</v>
      </c>
      <c r="B1076" s="1308"/>
      <c r="C1076" s="1309">
        <v>2</v>
      </c>
      <c r="D1076" s="1309"/>
      <c r="E1076" s="1310" t="s">
        <v>1732</v>
      </c>
      <c r="F1076" s="1310"/>
      <c r="G1076" s="1310"/>
      <c r="H1076" s="1310"/>
      <c r="I1076" s="1310"/>
      <c r="J1076" s="1310"/>
      <c r="K1076" s="1310"/>
      <c r="L1076" s="1310"/>
      <c r="M1076" s="1310"/>
      <c r="N1076" s="1310"/>
      <c r="O1076" s="1310"/>
      <c r="P1076" s="1310"/>
      <c r="Q1076" s="1310"/>
      <c r="R1076" s="1310"/>
      <c r="S1076" s="1310"/>
      <c r="T1076" s="1310"/>
      <c r="U1076" s="1310"/>
      <c r="V1076" s="1310"/>
      <c r="W1076" s="1310"/>
      <c r="X1076" s="1310"/>
      <c r="Y1076" s="1310"/>
      <c r="Z1076" s="1310"/>
      <c r="AA1076" s="1310"/>
      <c r="AB1076" s="1310"/>
      <c r="AC1076" s="1310"/>
      <c r="AD1076" s="1310"/>
      <c r="AE1076" s="1310"/>
      <c r="AF1076" s="1310"/>
      <c r="AG1076" s="1310"/>
      <c r="AH1076" s="1310"/>
      <c r="AI1076" s="1310"/>
      <c r="AJ1076" s="1310"/>
      <c r="AK1076" s="1310"/>
      <c r="AL1076" s="1310"/>
      <c r="AM1076" s="1310"/>
      <c r="AN1076" s="1310"/>
      <c r="AO1076" s="1310"/>
      <c r="AP1076" s="1310"/>
      <c r="AQ1076" s="1310"/>
      <c r="AR1076" s="1310"/>
      <c r="AS1076" s="13"/>
      <c r="AT1076" s="13"/>
      <c r="AV1076" s="1182"/>
      <c r="AW1076" s="1182"/>
      <c r="AX1076" s="1182"/>
      <c r="AY1076" s="1182"/>
    </row>
    <row r="1077" spans="1:51" ht="12.95" customHeight="1">
      <c r="A1077" s="133"/>
      <c r="B1077" s="13"/>
      <c r="C1077" s="1309"/>
      <c r="D1077" s="1309"/>
      <c r="E1077" s="1310"/>
      <c r="F1077" s="1310"/>
      <c r="G1077" s="1310"/>
      <c r="H1077" s="1310"/>
      <c r="I1077" s="1310"/>
      <c r="J1077" s="1310"/>
      <c r="K1077" s="1310"/>
      <c r="L1077" s="1310"/>
      <c r="M1077" s="1310"/>
      <c r="N1077" s="1310"/>
      <c r="O1077" s="1310"/>
      <c r="P1077" s="1310"/>
      <c r="Q1077" s="1310"/>
      <c r="R1077" s="1310"/>
      <c r="S1077" s="1310"/>
      <c r="T1077" s="1310"/>
      <c r="U1077" s="1310"/>
      <c r="V1077" s="1310"/>
      <c r="W1077" s="1310"/>
      <c r="X1077" s="1310"/>
      <c r="Y1077" s="1310"/>
      <c r="Z1077" s="1310"/>
      <c r="AA1077" s="1310"/>
      <c r="AB1077" s="1310"/>
      <c r="AC1077" s="1310"/>
      <c r="AD1077" s="1310"/>
      <c r="AE1077" s="1310"/>
      <c r="AF1077" s="1310"/>
      <c r="AG1077" s="1310"/>
      <c r="AH1077" s="1310"/>
      <c r="AI1077" s="1310"/>
      <c r="AJ1077" s="1310"/>
      <c r="AK1077" s="1310"/>
      <c r="AL1077" s="1310"/>
      <c r="AM1077" s="1310"/>
      <c r="AN1077" s="1310"/>
      <c r="AO1077" s="1310"/>
      <c r="AP1077" s="1310"/>
      <c r="AQ1077" s="1310"/>
      <c r="AR1077" s="1310"/>
      <c r="AS1077" s="13"/>
      <c r="AT1077" s="13"/>
      <c r="AV1077" s="1182"/>
      <c r="AW1077" s="1182"/>
      <c r="AX1077" s="1182"/>
      <c r="AY1077" s="1182"/>
    </row>
    <row r="1078" spans="1:51" ht="12.95" customHeight="1">
      <c r="A1078" s="133"/>
      <c r="B1078" s="13"/>
      <c r="C1078" s="1309"/>
      <c r="D1078" s="1309"/>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308" t="s">
        <v>826</v>
      </c>
      <c r="B1079" s="1308"/>
      <c r="C1079" s="1307">
        <v>3</v>
      </c>
      <c r="D1079" s="1307"/>
      <c r="E1079" s="1263" t="s">
        <v>1733</v>
      </c>
      <c r="F1079" s="1263"/>
      <c r="G1079" s="1263"/>
      <c r="H1079" s="1263"/>
      <c r="I1079" s="1263"/>
      <c r="J1079" s="1263"/>
      <c r="K1079" s="1263"/>
      <c r="L1079" s="1263"/>
      <c r="M1079" s="1263"/>
      <c r="N1079" s="1263"/>
      <c r="O1079" s="1263"/>
      <c r="P1079" s="1263"/>
      <c r="Q1079" s="1263"/>
      <c r="R1079" s="1263"/>
      <c r="S1079" s="1263"/>
      <c r="T1079" s="1263"/>
      <c r="U1079" s="1263"/>
      <c r="V1079" s="1263"/>
      <c r="W1079" s="1263"/>
      <c r="X1079" s="1263"/>
      <c r="Y1079" s="1263"/>
      <c r="Z1079" s="1263"/>
      <c r="AA1079" s="1263"/>
      <c r="AB1079" s="1263"/>
      <c r="AC1079" s="1263"/>
      <c r="AD1079" s="1263"/>
      <c r="AE1079" s="1263"/>
      <c r="AF1079" s="1263"/>
      <c r="AG1079" s="1263"/>
      <c r="AH1079" s="1263"/>
      <c r="AI1079" s="1263"/>
      <c r="AJ1079" s="1263"/>
      <c r="AK1079" s="1263"/>
      <c r="AL1079" s="1263"/>
      <c r="AM1079" s="1263"/>
      <c r="AN1079" s="1263"/>
      <c r="AO1079" s="1263"/>
      <c r="AP1079" s="1263"/>
      <c r="AQ1079" s="1263"/>
      <c r="AR1079" s="1263"/>
      <c r="AS1079" s="13"/>
      <c r="AT1079" s="1182"/>
      <c r="AV1079" s="1182"/>
      <c r="AW1079" s="1182"/>
      <c r="AX1079" s="1182"/>
      <c r="AY1079" s="1182"/>
    </row>
    <row r="1080" spans="1:51" ht="12.95" customHeight="1">
      <c r="A1080" s="1"/>
      <c r="B1080" s="1"/>
      <c r="C1080" s="1307"/>
      <c r="D1080" s="1307"/>
      <c r="E1080" s="1263"/>
      <c r="F1080" s="1263"/>
      <c r="G1080" s="1263"/>
      <c r="H1080" s="1263"/>
      <c r="I1080" s="1263"/>
      <c r="J1080" s="1263"/>
      <c r="K1080" s="1263"/>
      <c r="L1080" s="1263"/>
      <c r="M1080" s="1263"/>
      <c r="N1080" s="1263"/>
      <c r="O1080" s="1263"/>
      <c r="P1080" s="1263"/>
      <c r="Q1080" s="1263"/>
      <c r="R1080" s="1263"/>
      <c r="S1080" s="1263"/>
      <c r="T1080" s="1263"/>
      <c r="U1080" s="1263"/>
      <c r="V1080" s="1263"/>
      <c r="W1080" s="1263"/>
      <c r="X1080" s="1263"/>
      <c r="Y1080" s="1263"/>
      <c r="Z1080" s="1263"/>
      <c r="AA1080" s="1263"/>
      <c r="AB1080" s="1263"/>
      <c r="AC1080" s="1263"/>
      <c r="AD1080" s="1263"/>
      <c r="AE1080" s="1263"/>
      <c r="AF1080" s="1263"/>
      <c r="AG1080" s="1263"/>
      <c r="AH1080" s="1263"/>
      <c r="AI1080" s="1263"/>
      <c r="AJ1080" s="1263"/>
      <c r="AK1080" s="1263"/>
      <c r="AL1080" s="1263"/>
      <c r="AM1080" s="1263"/>
      <c r="AN1080" s="1263"/>
      <c r="AO1080" s="1263"/>
      <c r="AP1080" s="1263"/>
      <c r="AQ1080" s="1263"/>
      <c r="AR1080" s="1263"/>
      <c r="AS1080" s="13"/>
      <c r="AT1080" s="1182"/>
      <c r="AV1080" s="1182"/>
      <c r="AW1080" s="1182"/>
      <c r="AX1080" s="1182"/>
      <c r="AY1080" s="1182"/>
    </row>
    <row r="1081" spans="1:51" ht="12.95" customHeight="1">
      <c r="A1081" s="1"/>
      <c r="B1081" s="1"/>
      <c r="C1081" s="1307"/>
      <c r="D1081" s="1307"/>
      <c r="E1081" s="1263"/>
      <c r="F1081" s="1263"/>
      <c r="G1081" s="1263"/>
      <c r="H1081" s="1263"/>
      <c r="I1081" s="1263"/>
      <c r="J1081" s="1263"/>
      <c r="K1081" s="1263"/>
      <c r="L1081" s="1263"/>
      <c r="M1081" s="1263"/>
      <c r="N1081" s="1263"/>
      <c r="O1081" s="1263"/>
      <c r="P1081" s="1263"/>
      <c r="Q1081" s="1263"/>
      <c r="R1081" s="1263"/>
      <c r="S1081" s="1263"/>
      <c r="T1081" s="1263"/>
      <c r="U1081" s="1263"/>
      <c r="V1081" s="1263"/>
      <c r="W1081" s="1263"/>
      <c r="X1081" s="1263"/>
      <c r="Y1081" s="1263"/>
      <c r="Z1081" s="1263"/>
      <c r="AA1081" s="1263"/>
      <c r="AB1081" s="1263"/>
      <c r="AC1081" s="1263"/>
      <c r="AD1081" s="1263"/>
      <c r="AE1081" s="1263"/>
      <c r="AF1081" s="1263"/>
      <c r="AG1081" s="1263"/>
      <c r="AH1081" s="1263"/>
      <c r="AI1081" s="1263"/>
      <c r="AJ1081" s="1263"/>
      <c r="AK1081" s="1263"/>
      <c r="AL1081" s="1263"/>
      <c r="AM1081" s="1263"/>
      <c r="AN1081" s="1263"/>
      <c r="AO1081" s="1263"/>
      <c r="AP1081" s="1263"/>
      <c r="AQ1081" s="1263"/>
      <c r="AR1081" s="1263"/>
      <c r="AS1081" s="13"/>
      <c r="AT1081" s="1182"/>
      <c r="AV1081" s="1182"/>
      <c r="AW1081" s="1182"/>
      <c r="AX1081" s="1182"/>
      <c r="AY1081" s="1182"/>
    </row>
    <row r="1082" spans="1:51" ht="12.95" customHeight="1">
      <c r="A1082" s="1"/>
      <c r="B1082" s="1"/>
      <c r="C1082" s="1307"/>
      <c r="D1082" s="1307"/>
      <c r="E1082" s="1263"/>
      <c r="F1082" s="1263"/>
      <c r="G1082" s="1263"/>
      <c r="H1082" s="1263"/>
      <c r="I1082" s="1263"/>
      <c r="J1082" s="1263"/>
      <c r="K1082" s="1263"/>
      <c r="L1082" s="1263"/>
      <c r="M1082" s="1263"/>
      <c r="N1082" s="1263"/>
      <c r="O1082" s="1263"/>
      <c r="P1082" s="1263"/>
      <c r="Q1082" s="1263"/>
      <c r="R1082" s="1263"/>
      <c r="S1082" s="1263"/>
      <c r="T1082" s="1263"/>
      <c r="U1082" s="1263"/>
      <c r="V1082" s="1263"/>
      <c r="W1082" s="1263"/>
      <c r="X1082" s="1263"/>
      <c r="Y1082" s="1263"/>
      <c r="Z1082" s="1263"/>
      <c r="AA1082" s="1263"/>
      <c r="AB1082" s="1263"/>
      <c r="AC1082" s="1263"/>
      <c r="AD1082" s="1263"/>
      <c r="AE1082" s="1263"/>
      <c r="AF1082" s="1263"/>
      <c r="AG1082" s="1263"/>
      <c r="AH1082" s="1263"/>
      <c r="AI1082" s="1263"/>
      <c r="AJ1082" s="1263"/>
      <c r="AK1082" s="1263"/>
      <c r="AL1082" s="1263"/>
      <c r="AM1082" s="1263"/>
      <c r="AN1082" s="1263"/>
      <c r="AO1082" s="1263"/>
      <c r="AP1082" s="1263"/>
      <c r="AQ1082" s="1263"/>
      <c r="AR1082" s="1263"/>
      <c r="AS1082" s="13"/>
      <c r="AT1082" s="1182"/>
      <c r="AV1082" s="1182"/>
      <c r="AW1082" s="1182"/>
      <c r="AX1082" s="1182"/>
      <c r="AY1082" s="1182"/>
    </row>
    <row r="1083" spans="1:51" ht="12.95" customHeight="1">
      <c r="A1083" s="2"/>
      <c r="B1083" s="21"/>
      <c r="C1083" s="1307"/>
      <c r="D1083" s="130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308" t="s">
        <v>826</v>
      </c>
      <c r="B1084" s="1308"/>
      <c r="C1084" s="1307">
        <v>4</v>
      </c>
      <c r="D1084" s="1307"/>
      <c r="E1084" s="1263" t="s">
        <v>1734</v>
      </c>
      <c r="F1084" s="1263"/>
      <c r="G1084" s="1263"/>
      <c r="H1084" s="1263"/>
      <c r="I1084" s="1263"/>
      <c r="J1084" s="1263"/>
      <c r="K1084" s="1263"/>
      <c r="L1084" s="1263"/>
      <c r="M1084" s="1263"/>
      <c r="N1084" s="1263"/>
      <c r="O1084" s="1263"/>
      <c r="P1084" s="1263"/>
      <c r="Q1084" s="1263"/>
      <c r="R1084" s="1263"/>
      <c r="S1084" s="1263"/>
      <c r="T1084" s="1263"/>
      <c r="U1084" s="1263"/>
      <c r="V1084" s="1263"/>
      <c r="W1084" s="1263"/>
      <c r="X1084" s="1263"/>
      <c r="Y1084" s="1263"/>
      <c r="Z1084" s="1263"/>
      <c r="AA1084" s="1263"/>
      <c r="AB1084" s="1263"/>
      <c r="AC1084" s="1263"/>
      <c r="AD1084" s="1263"/>
      <c r="AE1084" s="1263"/>
      <c r="AF1084" s="1263"/>
      <c r="AG1084" s="1263"/>
      <c r="AH1084" s="1263"/>
      <c r="AI1084" s="1263"/>
      <c r="AJ1084" s="1263"/>
      <c r="AK1084" s="1263"/>
      <c r="AL1084" s="1263"/>
      <c r="AM1084" s="1263"/>
      <c r="AN1084" s="1263"/>
      <c r="AO1084" s="1263"/>
      <c r="AP1084" s="1263"/>
      <c r="AQ1084" s="1263"/>
      <c r="AR1084" s="1263"/>
      <c r="AS1084" s="13"/>
      <c r="AT1084" s="1182"/>
    </row>
    <row r="1085" spans="1:51" ht="12.95" customHeight="1">
      <c r="A1085" s="1"/>
      <c r="B1085" s="1"/>
      <c r="C1085" s="1307"/>
      <c r="D1085" s="1307"/>
      <c r="E1085" s="1263"/>
      <c r="F1085" s="1263"/>
      <c r="G1085" s="1263"/>
      <c r="H1085" s="1263"/>
      <c r="I1085" s="1263"/>
      <c r="J1085" s="1263"/>
      <c r="K1085" s="1263"/>
      <c r="L1085" s="1263"/>
      <c r="M1085" s="1263"/>
      <c r="N1085" s="1263"/>
      <c r="O1085" s="1263"/>
      <c r="P1085" s="1263"/>
      <c r="Q1085" s="1263"/>
      <c r="R1085" s="1263"/>
      <c r="S1085" s="1263"/>
      <c r="T1085" s="1263"/>
      <c r="U1085" s="1263"/>
      <c r="V1085" s="1263"/>
      <c r="W1085" s="1263"/>
      <c r="X1085" s="1263"/>
      <c r="Y1085" s="1263"/>
      <c r="Z1085" s="1263"/>
      <c r="AA1085" s="1263"/>
      <c r="AB1085" s="1263"/>
      <c r="AC1085" s="1263"/>
      <c r="AD1085" s="1263"/>
      <c r="AE1085" s="1263"/>
      <c r="AF1085" s="1263"/>
      <c r="AG1085" s="1263"/>
      <c r="AH1085" s="1263"/>
      <c r="AI1085" s="1263"/>
      <c r="AJ1085" s="1263"/>
      <c r="AK1085" s="1263"/>
      <c r="AL1085" s="1263"/>
      <c r="AM1085" s="1263"/>
      <c r="AN1085" s="1263"/>
      <c r="AO1085" s="1263"/>
      <c r="AP1085" s="1263"/>
      <c r="AQ1085" s="1263"/>
      <c r="AR1085" s="1263"/>
      <c r="AS1085" s="13"/>
      <c r="AT1085" s="1182"/>
    </row>
    <row r="1086" spans="1:51" ht="12.95" customHeight="1">
      <c r="A1086" s="1"/>
      <c r="B1086" s="1"/>
      <c r="C1086" s="1307"/>
      <c r="D1086" s="1307"/>
      <c r="E1086" s="1263"/>
      <c r="F1086" s="1263"/>
      <c r="G1086" s="1263"/>
      <c r="H1086" s="1263"/>
      <c r="I1086" s="1263"/>
      <c r="J1086" s="1263"/>
      <c r="K1086" s="1263"/>
      <c r="L1086" s="1263"/>
      <c r="M1086" s="1263"/>
      <c r="N1086" s="1263"/>
      <c r="O1086" s="1263"/>
      <c r="P1086" s="1263"/>
      <c r="Q1086" s="1263"/>
      <c r="R1086" s="1263"/>
      <c r="S1086" s="1263"/>
      <c r="T1086" s="1263"/>
      <c r="U1086" s="1263"/>
      <c r="V1086" s="1263"/>
      <c r="W1086" s="1263"/>
      <c r="X1086" s="1263"/>
      <c r="Y1086" s="1263"/>
      <c r="Z1086" s="1263"/>
      <c r="AA1086" s="1263"/>
      <c r="AB1086" s="1263"/>
      <c r="AC1086" s="1263"/>
      <c r="AD1086" s="1263"/>
      <c r="AE1086" s="1263"/>
      <c r="AF1086" s="1263"/>
      <c r="AG1086" s="1263"/>
      <c r="AH1086" s="1263"/>
      <c r="AI1086" s="1263"/>
      <c r="AJ1086" s="1263"/>
      <c r="AK1086" s="1263"/>
      <c r="AL1086" s="1263"/>
      <c r="AM1086" s="1263"/>
      <c r="AN1086" s="1263"/>
      <c r="AO1086" s="1263"/>
      <c r="AP1086" s="1263"/>
      <c r="AQ1086" s="1263"/>
      <c r="AR1086" s="1263"/>
      <c r="AS1086" s="13"/>
      <c r="AT1086" s="1182"/>
    </row>
    <row r="1087" spans="1:51" ht="12.95" customHeight="1">
      <c r="A1087" s="1"/>
      <c r="B1087" s="1"/>
      <c r="C1087" s="1307"/>
      <c r="D1087" s="1307"/>
      <c r="E1087" s="1263"/>
      <c r="F1087" s="1263"/>
      <c r="G1087" s="1263"/>
      <c r="H1087" s="1263"/>
      <c r="I1087" s="1263"/>
      <c r="J1087" s="1263"/>
      <c r="K1087" s="1263"/>
      <c r="L1087" s="1263"/>
      <c r="M1087" s="1263"/>
      <c r="N1087" s="1263"/>
      <c r="O1087" s="1263"/>
      <c r="P1087" s="1263"/>
      <c r="Q1087" s="1263"/>
      <c r="R1087" s="1263"/>
      <c r="S1087" s="1263"/>
      <c r="T1087" s="1263"/>
      <c r="U1087" s="1263"/>
      <c r="V1087" s="1263"/>
      <c r="W1087" s="1263"/>
      <c r="X1087" s="1263"/>
      <c r="Y1087" s="1263"/>
      <c r="Z1087" s="1263"/>
      <c r="AA1087" s="1263"/>
      <c r="AB1087" s="1263"/>
      <c r="AC1087" s="1263"/>
      <c r="AD1087" s="1263"/>
      <c r="AE1087" s="1263"/>
      <c r="AF1087" s="1263"/>
      <c r="AG1087" s="1263"/>
      <c r="AH1087" s="1263"/>
      <c r="AI1087" s="1263"/>
      <c r="AJ1087" s="1263"/>
      <c r="AK1087" s="1263"/>
      <c r="AL1087" s="1263"/>
      <c r="AM1087" s="1263"/>
      <c r="AN1087" s="1263"/>
      <c r="AO1087" s="1263"/>
      <c r="AP1087" s="1263"/>
      <c r="AQ1087" s="1263"/>
      <c r="AR1087" s="1263"/>
      <c r="AS1087" s="13"/>
      <c r="AT1087" s="1182"/>
    </row>
    <row r="1088" spans="1:51" ht="12.95" customHeight="1">
      <c r="A1088" s="1"/>
      <c r="B1088" s="1"/>
      <c r="C1088" s="1307"/>
      <c r="D1088" s="1307"/>
      <c r="E1088" s="1263"/>
      <c r="F1088" s="1263"/>
      <c r="G1088" s="1263"/>
      <c r="H1088" s="1263"/>
      <c r="I1088" s="1263"/>
      <c r="J1088" s="1263"/>
      <c r="K1088" s="1263"/>
      <c r="L1088" s="1263"/>
      <c r="M1088" s="1263"/>
      <c r="N1088" s="1263"/>
      <c r="O1088" s="1263"/>
      <c r="P1088" s="1263"/>
      <c r="Q1088" s="1263"/>
      <c r="R1088" s="1263"/>
      <c r="S1088" s="1263"/>
      <c r="T1088" s="1263"/>
      <c r="U1088" s="1263"/>
      <c r="V1088" s="1263"/>
      <c r="W1088" s="1263"/>
      <c r="X1088" s="1263"/>
      <c r="Y1088" s="1263"/>
      <c r="Z1088" s="1263"/>
      <c r="AA1088" s="1263"/>
      <c r="AB1088" s="1263"/>
      <c r="AC1088" s="1263"/>
      <c r="AD1088" s="1263"/>
      <c r="AE1088" s="1263"/>
      <c r="AF1088" s="1263"/>
      <c r="AG1088" s="1263"/>
      <c r="AH1088" s="1263"/>
      <c r="AI1088" s="1263"/>
      <c r="AJ1088" s="1263"/>
      <c r="AK1088" s="1263"/>
      <c r="AL1088" s="1263"/>
      <c r="AM1088" s="1263"/>
      <c r="AN1088" s="1263"/>
      <c r="AO1088" s="1263"/>
      <c r="AP1088" s="1263"/>
      <c r="AQ1088" s="1263"/>
      <c r="AR1088" s="1263"/>
      <c r="AS1088" s="13"/>
      <c r="AT1088" s="1182"/>
    </row>
    <row r="1089" spans="1:45" ht="12.95" customHeight="1">
      <c r="A1089" s="1"/>
      <c r="B1089" s="1"/>
      <c r="C1089" s="1307"/>
      <c r="D1089" s="130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308" t="s">
        <v>826</v>
      </c>
      <c r="B1090" s="1308"/>
      <c r="C1090" s="1307">
        <v>5</v>
      </c>
      <c r="D1090" s="1307"/>
      <c r="E1090" s="1263" t="s">
        <v>1735</v>
      </c>
      <c r="F1090" s="1263"/>
      <c r="G1090" s="1263"/>
      <c r="H1090" s="1263"/>
      <c r="I1090" s="1263"/>
      <c r="J1090" s="1263"/>
      <c r="K1090" s="1263"/>
      <c r="L1090" s="1263"/>
      <c r="M1090" s="1263"/>
      <c r="N1090" s="1263"/>
      <c r="O1090" s="1263"/>
      <c r="P1090" s="1263"/>
      <c r="Q1090" s="1263"/>
      <c r="R1090" s="1263"/>
      <c r="S1090" s="1263"/>
      <c r="T1090" s="1263"/>
      <c r="U1090" s="1263"/>
      <c r="V1090" s="1263"/>
      <c r="W1090" s="1263"/>
      <c r="X1090" s="1263"/>
      <c r="Y1090" s="1263"/>
      <c r="Z1090" s="1263"/>
      <c r="AA1090" s="1263"/>
      <c r="AB1090" s="1263"/>
      <c r="AC1090" s="1263"/>
      <c r="AD1090" s="1263"/>
      <c r="AE1090" s="1263"/>
      <c r="AF1090" s="1263"/>
      <c r="AG1090" s="1263"/>
      <c r="AH1090" s="1263"/>
      <c r="AI1090" s="1263"/>
      <c r="AJ1090" s="1263"/>
      <c r="AK1090" s="1263"/>
      <c r="AL1090" s="1263"/>
      <c r="AM1090" s="1263"/>
      <c r="AN1090" s="1263"/>
      <c r="AO1090" s="1263"/>
      <c r="AP1090" s="1263"/>
      <c r="AQ1090" s="1263"/>
      <c r="AR1090" s="1263"/>
      <c r="AS1090" s="13"/>
    </row>
    <row r="1091" spans="1:45" ht="12.95" customHeight="1">
      <c r="A1091" s="3"/>
      <c r="B1091" s="3"/>
      <c r="C1091" s="1307"/>
      <c r="D1091" s="1307"/>
      <c r="E1091" s="1263"/>
      <c r="F1091" s="1263"/>
      <c r="G1091" s="1263"/>
      <c r="H1091" s="1263"/>
      <c r="I1091" s="1263"/>
      <c r="J1091" s="1263"/>
      <c r="K1091" s="1263"/>
      <c r="L1091" s="1263"/>
      <c r="M1091" s="1263"/>
      <c r="N1091" s="1263"/>
      <c r="O1091" s="1263"/>
      <c r="P1091" s="1263"/>
      <c r="Q1091" s="1263"/>
      <c r="R1091" s="1263"/>
      <c r="S1091" s="1263"/>
      <c r="T1091" s="1263"/>
      <c r="U1091" s="1263"/>
      <c r="V1091" s="1263"/>
      <c r="W1091" s="1263"/>
      <c r="X1091" s="1263"/>
      <c r="Y1091" s="1263"/>
      <c r="Z1091" s="1263"/>
      <c r="AA1091" s="1263"/>
      <c r="AB1091" s="1263"/>
      <c r="AC1091" s="1263"/>
      <c r="AD1091" s="1263"/>
      <c r="AE1091" s="1263"/>
      <c r="AF1091" s="1263"/>
      <c r="AG1091" s="1263"/>
      <c r="AH1091" s="1263"/>
      <c r="AI1091" s="1263"/>
      <c r="AJ1091" s="1263"/>
      <c r="AK1091" s="1263"/>
      <c r="AL1091" s="1263"/>
      <c r="AM1091" s="1263"/>
      <c r="AN1091" s="1263"/>
      <c r="AO1091" s="1263"/>
      <c r="AP1091" s="1263"/>
      <c r="AQ1091" s="1263"/>
      <c r="AR1091" s="1263"/>
      <c r="AS1091" s="13"/>
    </row>
    <row r="1092" spans="1:45" ht="12.95" customHeight="1">
      <c r="A1092" s="3"/>
      <c r="B1092" s="3"/>
      <c r="C1092" s="1307"/>
      <c r="D1092" s="1307"/>
      <c r="E1092" s="1263"/>
      <c r="F1092" s="1263"/>
      <c r="G1092" s="1263"/>
      <c r="H1092" s="1263"/>
      <c r="I1092" s="1263"/>
      <c r="J1092" s="1263"/>
      <c r="K1092" s="1263"/>
      <c r="L1092" s="1263"/>
      <c r="M1092" s="1263"/>
      <c r="N1092" s="1263"/>
      <c r="O1092" s="1263"/>
      <c r="P1092" s="1263"/>
      <c r="Q1092" s="1263"/>
      <c r="R1092" s="1263"/>
      <c r="S1092" s="1263"/>
      <c r="T1092" s="1263"/>
      <c r="U1092" s="1263"/>
      <c r="V1092" s="1263"/>
      <c r="W1092" s="1263"/>
      <c r="X1092" s="1263"/>
      <c r="Y1092" s="1263"/>
      <c r="Z1092" s="1263"/>
      <c r="AA1092" s="1263"/>
      <c r="AB1092" s="1263"/>
      <c r="AC1092" s="1263"/>
      <c r="AD1092" s="1263"/>
      <c r="AE1092" s="1263"/>
      <c r="AF1092" s="1263"/>
      <c r="AG1092" s="1263"/>
      <c r="AH1092" s="1263"/>
      <c r="AI1092" s="1263"/>
      <c r="AJ1092" s="1263"/>
      <c r="AK1092" s="1263"/>
      <c r="AL1092" s="1263"/>
      <c r="AM1092" s="1263"/>
      <c r="AN1092" s="1263"/>
      <c r="AO1092" s="1263"/>
      <c r="AP1092" s="1263"/>
      <c r="AQ1092" s="1263"/>
      <c r="AR1092" s="1263"/>
      <c r="AS1092" s="13"/>
    </row>
    <row r="1093" spans="1:45" ht="12.95" customHeight="1">
      <c r="A1093" s="84"/>
      <c r="B1093" s="21"/>
      <c r="C1093" s="1307"/>
      <c r="D1093" s="130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308" t="s">
        <v>826</v>
      </c>
      <c r="B1094" s="1308"/>
      <c r="C1094" s="1307">
        <v>6</v>
      </c>
      <c r="D1094" s="1307"/>
      <c r="E1094" s="1263" t="s">
        <v>1736</v>
      </c>
      <c r="F1094" s="1263"/>
      <c r="G1094" s="1263"/>
      <c r="H1094" s="1263"/>
      <c r="I1094" s="1263"/>
      <c r="J1094" s="1263"/>
      <c r="K1094" s="1263"/>
      <c r="L1094" s="1263"/>
      <c r="M1094" s="1263"/>
      <c r="N1094" s="1263"/>
      <c r="O1094" s="1263"/>
      <c r="P1094" s="1263"/>
      <c r="Q1094" s="1263"/>
      <c r="R1094" s="1263"/>
      <c r="S1094" s="1263"/>
      <c r="T1094" s="1263"/>
      <c r="U1094" s="1263"/>
      <c r="V1094" s="1263"/>
      <c r="W1094" s="1263"/>
      <c r="X1094" s="1263"/>
      <c r="Y1094" s="1263"/>
      <c r="Z1094" s="1263"/>
      <c r="AA1094" s="1263"/>
      <c r="AB1094" s="1263"/>
      <c r="AC1094" s="1263"/>
      <c r="AD1094" s="1263"/>
      <c r="AE1094" s="1263"/>
      <c r="AF1094" s="1263"/>
      <c r="AG1094" s="1263"/>
      <c r="AH1094" s="1263"/>
      <c r="AI1094" s="1263"/>
      <c r="AJ1094" s="1263"/>
      <c r="AK1094" s="1263"/>
      <c r="AL1094" s="1263"/>
      <c r="AM1094" s="1263"/>
      <c r="AN1094" s="1263"/>
      <c r="AO1094" s="1263"/>
      <c r="AP1094" s="1263"/>
      <c r="AQ1094" s="1263"/>
      <c r="AR1094" s="1263"/>
      <c r="AS1094" s="13"/>
    </row>
    <row r="1095" spans="1:45" ht="12.95" customHeight="1">
      <c r="A1095" s="1"/>
      <c r="B1095" s="1"/>
      <c r="C1095" s="1"/>
      <c r="D1095" s="1"/>
      <c r="E1095" s="1263"/>
      <c r="F1095" s="1263"/>
      <c r="G1095" s="1263"/>
      <c r="H1095" s="1263"/>
      <c r="I1095" s="1263"/>
      <c r="J1095" s="1263"/>
      <c r="K1095" s="1263"/>
      <c r="L1095" s="1263"/>
      <c r="M1095" s="1263"/>
      <c r="N1095" s="1263"/>
      <c r="O1095" s="1263"/>
      <c r="P1095" s="1263"/>
      <c r="Q1095" s="1263"/>
      <c r="R1095" s="1263"/>
      <c r="S1095" s="1263"/>
      <c r="T1095" s="1263"/>
      <c r="U1095" s="1263"/>
      <c r="V1095" s="1263"/>
      <c r="W1095" s="1263"/>
      <c r="X1095" s="1263"/>
      <c r="Y1095" s="1263"/>
      <c r="Z1095" s="1263"/>
      <c r="AA1095" s="1263"/>
      <c r="AB1095" s="1263"/>
      <c r="AC1095" s="1263"/>
      <c r="AD1095" s="1263"/>
      <c r="AE1095" s="1263"/>
      <c r="AF1095" s="1263"/>
      <c r="AG1095" s="1263"/>
      <c r="AH1095" s="1263"/>
      <c r="AI1095" s="1263"/>
      <c r="AJ1095" s="1263"/>
      <c r="AK1095" s="1263"/>
      <c r="AL1095" s="1263"/>
      <c r="AM1095" s="1263"/>
      <c r="AN1095" s="1263"/>
      <c r="AO1095" s="1263"/>
      <c r="AP1095" s="1263"/>
      <c r="AQ1095" s="1263"/>
      <c r="AR1095" s="1263"/>
      <c r="AS1095" s="13"/>
    </row>
    <row r="1096" spans="1:45" ht="12.95" customHeight="1">
      <c r="A1096" s="1"/>
      <c r="B1096" s="1"/>
      <c r="C1096" s="1307"/>
      <c r="D1096" s="1307"/>
      <c r="E1096" s="1263"/>
      <c r="F1096" s="1263"/>
      <c r="G1096" s="1263"/>
      <c r="H1096" s="1263"/>
      <c r="I1096" s="1263"/>
      <c r="J1096" s="1263"/>
      <c r="K1096" s="1263"/>
      <c r="L1096" s="1263"/>
      <c r="M1096" s="1263"/>
      <c r="N1096" s="1263"/>
      <c r="O1096" s="1263"/>
      <c r="P1096" s="1263"/>
      <c r="Q1096" s="1263"/>
      <c r="R1096" s="1263"/>
      <c r="S1096" s="1263"/>
      <c r="T1096" s="1263"/>
      <c r="U1096" s="1263"/>
      <c r="V1096" s="1263"/>
      <c r="W1096" s="1263"/>
      <c r="X1096" s="1263"/>
      <c r="Y1096" s="1263"/>
      <c r="Z1096" s="1263"/>
      <c r="AA1096" s="1263"/>
      <c r="AB1096" s="1263"/>
      <c r="AC1096" s="1263"/>
      <c r="AD1096" s="1263"/>
      <c r="AE1096" s="1263"/>
      <c r="AF1096" s="1263"/>
      <c r="AG1096" s="1263"/>
      <c r="AH1096" s="1263"/>
      <c r="AI1096" s="1263"/>
      <c r="AJ1096" s="1263"/>
      <c r="AK1096" s="1263"/>
      <c r="AL1096" s="1263"/>
      <c r="AM1096" s="1263"/>
      <c r="AN1096" s="1263"/>
      <c r="AO1096" s="1263"/>
      <c r="AP1096" s="1263"/>
      <c r="AQ1096" s="1263"/>
      <c r="AR1096" s="1263"/>
      <c r="AS1096" s="13"/>
    </row>
    <row r="1097" spans="1:45" ht="12.95" customHeight="1">
      <c r="A1097" s="84"/>
      <c r="B1097" s="21"/>
      <c r="C1097" s="1307"/>
      <c r="D1097" s="130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308" t="s">
        <v>826</v>
      </c>
      <c r="B1098" s="1308"/>
      <c r="C1098" s="1307">
        <v>7</v>
      </c>
      <c r="D1098" s="1307"/>
      <c r="E1098" s="1263" t="s">
        <v>1737</v>
      </c>
      <c r="F1098" s="1263"/>
      <c r="G1098" s="1263"/>
      <c r="H1098" s="1263"/>
      <c r="I1098" s="1263"/>
      <c r="J1098" s="1263"/>
      <c r="K1098" s="1263"/>
      <c r="L1098" s="1263"/>
      <c r="M1098" s="1263"/>
      <c r="N1098" s="1263"/>
      <c r="O1098" s="1263"/>
      <c r="P1098" s="1263"/>
      <c r="Q1098" s="1263"/>
      <c r="R1098" s="1263"/>
      <c r="S1098" s="1263"/>
      <c r="T1098" s="1263"/>
      <c r="U1098" s="1263"/>
      <c r="V1098" s="1263"/>
      <c r="W1098" s="1263"/>
      <c r="X1098" s="1263"/>
      <c r="Y1098" s="1263"/>
      <c r="Z1098" s="1263"/>
      <c r="AA1098" s="1263"/>
      <c r="AB1098" s="1263"/>
      <c r="AC1098" s="1263"/>
      <c r="AD1098" s="1263"/>
      <c r="AE1098" s="1263"/>
      <c r="AF1098" s="1263"/>
      <c r="AG1098" s="1263"/>
      <c r="AH1098" s="1263"/>
      <c r="AI1098" s="1263"/>
      <c r="AJ1098" s="1263"/>
      <c r="AK1098" s="1263"/>
      <c r="AL1098" s="1263"/>
      <c r="AM1098" s="1263"/>
      <c r="AN1098" s="1263"/>
      <c r="AO1098" s="1263"/>
      <c r="AP1098" s="1263"/>
      <c r="AQ1098" s="1263"/>
      <c r="AR1098" s="1263"/>
      <c r="AS1098" s="13"/>
    </row>
    <row r="1099" spans="1:45" ht="12.95" customHeight="1">
      <c r="A1099" s="1"/>
      <c r="B1099" s="1"/>
      <c r="C1099" s="1307"/>
      <c r="D1099" s="1307"/>
      <c r="E1099" s="1263"/>
      <c r="F1099" s="1263"/>
      <c r="G1099" s="1263"/>
      <c r="H1099" s="1263"/>
      <c r="I1099" s="1263"/>
      <c r="J1099" s="1263"/>
      <c r="K1099" s="1263"/>
      <c r="L1099" s="1263"/>
      <c r="M1099" s="1263"/>
      <c r="N1099" s="1263"/>
      <c r="O1099" s="1263"/>
      <c r="P1099" s="1263"/>
      <c r="Q1099" s="1263"/>
      <c r="R1099" s="1263"/>
      <c r="S1099" s="1263"/>
      <c r="T1099" s="1263"/>
      <c r="U1099" s="1263"/>
      <c r="V1099" s="1263"/>
      <c r="W1099" s="1263"/>
      <c r="X1099" s="1263"/>
      <c r="Y1099" s="1263"/>
      <c r="Z1099" s="1263"/>
      <c r="AA1099" s="1263"/>
      <c r="AB1099" s="1263"/>
      <c r="AC1099" s="1263"/>
      <c r="AD1099" s="1263"/>
      <c r="AE1099" s="1263"/>
      <c r="AF1099" s="1263"/>
      <c r="AG1099" s="1263"/>
      <c r="AH1099" s="1263"/>
      <c r="AI1099" s="1263"/>
      <c r="AJ1099" s="1263"/>
      <c r="AK1099" s="1263"/>
      <c r="AL1099" s="1263"/>
      <c r="AM1099" s="1263"/>
      <c r="AN1099" s="1263"/>
      <c r="AO1099" s="1263"/>
      <c r="AP1099" s="1263"/>
      <c r="AQ1099" s="1263"/>
      <c r="AR1099" s="1263"/>
      <c r="AS1099" s="13"/>
    </row>
    <row r="1100" spans="1:45" ht="12.95" customHeight="1">
      <c r="A1100" s="1"/>
      <c r="B1100" s="1"/>
      <c r="C1100" s="1307"/>
      <c r="D1100" s="1307"/>
      <c r="E1100" s="1263"/>
      <c r="F1100" s="1263"/>
      <c r="G1100" s="1263"/>
      <c r="H1100" s="1263"/>
      <c r="I1100" s="1263"/>
      <c r="J1100" s="1263"/>
      <c r="K1100" s="1263"/>
      <c r="L1100" s="1263"/>
      <c r="M1100" s="1263"/>
      <c r="N1100" s="1263"/>
      <c r="O1100" s="1263"/>
      <c r="P1100" s="1263"/>
      <c r="Q1100" s="1263"/>
      <c r="R1100" s="1263"/>
      <c r="S1100" s="1263"/>
      <c r="T1100" s="1263"/>
      <c r="U1100" s="1263"/>
      <c r="V1100" s="1263"/>
      <c r="W1100" s="1263"/>
      <c r="X1100" s="1263"/>
      <c r="Y1100" s="1263"/>
      <c r="Z1100" s="1263"/>
      <c r="AA1100" s="1263"/>
      <c r="AB1100" s="1263"/>
      <c r="AC1100" s="1263"/>
      <c r="AD1100" s="1263"/>
      <c r="AE1100" s="1263"/>
      <c r="AF1100" s="1263"/>
      <c r="AG1100" s="1263"/>
      <c r="AH1100" s="1263"/>
      <c r="AI1100" s="1263"/>
      <c r="AJ1100" s="1263"/>
      <c r="AK1100" s="1263"/>
      <c r="AL1100" s="1263"/>
      <c r="AM1100" s="1263"/>
      <c r="AN1100" s="1263"/>
      <c r="AO1100" s="1263"/>
      <c r="AP1100" s="1263"/>
      <c r="AQ1100" s="1263"/>
      <c r="AR1100" s="1263"/>
      <c r="AS1100" s="13"/>
    </row>
    <row r="1101" spans="1:45" ht="12.95" customHeight="1">
      <c r="A1101" s="1"/>
      <c r="B1101" s="1"/>
      <c r="C1101" s="1307"/>
      <c r="D1101" s="130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307"/>
      <c r="D1102" s="130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308" t="s">
        <v>826</v>
      </c>
      <c r="B1103" s="1308"/>
      <c r="C1103" s="1307">
        <v>8</v>
      </c>
      <c r="D1103" s="1307"/>
      <c r="E1103" s="1263" t="s">
        <v>1738</v>
      </c>
      <c r="F1103" s="1263"/>
      <c r="G1103" s="1263"/>
      <c r="H1103" s="1263"/>
      <c r="I1103" s="1263"/>
      <c r="J1103" s="1263"/>
      <c r="K1103" s="1263"/>
      <c r="L1103" s="1263"/>
      <c r="M1103" s="1263"/>
      <c r="N1103" s="1263"/>
      <c r="O1103" s="1263"/>
      <c r="P1103" s="1263"/>
      <c r="Q1103" s="1263"/>
      <c r="R1103" s="1263"/>
      <c r="S1103" s="1263"/>
      <c r="T1103" s="1263"/>
      <c r="U1103" s="1263"/>
      <c r="V1103" s="1263"/>
      <c r="W1103" s="1263"/>
      <c r="X1103" s="1263"/>
      <c r="Y1103" s="1263"/>
      <c r="Z1103" s="1263"/>
      <c r="AA1103" s="1263"/>
      <c r="AB1103" s="1263"/>
      <c r="AC1103" s="1263"/>
      <c r="AD1103" s="1263"/>
      <c r="AE1103" s="1263"/>
      <c r="AF1103" s="1263"/>
      <c r="AG1103" s="1263"/>
      <c r="AH1103" s="1263"/>
      <c r="AI1103" s="1263"/>
      <c r="AJ1103" s="1263"/>
      <c r="AK1103" s="1263"/>
      <c r="AL1103" s="1263"/>
      <c r="AM1103" s="1263"/>
      <c r="AN1103" s="1263"/>
      <c r="AO1103" s="1263"/>
      <c r="AP1103" s="1263"/>
      <c r="AQ1103" s="1263"/>
      <c r="AR1103" s="1263"/>
    </row>
    <row r="1104" spans="1:45" ht="12.95" customHeight="1">
      <c r="A1104" s="84"/>
      <c r="B1104" s="21"/>
      <c r="C1104" s="1307"/>
      <c r="D1104" s="1307"/>
      <c r="E1104" s="1263"/>
      <c r="F1104" s="1263"/>
      <c r="G1104" s="1263"/>
      <c r="H1104" s="1263"/>
      <c r="I1104" s="1263"/>
      <c r="J1104" s="1263"/>
      <c r="K1104" s="1263"/>
      <c r="L1104" s="1263"/>
      <c r="M1104" s="1263"/>
      <c r="N1104" s="1263"/>
      <c r="O1104" s="1263"/>
      <c r="P1104" s="1263"/>
      <c r="Q1104" s="1263"/>
      <c r="R1104" s="1263"/>
      <c r="S1104" s="1263"/>
      <c r="T1104" s="1263"/>
      <c r="U1104" s="1263"/>
      <c r="V1104" s="1263"/>
      <c r="W1104" s="1263"/>
      <c r="X1104" s="1263"/>
      <c r="Y1104" s="1263"/>
      <c r="Z1104" s="1263"/>
      <c r="AA1104" s="1263"/>
      <c r="AB1104" s="1263"/>
      <c r="AC1104" s="1263"/>
      <c r="AD1104" s="1263"/>
      <c r="AE1104" s="1263"/>
      <c r="AF1104" s="1263"/>
      <c r="AG1104" s="1263"/>
      <c r="AH1104" s="1263"/>
      <c r="AI1104" s="1263"/>
      <c r="AJ1104" s="1263"/>
      <c r="AK1104" s="1263"/>
      <c r="AL1104" s="1263"/>
      <c r="AM1104" s="1263"/>
      <c r="AN1104" s="1263"/>
      <c r="AO1104" s="1263"/>
      <c r="AP1104" s="1263"/>
      <c r="AQ1104" s="1263"/>
      <c r="AR1104" s="1263"/>
    </row>
    <row r="1105" spans="1:44" ht="12.95" customHeight="1">
      <c r="A1105" s="84"/>
      <c r="B1105" s="21"/>
      <c r="C1105" s="1307"/>
      <c r="D1105" s="130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308" t="s">
        <v>826</v>
      </c>
      <c r="B1106" s="1308"/>
      <c r="C1106" s="1309">
        <v>9</v>
      </c>
      <c r="D1106" s="1309"/>
      <c r="E1106" s="1263" t="s">
        <v>1739</v>
      </c>
      <c r="F1106" s="1263"/>
      <c r="G1106" s="1263"/>
      <c r="H1106" s="1263"/>
      <c r="I1106" s="1263"/>
      <c r="J1106" s="1263"/>
      <c r="K1106" s="1263"/>
      <c r="L1106" s="1263"/>
      <c r="M1106" s="1263"/>
      <c r="N1106" s="1263"/>
      <c r="O1106" s="1263"/>
      <c r="P1106" s="1263"/>
      <c r="Q1106" s="1263"/>
      <c r="R1106" s="1263"/>
      <c r="S1106" s="1263"/>
      <c r="T1106" s="1263"/>
      <c r="U1106" s="1263"/>
      <c r="V1106" s="1263"/>
      <c r="W1106" s="1263"/>
      <c r="X1106" s="1263"/>
      <c r="Y1106" s="1263"/>
      <c r="Z1106" s="1263"/>
      <c r="AA1106" s="1263"/>
      <c r="AB1106" s="1263"/>
      <c r="AC1106" s="1263"/>
      <c r="AD1106" s="1263"/>
      <c r="AE1106" s="1263"/>
      <c r="AF1106" s="1263"/>
      <c r="AG1106" s="1263"/>
      <c r="AH1106" s="1263"/>
      <c r="AI1106" s="1263"/>
      <c r="AJ1106" s="1263"/>
      <c r="AK1106" s="1263"/>
      <c r="AL1106" s="1263"/>
      <c r="AM1106" s="1263"/>
      <c r="AN1106" s="1263"/>
      <c r="AO1106" s="1263"/>
      <c r="AP1106" s="1263"/>
      <c r="AQ1106" s="1263"/>
      <c r="AR1106" s="1263"/>
    </row>
    <row r="1107" spans="1:44" ht="12.95" customHeight="1">
      <c r="A1107" s="1"/>
      <c r="B1107" s="1"/>
      <c r="C1107" s="1309"/>
      <c r="D1107" s="1309"/>
      <c r="E1107" s="1263"/>
      <c r="F1107" s="1263"/>
      <c r="G1107" s="1263"/>
      <c r="H1107" s="1263"/>
      <c r="I1107" s="1263"/>
      <c r="J1107" s="1263"/>
      <c r="K1107" s="1263"/>
      <c r="L1107" s="1263"/>
      <c r="M1107" s="1263"/>
      <c r="N1107" s="1263"/>
      <c r="O1107" s="1263"/>
      <c r="P1107" s="1263"/>
      <c r="Q1107" s="1263"/>
      <c r="R1107" s="1263"/>
      <c r="S1107" s="1263"/>
      <c r="T1107" s="1263"/>
      <c r="U1107" s="1263"/>
      <c r="V1107" s="1263"/>
      <c r="W1107" s="1263"/>
      <c r="X1107" s="1263"/>
      <c r="Y1107" s="1263"/>
      <c r="Z1107" s="1263"/>
      <c r="AA1107" s="1263"/>
      <c r="AB1107" s="1263"/>
      <c r="AC1107" s="1263"/>
      <c r="AD1107" s="1263"/>
      <c r="AE1107" s="1263"/>
      <c r="AF1107" s="1263"/>
      <c r="AG1107" s="1263"/>
      <c r="AH1107" s="1263"/>
      <c r="AI1107" s="1263"/>
      <c r="AJ1107" s="1263"/>
      <c r="AK1107" s="1263"/>
      <c r="AL1107" s="1263"/>
      <c r="AM1107" s="1263"/>
      <c r="AN1107" s="1263"/>
      <c r="AO1107" s="1263"/>
      <c r="AP1107" s="1263"/>
      <c r="AQ1107" s="1263"/>
      <c r="AR1107" s="1263"/>
    </row>
    <row r="1108" spans="1:44" ht="12.95" customHeight="1">
      <c r="A1108" s="84"/>
      <c r="B1108" s="21"/>
      <c r="C1108" s="1309"/>
      <c r="D1108" s="1309"/>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308" t="s">
        <v>826</v>
      </c>
      <c r="B1109" s="1308"/>
      <c r="C1109" s="1309">
        <v>10</v>
      </c>
      <c r="D1109" s="1309"/>
      <c r="E1109" s="1265" t="s">
        <v>1740</v>
      </c>
      <c r="F1109" s="1265"/>
      <c r="G1109" s="1265"/>
      <c r="H1109" s="1265"/>
      <c r="I1109" s="1265"/>
      <c r="J1109" s="1265"/>
      <c r="K1109" s="1265"/>
      <c r="L1109" s="1265"/>
      <c r="M1109" s="1265"/>
      <c r="N1109" s="1265"/>
      <c r="O1109" s="1265"/>
      <c r="P1109" s="1265"/>
      <c r="Q1109" s="1265"/>
      <c r="R1109" s="1265"/>
      <c r="S1109" s="1265"/>
      <c r="T1109" s="1265"/>
      <c r="U1109" s="1265"/>
      <c r="V1109" s="1265"/>
      <c r="W1109" s="1265"/>
      <c r="X1109" s="1265"/>
      <c r="Y1109" s="1265"/>
      <c r="Z1109" s="1265"/>
      <c r="AA1109" s="1265"/>
      <c r="AB1109" s="1265"/>
      <c r="AC1109" s="1265"/>
      <c r="AD1109" s="1265"/>
      <c r="AE1109" s="1265"/>
      <c r="AF1109" s="1265"/>
      <c r="AG1109" s="1265"/>
      <c r="AH1109" s="1265"/>
      <c r="AI1109" s="1265"/>
      <c r="AJ1109" s="1265"/>
      <c r="AK1109" s="1265"/>
      <c r="AL1109" s="1265"/>
      <c r="AM1109" s="1265"/>
      <c r="AN1109" s="1265"/>
      <c r="AO1109" s="1265"/>
      <c r="AP1109" s="1265"/>
      <c r="AQ1109" s="1265"/>
      <c r="AR1109" s="1265"/>
    </row>
    <row r="1110" spans="1:44" ht="12.95" customHeight="1">
      <c r="A1110" s="1"/>
      <c r="B1110" s="1"/>
      <c r="C1110" s="1206"/>
      <c r="D1110" s="1043"/>
      <c r="E1110" s="1265"/>
      <c r="F1110" s="1265"/>
      <c r="G1110" s="1265"/>
      <c r="H1110" s="1265"/>
      <c r="I1110" s="1265"/>
      <c r="J1110" s="1265"/>
      <c r="K1110" s="1265"/>
      <c r="L1110" s="1265"/>
      <c r="M1110" s="1265"/>
      <c r="N1110" s="1265"/>
      <c r="O1110" s="1265"/>
      <c r="P1110" s="1265"/>
      <c r="Q1110" s="1265"/>
      <c r="R1110" s="1265"/>
      <c r="S1110" s="1265"/>
      <c r="T1110" s="1265"/>
      <c r="U1110" s="1265"/>
      <c r="V1110" s="1265"/>
      <c r="W1110" s="1265"/>
      <c r="X1110" s="1265"/>
      <c r="Y1110" s="1265"/>
      <c r="Z1110" s="1265"/>
      <c r="AA1110" s="1265"/>
      <c r="AB1110" s="1265"/>
      <c r="AC1110" s="1265"/>
      <c r="AD1110" s="1265"/>
      <c r="AE1110" s="1265"/>
      <c r="AF1110" s="1265"/>
      <c r="AG1110" s="1265"/>
      <c r="AH1110" s="1265"/>
      <c r="AI1110" s="1265"/>
      <c r="AJ1110" s="1265"/>
      <c r="AK1110" s="1265"/>
      <c r="AL1110" s="1265"/>
      <c r="AM1110" s="1265"/>
      <c r="AN1110" s="1265"/>
      <c r="AO1110" s="1265"/>
      <c r="AP1110" s="1265"/>
      <c r="AQ1110" s="1265"/>
      <c r="AR1110" s="1265"/>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308" t="s">
        <v>826</v>
      </c>
      <c r="B1112" s="1308"/>
      <c r="C1112" s="1309">
        <v>11</v>
      </c>
      <c r="D1112" s="1309"/>
      <c r="E1112" s="1265" t="s">
        <v>1741</v>
      </c>
      <c r="F1112" s="1265"/>
      <c r="G1112" s="1265"/>
      <c r="H1112" s="1265"/>
      <c r="I1112" s="1265"/>
      <c r="J1112" s="1265"/>
      <c r="K1112" s="1265"/>
      <c r="L1112" s="1265"/>
      <c r="M1112" s="1265"/>
      <c r="N1112" s="1265"/>
      <c r="O1112" s="1265"/>
      <c r="P1112" s="1265"/>
      <c r="Q1112" s="1265"/>
      <c r="R1112" s="1265"/>
      <c r="S1112" s="1265"/>
      <c r="T1112" s="1265"/>
      <c r="U1112" s="1265"/>
      <c r="V1112" s="1265"/>
      <c r="W1112" s="1265"/>
      <c r="X1112" s="1265"/>
      <c r="Y1112" s="1265"/>
      <c r="Z1112" s="1265"/>
      <c r="AA1112" s="1265"/>
      <c r="AB1112" s="1265"/>
      <c r="AC1112" s="1265"/>
      <c r="AD1112" s="1265"/>
      <c r="AE1112" s="1265"/>
      <c r="AF1112" s="1265"/>
      <c r="AG1112" s="1265"/>
      <c r="AH1112" s="1265"/>
      <c r="AI1112" s="1265"/>
      <c r="AJ1112" s="1265"/>
      <c r="AK1112" s="1265"/>
      <c r="AL1112" s="1265"/>
      <c r="AM1112" s="1265"/>
      <c r="AN1112" s="1265"/>
      <c r="AO1112" s="1265"/>
      <c r="AP1112" s="1265"/>
      <c r="AQ1112" s="1265"/>
      <c r="AR1112" s="1265"/>
    </row>
    <row r="1113" spans="1:44" ht="12.95" customHeight="1">
      <c r="A1113" s="1"/>
      <c r="B1113" s="1"/>
      <c r="C1113" s="1206"/>
      <c r="D1113" s="1043"/>
      <c r="E1113" s="1265"/>
      <c r="F1113" s="1265"/>
      <c r="G1113" s="1265"/>
      <c r="H1113" s="1265"/>
      <c r="I1113" s="1265"/>
      <c r="J1113" s="1265"/>
      <c r="K1113" s="1265"/>
      <c r="L1113" s="1265"/>
      <c r="M1113" s="1265"/>
      <c r="N1113" s="1265"/>
      <c r="O1113" s="1265"/>
      <c r="P1113" s="1265"/>
      <c r="Q1113" s="1265"/>
      <c r="R1113" s="1265"/>
      <c r="S1113" s="1265"/>
      <c r="T1113" s="1265"/>
      <c r="U1113" s="1265"/>
      <c r="V1113" s="1265"/>
      <c r="W1113" s="1265"/>
      <c r="X1113" s="1265"/>
      <c r="Y1113" s="1265"/>
      <c r="Z1113" s="1265"/>
      <c r="AA1113" s="1265"/>
      <c r="AB1113" s="1265"/>
      <c r="AC1113" s="1265"/>
      <c r="AD1113" s="1265"/>
      <c r="AE1113" s="1265"/>
      <c r="AF1113" s="1265"/>
      <c r="AG1113" s="1265"/>
      <c r="AH1113" s="1265"/>
      <c r="AI1113" s="1265"/>
      <c r="AJ1113" s="1265"/>
      <c r="AK1113" s="1265"/>
      <c r="AL1113" s="1265"/>
      <c r="AM1113" s="1265"/>
      <c r="AN1113" s="1265"/>
      <c r="AO1113" s="1265"/>
      <c r="AP1113" s="1265"/>
      <c r="AQ1113" s="1265"/>
      <c r="AR1113" s="1265"/>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08" t="s">
        <v>826</v>
      </c>
      <c r="B1134" s="1308"/>
      <c r="C1134" s="1206">
        <v>9</v>
      </c>
      <c r="D1134" s="1230" t="s">
        <v>1742</v>
      </c>
      <c r="E1134" s="1230"/>
      <c r="F1134" s="1230"/>
      <c r="G1134" s="1230"/>
      <c r="H1134" s="1230"/>
      <c r="I1134" s="1230"/>
      <c r="J1134" s="1230"/>
      <c r="K1134" s="1230"/>
      <c r="L1134" s="1230"/>
      <c r="M1134" s="1230"/>
      <c r="N1134" s="1230"/>
      <c r="O1134" s="1230"/>
      <c r="P1134" s="1230"/>
      <c r="Q1134" s="1230"/>
      <c r="R1134" s="1230"/>
      <c r="S1134" s="1230"/>
      <c r="T1134" s="1230"/>
      <c r="U1134" s="1230"/>
      <c r="V1134" s="1230"/>
      <c r="W1134" s="1230"/>
      <c r="X1134" s="1230"/>
      <c r="Y1134" s="1230"/>
      <c r="Z1134" s="1230"/>
      <c r="AA1134" s="1230"/>
      <c r="AB1134" s="1230"/>
      <c r="AC1134" s="1230"/>
      <c r="AD1134" s="1230"/>
      <c r="AE1134" s="1230"/>
      <c r="AF1134" s="1230"/>
      <c r="AG1134" s="1230"/>
      <c r="AH1134" s="1230"/>
      <c r="AI1134" s="1230"/>
      <c r="AJ1134" s="1230"/>
      <c r="AK1134" s="1230"/>
    </row>
    <row r="1135" spans="1:37" ht="0" hidden="1" customHeight="1">
      <c r="A1135" s="84"/>
      <c r="B1135" s="21"/>
      <c r="C1135" s="1206"/>
      <c r="D1135" s="1230"/>
      <c r="E1135" s="1230"/>
      <c r="F1135" s="1230"/>
      <c r="G1135" s="1230"/>
      <c r="H1135" s="1230"/>
      <c r="I1135" s="1230"/>
      <c r="J1135" s="1230"/>
      <c r="K1135" s="1230"/>
      <c r="L1135" s="1230"/>
      <c r="M1135" s="1230"/>
      <c r="N1135" s="1230"/>
      <c r="O1135" s="1230"/>
      <c r="P1135" s="1230"/>
      <c r="Q1135" s="1230"/>
      <c r="R1135" s="1230"/>
      <c r="S1135" s="1230"/>
      <c r="T1135" s="1230"/>
      <c r="U1135" s="1230"/>
      <c r="V1135" s="1230"/>
      <c r="W1135" s="1230"/>
      <c r="X1135" s="1230"/>
      <c r="Y1135" s="1230"/>
      <c r="Z1135" s="1230"/>
      <c r="AA1135" s="1230"/>
      <c r="AB1135" s="1230"/>
      <c r="AC1135" s="1230"/>
      <c r="AD1135" s="1230"/>
      <c r="AE1135" s="1230"/>
      <c r="AF1135" s="1230"/>
      <c r="AG1135" s="1230"/>
      <c r="AH1135" s="1230"/>
      <c r="AI1135" s="1230"/>
      <c r="AJ1135" s="1230"/>
      <c r="AK1135" s="1230"/>
    </row>
    <row r="1136" spans="1:37" ht="0" hidden="1" customHeight="1">
      <c r="D1136" s="1230"/>
      <c r="E1136" s="1230"/>
      <c r="F1136" s="1230"/>
      <c r="G1136" s="1230"/>
      <c r="H1136" s="1230"/>
      <c r="I1136" s="1230"/>
      <c r="J1136" s="1230"/>
      <c r="K1136" s="1230"/>
      <c r="L1136" s="1230"/>
      <c r="M1136" s="1230"/>
      <c r="N1136" s="1230"/>
      <c r="O1136" s="1230"/>
      <c r="P1136" s="1230"/>
      <c r="Q1136" s="1230"/>
      <c r="R1136" s="1230"/>
      <c r="S1136" s="1230"/>
      <c r="T1136" s="1230"/>
      <c r="U1136" s="1230"/>
      <c r="V1136" s="1230"/>
      <c r="W1136" s="1230"/>
      <c r="X1136" s="1230"/>
      <c r="Y1136" s="1230"/>
      <c r="Z1136" s="1230"/>
      <c r="AA1136" s="1230"/>
      <c r="AB1136" s="1230"/>
      <c r="AC1136" s="1230"/>
      <c r="AD1136" s="1230"/>
      <c r="AE1136" s="1230"/>
      <c r="AF1136" s="1230"/>
      <c r="AG1136" s="1230"/>
      <c r="AH1136" s="1230"/>
      <c r="AI1136" s="1230"/>
      <c r="AJ1136" s="1230"/>
      <c r="AK1136" s="1230"/>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K758:CL758"/>
    <mergeCell ref="FJ761:FN761"/>
    <mergeCell ref="FO758:FS758"/>
    <mergeCell ref="DJ752:DN752"/>
    <mergeCell ref="FE761:FI761"/>
    <mergeCell ref="CU757:CY757"/>
    <mergeCell ref="CZ757:DD757"/>
    <mergeCell ref="DE757:DI757"/>
    <mergeCell ref="DJ757:DN757"/>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DE754:DI754"/>
    <mergeCell ref="CU751:CY751"/>
    <mergeCell ref="CZ751:DD751"/>
    <mergeCell ref="DE751:DI751"/>
    <mergeCell ref="DJ755:DN755"/>
    <mergeCell ref="CG753:CH753"/>
    <mergeCell ref="CI753:CJ753"/>
    <mergeCell ref="CU752:CY752"/>
    <mergeCell ref="CP752:CT752"/>
    <mergeCell ref="CU755:CY755"/>
    <mergeCell ref="CZ755:DD755"/>
    <mergeCell ref="EW670:FA670"/>
    <mergeCell ref="DX671:EB671"/>
    <mergeCell ref="EC671:EG671"/>
    <mergeCell ref="EH671:EL671"/>
    <mergeCell ref="EZ755:FD755"/>
    <mergeCell ref="FE755:FI755"/>
    <mergeCell ref="CP757:CT757"/>
    <mergeCell ref="CP750:CT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CU750:CY750"/>
    <mergeCell ref="CZ750:DD750"/>
    <mergeCell ref="DO750:DS750"/>
    <mergeCell ref="DE755:DI755"/>
    <mergeCell ref="ET752:EX752"/>
    <mergeCell ref="FY750:GC750"/>
    <mergeCell ref="EZ751:FD751"/>
    <mergeCell ref="FY751:GC751"/>
    <mergeCell ref="EZ752:FD752"/>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EM667:EQ667"/>
    <mergeCell ref="ER667:EV667"/>
    <mergeCell ref="EW667:FA667"/>
    <mergeCell ref="DX668:EB668"/>
    <mergeCell ref="EM671:EQ671"/>
    <mergeCell ref="ER671:EV671"/>
    <mergeCell ref="EW671:FA671"/>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O729:ES729"/>
    <mergeCell ref="EJ733:EN733"/>
    <mergeCell ref="EE739:EI739"/>
    <mergeCell ref="EJ739:EN739"/>
    <mergeCell ref="DU740:DY740"/>
    <mergeCell ref="DZ734:ED734"/>
    <mergeCell ref="DU736:DY736"/>
    <mergeCell ref="ET731:EX731"/>
    <mergeCell ref="DZ731:ED731"/>
    <mergeCell ref="DZ736:ED736"/>
    <mergeCell ref="DU738:DY738"/>
    <mergeCell ref="EE736:EI736"/>
    <mergeCell ref="EJ736:EN736"/>
    <mergeCell ref="FY735:GC735"/>
    <mergeCell ref="FE735:FI735"/>
    <mergeCell ref="FJ735:FN735"/>
    <mergeCell ref="FO735:FS735"/>
    <mergeCell ref="FT735:FX735"/>
    <mergeCell ref="FT754:FX754"/>
    <mergeCell ref="FY754:GC754"/>
    <mergeCell ref="DJ736:DN736"/>
    <mergeCell ref="DE745:DI745"/>
    <mergeCell ref="DE725:DI725"/>
    <mergeCell ref="CU727:CY727"/>
    <mergeCell ref="ET726:EX726"/>
    <mergeCell ref="DU733:DY733"/>
    <mergeCell ref="DZ733:ED733"/>
    <mergeCell ref="DU731:DY731"/>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DJ749:DN749"/>
    <mergeCell ref="CI747:CJ747"/>
    <mergeCell ref="Z577:AK577"/>
    <mergeCell ref="AH523:AK523"/>
    <mergeCell ref="AK642:AN642"/>
    <mergeCell ref="AK643:AN643"/>
    <mergeCell ref="AM565:AS565"/>
    <mergeCell ref="W638:Y638"/>
    <mergeCell ref="AC465:AF465"/>
    <mergeCell ref="G580:L580"/>
    <mergeCell ref="CM750:CN750"/>
    <mergeCell ref="T562:V562"/>
    <mergeCell ref="AC532:AF532"/>
    <mergeCell ref="AH514:AK514"/>
    <mergeCell ref="AH516:AK516"/>
    <mergeCell ref="AC464:AF464"/>
    <mergeCell ref="D474:V474"/>
    <mergeCell ref="Q499:AK499"/>
    <mergeCell ref="AH503:AK503"/>
    <mergeCell ref="D473:V473"/>
    <mergeCell ref="AC517:AF517"/>
    <mergeCell ref="AG452:AJ452"/>
    <mergeCell ref="AG453:AJ453"/>
    <mergeCell ref="AC549:AF549"/>
    <mergeCell ref="D449:AF449"/>
    <mergeCell ref="AC548:AF548"/>
    <mergeCell ref="AC516:AF516"/>
    <mergeCell ref="AH545:AK545"/>
    <mergeCell ref="AC542:AF542"/>
    <mergeCell ref="AH550:AK550"/>
    <mergeCell ref="AH515:AK515"/>
    <mergeCell ref="AG459:AJ459"/>
    <mergeCell ref="D475:V475"/>
    <mergeCell ref="AG450:AJ450"/>
    <mergeCell ref="AC546:AF546"/>
    <mergeCell ref="AH539:AK539"/>
    <mergeCell ref="AH548:AK548"/>
    <mergeCell ref="AC523:AF523"/>
    <mergeCell ref="D456:AF456"/>
    <mergeCell ref="W474:Y474"/>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W478:Y478"/>
    <mergeCell ref="D479:V479"/>
    <mergeCell ref="O540:AA540"/>
    <mergeCell ref="AH513:AK513"/>
    <mergeCell ref="AC525:AF525"/>
    <mergeCell ref="AC512:AF512"/>
    <mergeCell ref="AC530:AF530"/>
    <mergeCell ref="AC513:AF513"/>
    <mergeCell ref="AH530:AK530"/>
    <mergeCell ref="Q493:AK493"/>
    <mergeCell ref="AH511:AK511"/>
    <mergeCell ref="AC508:AF508"/>
    <mergeCell ref="AH540:AK540"/>
    <mergeCell ref="AH525:AK525"/>
    <mergeCell ref="CG755:CH755"/>
    <mergeCell ref="CI755:CJ755"/>
    <mergeCell ref="CK755:CL755"/>
    <mergeCell ref="CM755:CN755"/>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Z636:AB636"/>
    <mergeCell ref="AM568:AS568"/>
    <mergeCell ref="AI568:AL568"/>
    <mergeCell ref="AE563:AH563"/>
    <mergeCell ref="AI562:AL562"/>
    <mergeCell ref="AI566:AL566"/>
    <mergeCell ref="T559:V561"/>
    <mergeCell ref="Z565:AD565"/>
    <mergeCell ref="Z567:AD567"/>
    <mergeCell ref="Z570:AD570"/>
    <mergeCell ref="W569:Y569"/>
    <mergeCell ref="CG750:CH750"/>
    <mergeCell ref="CM761:CN761"/>
    <mergeCell ref="T570:V570"/>
    <mergeCell ref="AC533:AF533"/>
    <mergeCell ref="W482:Y482"/>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CI757:CJ757"/>
    <mergeCell ref="CK757:CL757"/>
    <mergeCell ref="CM757:CN757"/>
    <mergeCell ref="AH747:AJ747"/>
    <mergeCell ref="AK750:AO750"/>
    <mergeCell ref="CP753:CT753"/>
    <mergeCell ref="AH750:AJ750"/>
    <mergeCell ref="AC545:AF545"/>
    <mergeCell ref="O534:AA534"/>
    <mergeCell ref="AC537:AF537"/>
    <mergeCell ref="AH538:AK538"/>
    <mergeCell ref="CM758:CN758"/>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D455:AF455"/>
    <mergeCell ref="W565:Y565"/>
    <mergeCell ref="AC534:AF534"/>
    <mergeCell ref="AE565:AH565"/>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AC527:AF527"/>
    <mergeCell ref="AC531:AF531"/>
    <mergeCell ref="AH524:AK524"/>
    <mergeCell ref="AH537:AK537"/>
    <mergeCell ref="AH542:AK542"/>
    <mergeCell ref="AH547:AK547"/>
    <mergeCell ref="AH549:AK549"/>
    <mergeCell ref="AC543:AF543"/>
    <mergeCell ref="D457:AF457"/>
    <mergeCell ref="AG454:AJ454"/>
    <mergeCell ref="AG455:AJ455"/>
    <mergeCell ref="W475:Y475"/>
    <mergeCell ref="D476:V476"/>
    <mergeCell ref="AC520:AF520"/>
    <mergeCell ref="M559:P561"/>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D448:AF448"/>
    <mergeCell ref="AI406:AJ406"/>
    <mergeCell ref="N381:Q381"/>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J376:K376"/>
    <mergeCell ref="S414:AJ414"/>
    <mergeCell ref="AC394:AJ394"/>
    <mergeCell ref="S411:U411"/>
    <mergeCell ref="AE411:AJ411"/>
    <mergeCell ref="AG388:AH388"/>
    <mergeCell ref="S401:U401"/>
    <mergeCell ref="AG399:AJ399"/>
    <mergeCell ref="Q400:U400"/>
    <mergeCell ref="AA345:AK345"/>
    <mergeCell ref="H345:R345"/>
    <mergeCell ref="D450:AF450"/>
    <mergeCell ref="AI398:AJ398"/>
    <mergeCell ref="P356:Z356"/>
    <mergeCell ref="J395:U395"/>
    <mergeCell ref="Z443:AA443"/>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AA340:AF340"/>
    <mergeCell ref="P324:R324"/>
    <mergeCell ref="N372:O372"/>
    <mergeCell ref="AA346:AK346"/>
    <mergeCell ref="H336:R336"/>
    <mergeCell ref="H315:R315"/>
    <mergeCell ref="AA313:AK313"/>
    <mergeCell ref="AA318:AK318"/>
    <mergeCell ref="AA316:AF316"/>
    <mergeCell ref="AA314:AK314"/>
    <mergeCell ref="AA341:AF341"/>
    <mergeCell ref="AA337:AK337"/>
    <mergeCell ref="AA336:AK336"/>
    <mergeCell ref="H341:M341"/>
    <mergeCell ref="AI324:AK324"/>
    <mergeCell ref="AA338:AK338"/>
    <mergeCell ref="AA330:AK330"/>
    <mergeCell ref="H334:R334"/>
    <mergeCell ref="H322:R322"/>
    <mergeCell ref="M364:N364"/>
    <mergeCell ref="P358:AE358"/>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33:AF333"/>
    <mergeCell ref="H337:R337"/>
    <mergeCell ref="AI332:AK332"/>
    <mergeCell ref="AA329:AK329"/>
    <mergeCell ref="H326:R326"/>
    <mergeCell ref="P332:R332"/>
    <mergeCell ref="AA307:AK307"/>
    <mergeCell ref="AA301:AF301"/>
    <mergeCell ref="AG389:AH389"/>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16:M316"/>
    <mergeCell ref="H338:R338"/>
    <mergeCell ref="H339:R339"/>
    <mergeCell ref="P340:R340"/>
    <mergeCell ref="AA321:AK321"/>
    <mergeCell ref="AA323:AK323"/>
    <mergeCell ref="AA322:AK322"/>
    <mergeCell ref="AA324:AF324"/>
    <mergeCell ref="AA326:AK326"/>
    <mergeCell ref="AA299:AK299"/>
    <mergeCell ref="AH271:AK271"/>
    <mergeCell ref="T276:X276"/>
    <mergeCell ref="AA328:AK328"/>
    <mergeCell ref="AA300:AF300"/>
    <mergeCell ref="AI300:AK300"/>
    <mergeCell ref="H323:R323"/>
    <mergeCell ref="H325:M325"/>
    <mergeCell ref="M263:AE263"/>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Q402:U402"/>
    <mergeCell ref="P355:AE355"/>
    <mergeCell ref="W477:Y477"/>
    <mergeCell ref="Q500:AK500"/>
    <mergeCell ref="AF427:AH427"/>
    <mergeCell ref="P430:R430"/>
    <mergeCell ref="Q398:U398"/>
    <mergeCell ref="AJ366:AK366"/>
    <mergeCell ref="D453:AF453"/>
    <mergeCell ref="R420:S420"/>
    <mergeCell ref="W473:Y473"/>
    <mergeCell ref="T408:AJ408"/>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P433:Q433"/>
    <mergeCell ref="C566:L566"/>
    <mergeCell ref="Q563:S563"/>
    <mergeCell ref="Q559:S561"/>
    <mergeCell ref="M563:P563"/>
    <mergeCell ref="C563:L563"/>
    <mergeCell ref="W570:Y570"/>
    <mergeCell ref="T567:V567"/>
    <mergeCell ref="G597:L597"/>
    <mergeCell ref="AC529:AF529"/>
    <mergeCell ref="AH535:AK535"/>
    <mergeCell ref="T564:V564"/>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Z564:AD564"/>
    <mergeCell ref="AI563:AL563"/>
    <mergeCell ref="T566:V566"/>
    <mergeCell ref="AI564:AL564"/>
    <mergeCell ref="T565:V565"/>
    <mergeCell ref="W564:Y564"/>
    <mergeCell ref="Q564:S564"/>
    <mergeCell ref="M562:P562"/>
    <mergeCell ref="AC536:AF536"/>
    <mergeCell ref="C562:L562"/>
    <mergeCell ref="AC541:AF541"/>
    <mergeCell ref="W559:Y561"/>
    <mergeCell ref="Z562:AD562"/>
    <mergeCell ref="AH534:AK534"/>
    <mergeCell ref="AC550:AF550"/>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C570:L570"/>
    <mergeCell ref="C643:L643"/>
    <mergeCell ref="T642:V642"/>
    <mergeCell ref="AF642:AJ642"/>
    <mergeCell ref="W645:Y645"/>
    <mergeCell ref="B737:F737"/>
    <mergeCell ref="B739:F739"/>
    <mergeCell ref="B738:F738"/>
    <mergeCell ref="AK754:AO754"/>
    <mergeCell ref="C836:H836"/>
    <mergeCell ref="O801:S801"/>
    <mergeCell ref="J798:N798"/>
    <mergeCell ref="U834:X834"/>
    <mergeCell ref="T777:W780"/>
    <mergeCell ref="AC801:AG801"/>
    <mergeCell ref="X783:AB783"/>
    <mergeCell ref="X784:AB784"/>
    <mergeCell ref="Q835:T835"/>
    <mergeCell ref="M836:P836"/>
    <mergeCell ref="M835:P835"/>
    <mergeCell ref="J805:N805"/>
    <mergeCell ref="J803:N803"/>
    <mergeCell ref="AC782:AG782"/>
    <mergeCell ref="X785:AB785"/>
    <mergeCell ref="O798:S798"/>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X802:AB802"/>
    <mergeCell ref="Z814:AE814"/>
    <mergeCell ref="X799:AB799"/>
    <mergeCell ref="O782:S782"/>
    <mergeCell ref="O802:S802"/>
    <mergeCell ref="X777:AB780"/>
    <mergeCell ref="X730:AB730"/>
    <mergeCell ref="Z693:AK693"/>
    <mergeCell ref="AE706:AI706"/>
    <mergeCell ref="AC722:AG725"/>
    <mergeCell ref="AC645:AE645"/>
    <mergeCell ref="X722:AB725"/>
    <mergeCell ref="AE702:AF702"/>
    <mergeCell ref="A717:AT719"/>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T784:W784"/>
    <mergeCell ref="Z826:AE826"/>
    <mergeCell ref="T803:W803"/>
    <mergeCell ref="J784:N784"/>
    <mergeCell ref="U831:X832"/>
    <mergeCell ref="Q831:T832"/>
    <mergeCell ref="Z817:AE817"/>
    <mergeCell ref="AC797:AG797"/>
    <mergeCell ref="AC798:AG798"/>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J781:N781"/>
    <mergeCell ref="O781:S781"/>
    <mergeCell ref="W885:AC885"/>
    <mergeCell ref="M869:V869"/>
    <mergeCell ref="W853:AC853"/>
    <mergeCell ref="M854:V85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M887:V887"/>
    <mergeCell ref="W884:AC884"/>
    <mergeCell ref="BD911:BE911"/>
    <mergeCell ref="BD909:BE909"/>
    <mergeCell ref="AC902:AH902"/>
    <mergeCell ref="M886:V886"/>
    <mergeCell ref="AC893:AH893"/>
    <mergeCell ref="W886:AC886"/>
    <mergeCell ref="BD908:BE908"/>
    <mergeCell ref="BD910:BE910"/>
    <mergeCell ref="AC895:AH895"/>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T866:V866"/>
    <mergeCell ref="T868:V868"/>
    <mergeCell ref="W876:AC876"/>
    <mergeCell ref="W870:AC870"/>
    <mergeCell ref="W880:AC880"/>
    <mergeCell ref="Q838:T838"/>
    <mergeCell ref="AG839:AJ839"/>
    <mergeCell ref="W850:AC850"/>
    <mergeCell ref="W857:AC857"/>
    <mergeCell ref="W878:AC878"/>
    <mergeCell ref="W855:AC855"/>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32:J732"/>
    <mergeCell ref="T737:W737"/>
    <mergeCell ref="T730:W730"/>
    <mergeCell ref="K737:N737"/>
    <mergeCell ref="N697:O697"/>
    <mergeCell ref="AA696:AK696"/>
    <mergeCell ref="AE710:AF710"/>
    <mergeCell ref="T738:W738"/>
    <mergeCell ref="T734:W734"/>
    <mergeCell ref="AK737:AO737"/>
    <mergeCell ref="G738:J738"/>
    <mergeCell ref="B762:AH763"/>
    <mergeCell ref="X782:AB782"/>
    <mergeCell ref="T781:W781"/>
    <mergeCell ref="O741:S741"/>
    <mergeCell ref="AH741:AJ741"/>
    <mergeCell ref="G741:J741"/>
    <mergeCell ref="K738:N738"/>
    <mergeCell ref="K733:N733"/>
    <mergeCell ref="X728:AB728"/>
    <mergeCell ref="AH737:AJ737"/>
    <mergeCell ref="O738:S738"/>
    <mergeCell ref="X739:AB739"/>
    <mergeCell ref="G736:J736"/>
    <mergeCell ref="AK738:AO738"/>
    <mergeCell ref="AC732:AG732"/>
    <mergeCell ref="AC738:AG738"/>
    <mergeCell ref="O731:S731"/>
    <mergeCell ref="T729:W729"/>
    <mergeCell ref="AK736:AO736"/>
    <mergeCell ref="AC739:AG739"/>
    <mergeCell ref="O740:S740"/>
    <mergeCell ref="O734:S734"/>
    <mergeCell ref="G730:J730"/>
    <mergeCell ref="O735:S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35:N735"/>
    <mergeCell ref="K734:N734"/>
    <mergeCell ref="X738:AB738"/>
    <mergeCell ref="CK752:CL752"/>
    <mergeCell ref="CM752:CN752"/>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I750:CJ750"/>
    <mergeCell ref="X726:AB726"/>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G749:CH749"/>
    <mergeCell ref="AK747:AO747"/>
    <mergeCell ref="CK749:CL749"/>
    <mergeCell ref="CM749:CN749"/>
    <mergeCell ref="CP732:CT732"/>
    <mergeCell ref="CP735:CT735"/>
    <mergeCell ref="CI735:CJ735"/>
    <mergeCell ref="AC735:AG735"/>
    <mergeCell ref="CM745:CN745"/>
    <mergeCell ref="CU745:CY745"/>
    <mergeCell ref="CZ746:DD746"/>
    <mergeCell ref="CM744:CN744"/>
    <mergeCell ref="CI746:CJ746"/>
    <mergeCell ref="CP749:CT749"/>
    <mergeCell ref="CZ731:DD731"/>
    <mergeCell ref="CK750:CL750"/>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P731:CT731"/>
    <mergeCell ref="CU735:CY735"/>
    <mergeCell ref="CK732:CL732"/>
    <mergeCell ref="CZ749:DD749"/>
    <mergeCell ref="DE738:DI738"/>
    <mergeCell ref="CM738:CN738"/>
    <mergeCell ref="CK735:CL735"/>
    <mergeCell ref="CK743:CL743"/>
    <mergeCell ref="CP740:CT740"/>
    <mergeCell ref="CM737:CN737"/>
    <mergeCell ref="CM731:CN731"/>
    <mergeCell ref="CM733:CN733"/>
    <mergeCell ref="CK738:CL738"/>
    <mergeCell ref="CP739:CT739"/>
    <mergeCell ref="CI737:CJ737"/>
    <mergeCell ref="CP737:CT737"/>
    <mergeCell ref="CK744:CL744"/>
    <mergeCell ref="CU744:CY744"/>
    <mergeCell ref="CG733:CH733"/>
    <mergeCell ref="CU738:CY738"/>
    <mergeCell ref="CK736:CL736"/>
    <mergeCell ref="CM736:CN736"/>
    <mergeCell ref="CZ734:DD734"/>
    <mergeCell ref="CZ738:DD738"/>
    <mergeCell ref="CU734:CY734"/>
    <mergeCell ref="CU731:CY731"/>
    <mergeCell ref="DE735:DI735"/>
    <mergeCell ref="DE743:DI743"/>
    <mergeCell ref="CZ743:DD743"/>
    <mergeCell ref="CU742:CY742"/>
    <mergeCell ref="CP744:CT744"/>
    <mergeCell ref="CG745:CH745"/>
    <mergeCell ref="CZ737:DD737"/>
    <mergeCell ref="CZ739:DD739"/>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T639:V639"/>
    <mergeCell ref="AC636:AE636"/>
    <mergeCell ref="C637:L637"/>
    <mergeCell ref="T641:V641"/>
    <mergeCell ref="G675:R675"/>
    <mergeCell ref="G655:L655"/>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G605:L605"/>
    <mergeCell ref="Q566:S566"/>
    <mergeCell ref="AH520:AK520"/>
    <mergeCell ref="AA614:AK614"/>
    <mergeCell ref="AG665:AH665"/>
    <mergeCell ref="Z642:AB642"/>
    <mergeCell ref="Q570:S570"/>
    <mergeCell ref="G576:R576"/>
    <mergeCell ref="G577:R577"/>
    <mergeCell ref="M565:P565"/>
    <mergeCell ref="AH528:AK528"/>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W637:Y637"/>
    <mergeCell ref="G610:R610"/>
    <mergeCell ref="G617:R617"/>
    <mergeCell ref="M636:P636"/>
    <mergeCell ref="Z613:AE613"/>
    <mergeCell ref="Z617:AK617"/>
    <mergeCell ref="N615:O615"/>
    <mergeCell ref="AI613:AK613"/>
    <mergeCell ref="G612:R612"/>
    <mergeCell ref="W641:Y641"/>
    <mergeCell ref="Z638:AB638"/>
    <mergeCell ref="T638:V638"/>
    <mergeCell ref="AH509:AK509"/>
    <mergeCell ref="G482:V482"/>
    <mergeCell ref="M569:P569"/>
    <mergeCell ref="C573:L573"/>
    <mergeCell ref="T569:V569"/>
    <mergeCell ref="Z691:AK691"/>
    <mergeCell ref="AF641:AJ641"/>
    <mergeCell ref="AK645:AN645"/>
    <mergeCell ref="AM572:AS572"/>
    <mergeCell ref="AM574:AS574"/>
    <mergeCell ref="AE564:AH564"/>
    <mergeCell ref="AE567:AH567"/>
    <mergeCell ref="AC524:AF524"/>
    <mergeCell ref="AI621:AK621"/>
    <mergeCell ref="AA622:AK622"/>
    <mergeCell ref="AC632:AE634"/>
    <mergeCell ref="AH517:AK517"/>
    <mergeCell ref="AM566:AS566"/>
    <mergeCell ref="Z589:AE589"/>
    <mergeCell ref="H606:R606"/>
    <mergeCell ref="AG591:AH591"/>
    <mergeCell ref="G596:R596"/>
    <mergeCell ref="Z588:AK588"/>
    <mergeCell ref="Z603:AK603"/>
    <mergeCell ref="P605:R605"/>
    <mergeCell ref="G611:R611"/>
    <mergeCell ref="AC637:AE637"/>
    <mergeCell ref="M632:P634"/>
    <mergeCell ref="G677:R677"/>
    <mergeCell ref="J712:X712"/>
    <mergeCell ref="T722:W725"/>
    <mergeCell ref="H672:R672"/>
    <mergeCell ref="G686:R686"/>
    <mergeCell ref="P687:R687"/>
    <mergeCell ref="Z663:AE663"/>
    <mergeCell ref="AG673:AH673"/>
    <mergeCell ref="Z685:AK685"/>
    <mergeCell ref="G683:R683"/>
    <mergeCell ref="O722:S725"/>
    <mergeCell ref="T728:W728"/>
    <mergeCell ref="K722:N725"/>
    <mergeCell ref="AI687:AK687"/>
    <mergeCell ref="Z671:AE671"/>
    <mergeCell ref="Z651:AK651"/>
    <mergeCell ref="Q646:S646"/>
    <mergeCell ref="H656:R656"/>
    <mergeCell ref="O726:S726"/>
    <mergeCell ref="G691:R691"/>
    <mergeCell ref="N689:O689"/>
    <mergeCell ref="X727:AB727"/>
    <mergeCell ref="G694:R694"/>
    <mergeCell ref="G660:R660"/>
    <mergeCell ref="AF646:AJ646"/>
    <mergeCell ref="Z675:AK675"/>
    <mergeCell ref="AC646:AE646"/>
    <mergeCell ref="G727:J727"/>
    <mergeCell ref="G722:J725"/>
    <mergeCell ref="G676:R676"/>
    <mergeCell ref="G668:R668"/>
    <mergeCell ref="AC640:AE640"/>
    <mergeCell ref="Z670:AK670"/>
    <mergeCell ref="AK639:AN639"/>
    <mergeCell ref="AK640:AN640"/>
    <mergeCell ref="AF640:AJ640"/>
    <mergeCell ref="AM564:AS564"/>
    <mergeCell ref="EE732:EI732"/>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T571:V571"/>
    <mergeCell ref="Z572:AD572"/>
    <mergeCell ref="DJ732:DN732"/>
    <mergeCell ref="AK727:AO727"/>
    <mergeCell ref="AO649:AS649"/>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AO644:AS644"/>
    <mergeCell ref="Z684:AK684"/>
    <mergeCell ref="Z652:AK652"/>
    <mergeCell ref="C645:L645"/>
    <mergeCell ref="C640:L640"/>
    <mergeCell ref="M640:P640"/>
    <mergeCell ref="Q641:S641"/>
    <mergeCell ref="AF639:AJ639"/>
    <mergeCell ref="Z637:AB637"/>
    <mergeCell ref="AC639:AE639"/>
    <mergeCell ref="AC642:AE642"/>
    <mergeCell ref="Z667:AK667"/>
    <mergeCell ref="AI679:AK679"/>
    <mergeCell ref="G659:R659"/>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CG727:CH727"/>
    <mergeCell ref="CI729:CJ729"/>
    <mergeCell ref="CU729:CY729"/>
    <mergeCell ref="CM732:CN732"/>
    <mergeCell ref="CP728:CT728"/>
    <mergeCell ref="CI728:CJ728"/>
    <mergeCell ref="DE728:DI728"/>
    <mergeCell ref="DE732:DI732"/>
    <mergeCell ref="CG726:CH726"/>
    <mergeCell ref="CK731:CL731"/>
    <mergeCell ref="CK729:CL729"/>
    <mergeCell ref="CM726:CN726"/>
    <mergeCell ref="AK722:AO725"/>
    <mergeCell ref="AK726:AO726"/>
    <mergeCell ref="AC728:AG728"/>
    <mergeCell ref="DO730:DS730"/>
    <mergeCell ref="DO729:DS729"/>
    <mergeCell ref="CI725:CJ725"/>
    <mergeCell ref="AA688:AK688"/>
    <mergeCell ref="CP727:CT727"/>
    <mergeCell ref="EE727:EI727"/>
    <mergeCell ref="DJ731:DN731"/>
    <mergeCell ref="EC672:EG672"/>
    <mergeCell ref="CU726:CY726"/>
    <mergeCell ref="CP725:CT725"/>
    <mergeCell ref="AH726:AJ726"/>
    <mergeCell ref="AC726:AG726"/>
    <mergeCell ref="Z679:AE679"/>
    <mergeCell ref="EC649:EG649"/>
    <mergeCell ref="EC651:EG651"/>
    <mergeCell ref="EC650:EG650"/>
    <mergeCell ref="EH678:EL678"/>
    <mergeCell ref="Z676:AK676"/>
    <mergeCell ref="AA680:AK680"/>
    <mergeCell ref="EE730:EI730"/>
    <mergeCell ref="DZ726:ED726"/>
    <mergeCell ref="EE726:EI726"/>
    <mergeCell ref="Z659:AK659"/>
    <mergeCell ref="CM725:CN725"/>
    <mergeCell ref="CM727:CN727"/>
    <mergeCell ref="CM729:CN729"/>
    <mergeCell ref="W711:AK711"/>
    <mergeCell ref="CM728:CN728"/>
    <mergeCell ref="CU728:CY728"/>
    <mergeCell ref="CM730:CN730"/>
    <mergeCell ref="CG730:CH730"/>
    <mergeCell ref="EC668:EG668"/>
    <mergeCell ref="Z661:AK661"/>
    <mergeCell ref="DX676:EB676"/>
    <mergeCell ref="EC676:EG676"/>
    <mergeCell ref="DX654:EB654"/>
    <mergeCell ref="EC654:EG654"/>
    <mergeCell ref="DX656:EB656"/>
    <mergeCell ref="DO726:DS726"/>
    <mergeCell ref="AA656:AK656"/>
    <mergeCell ref="DX677:EB677"/>
    <mergeCell ref="EC678:EG678"/>
    <mergeCell ref="DX657:EB657"/>
    <mergeCell ref="DX663:EB663"/>
    <mergeCell ref="AE707:AI707"/>
    <mergeCell ref="CZ726:DD726"/>
    <mergeCell ref="AK646:AN646"/>
    <mergeCell ref="Z641:AB641"/>
    <mergeCell ref="CZ725:DD725"/>
    <mergeCell ref="EC667:EG667"/>
    <mergeCell ref="DJ726:DN726"/>
    <mergeCell ref="AF644:AJ644"/>
    <mergeCell ref="AF645:AJ645"/>
    <mergeCell ref="AC644:AE644"/>
    <mergeCell ref="Z655:AE655"/>
    <mergeCell ref="Z653:AK653"/>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EO731:ES731"/>
    <mergeCell ref="EO735:ES735"/>
    <mergeCell ref="DU734:DY734"/>
    <mergeCell ref="DO735:DS735"/>
    <mergeCell ref="DO736:DS736"/>
    <mergeCell ref="DO731:DS731"/>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CZ756:DD756"/>
    <mergeCell ref="ET744:EX744"/>
    <mergeCell ref="EJ742:EN742"/>
    <mergeCell ref="EE741:EI741"/>
    <mergeCell ref="ET740:EX740"/>
    <mergeCell ref="DU739:DY739"/>
    <mergeCell ref="DZ742:ED742"/>
    <mergeCell ref="DO739:DS739"/>
    <mergeCell ref="EE760:EI760"/>
    <mergeCell ref="EO761:ES761"/>
    <mergeCell ref="EJ748:EN748"/>
    <mergeCell ref="EO753:ES753"/>
    <mergeCell ref="DE752:DI752"/>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F938:T938"/>
    <mergeCell ref="AC896:AH896"/>
    <mergeCell ref="AA940:AF940"/>
    <mergeCell ref="U941:Z941"/>
    <mergeCell ref="AA941:AF941"/>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AH748:AJ748"/>
    <mergeCell ref="G742:J742"/>
    <mergeCell ref="O743:S743"/>
    <mergeCell ref="B741:F741"/>
    <mergeCell ref="X750:AB750"/>
    <mergeCell ref="B749:F749"/>
    <mergeCell ref="AH740:AJ740"/>
    <mergeCell ref="G746:J746"/>
    <mergeCell ref="O745:S74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AK745:AO745"/>
    <mergeCell ref="AC746:AG746"/>
    <mergeCell ref="G747:J747"/>
    <mergeCell ref="X749:AB749"/>
    <mergeCell ref="J796:N796"/>
    <mergeCell ref="T745:W745"/>
    <mergeCell ref="X747:AB747"/>
    <mergeCell ref="G748:J748"/>
    <mergeCell ref="K747:N747"/>
    <mergeCell ref="O746:S746"/>
    <mergeCell ref="T747:W747"/>
    <mergeCell ref="AG764:AJ764"/>
    <mergeCell ref="AK757:AO757"/>
    <mergeCell ref="O749:S749"/>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AK746:AO746"/>
    <mergeCell ref="O747:S747"/>
    <mergeCell ref="K746:N746"/>
    <mergeCell ref="T752:W752"/>
    <mergeCell ref="O755:S755"/>
    <mergeCell ref="B745:F745"/>
    <mergeCell ref="AH761:AJ761"/>
    <mergeCell ref="AH749:AJ749"/>
    <mergeCell ref="G745:J745"/>
    <mergeCell ref="G743:J743"/>
    <mergeCell ref="U932:Z932"/>
    <mergeCell ref="X743:AB743"/>
    <mergeCell ref="X744:AB744"/>
    <mergeCell ref="T743:W743"/>
    <mergeCell ref="O784:S784"/>
    <mergeCell ref="O777:S780"/>
    <mergeCell ref="O799:S799"/>
    <mergeCell ref="K748:N748"/>
    <mergeCell ref="G744:J744"/>
    <mergeCell ref="AH759:AJ759"/>
    <mergeCell ref="K754:N754"/>
    <mergeCell ref="T754:W754"/>
    <mergeCell ref="K755:N755"/>
    <mergeCell ref="AH758:AJ758"/>
    <mergeCell ref="K751:N751"/>
    <mergeCell ref="F925:T926"/>
    <mergeCell ref="T759:W759"/>
    <mergeCell ref="K756:N756"/>
    <mergeCell ref="B760:F760"/>
    <mergeCell ref="B759:F759"/>
    <mergeCell ref="B750:F750"/>
    <mergeCell ref="B751:F751"/>
    <mergeCell ref="B744:F744"/>
    <mergeCell ref="AH743:AJ743"/>
    <mergeCell ref="O744:S744"/>
    <mergeCell ref="T755:W755"/>
    <mergeCell ref="AC756:AG756"/>
    <mergeCell ref="B746:F746"/>
    <mergeCell ref="K757:N757"/>
    <mergeCell ref="O757:S757"/>
    <mergeCell ref="X759:AB759"/>
    <mergeCell ref="D994:Q994"/>
    <mergeCell ref="AB994:AI994"/>
    <mergeCell ref="T982:Z982"/>
    <mergeCell ref="I956:T956"/>
    <mergeCell ref="U955:Z955"/>
    <mergeCell ref="F955:H955"/>
    <mergeCell ref="AA976:AG976"/>
    <mergeCell ref="F937:T937"/>
    <mergeCell ref="U935:Z935"/>
    <mergeCell ref="Y835:AB835"/>
    <mergeCell ref="AG835:AJ835"/>
    <mergeCell ref="U929:Z929"/>
    <mergeCell ref="W869:AC869"/>
    <mergeCell ref="C904:AB904"/>
    <mergeCell ref="M971:S971"/>
    <mergeCell ref="AA934:AF934"/>
    <mergeCell ref="AE967:AK967"/>
    <mergeCell ref="F948:T948"/>
    <mergeCell ref="M968:S968"/>
    <mergeCell ref="J966:S966"/>
    <mergeCell ref="AE968:AK968"/>
    <mergeCell ref="AK753:AO753"/>
    <mergeCell ref="AK748:AO748"/>
    <mergeCell ref="AK749:AO749"/>
    <mergeCell ref="AK760:AO760"/>
    <mergeCell ref="T750:W750"/>
    <mergeCell ref="X753:AB753"/>
    <mergeCell ref="AC747:AG747"/>
    <mergeCell ref="C774:AR776"/>
    <mergeCell ref="B1001:AI1001"/>
    <mergeCell ref="D1038:AE1038"/>
    <mergeCell ref="B1000:AA1000"/>
    <mergeCell ref="D1010:AE1010"/>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B997:AI997"/>
    <mergeCell ref="R995:AA995"/>
    <mergeCell ref="Z910:AE910"/>
    <mergeCell ref="J782:N782"/>
    <mergeCell ref="AC840:AF840"/>
    <mergeCell ref="U937:Z937"/>
    <mergeCell ref="U957:Z957"/>
    <mergeCell ref="U944:Z944"/>
    <mergeCell ref="AA932:AF932"/>
    <mergeCell ref="M831:P832"/>
    <mergeCell ref="T804:W804"/>
    <mergeCell ref="AG838:AJ838"/>
    <mergeCell ref="U840:X840"/>
    <mergeCell ref="M840:P840"/>
    <mergeCell ref="W875:AC875"/>
    <mergeCell ref="W867:AC867"/>
    <mergeCell ref="AJ995:AQ995"/>
    <mergeCell ref="AJ1010:AQ1015"/>
    <mergeCell ref="AJ1029:AQ1033"/>
    <mergeCell ref="AA977:AG977"/>
    <mergeCell ref="AE964:AK964"/>
    <mergeCell ref="I959:T959"/>
    <mergeCell ref="D1004:AE1007"/>
    <mergeCell ref="F984:L984"/>
    <mergeCell ref="AB999:AI999"/>
    <mergeCell ref="F935:T935"/>
    <mergeCell ref="F936:T936"/>
    <mergeCell ref="AE965:AK965"/>
    <mergeCell ref="P954:T954"/>
    <mergeCell ref="F953:T953"/>
    <mergeCell ref="U953:Z953"/>
    <mergeCell ref="U949:Z949"/>
    <mergeCell ref="AA947:AF947"/>
    <mergeCell ref="AJ1025:AQ1028"/>
    <mergeCell ref="M981:S981"/>
    <mergeCell ref="J1033:AE1033"/>
    <mergeCell ref="AJ1001:AQ1001"/>
    <mergeCell ref="AJ1002:AQ1002"/>
    <mergeCell ref="U938:Z938"/>
    <mergeCell ref="AB966:AK966"/>
    <mergeCell ref="AA979:AG979"/>
    <mergeCell ref="AF1032:AI1033"/>
    <mergeCell ref="AA980:AG980"/>
    <mergeCell ref="B1002:AE1002"/>
    <mergeCell ref="AJ996:AQ996"/>
    <mergeCell ref="AJ997:AQ997"/>
    <mergeCell ref="AJ1003:AQ1009"/>
    <mergeCell ref="AJ1016:AQ1019"/>
    <mergeCell ref="AG1041:AH1041"/>
    <mergeCell ref="D1045:AE1045"/>
    <mergeCell ref="AG1050:AH1050"/>
    <mergeCell ref="AG1045:AH1045"/>
    <mergeCell ref="D1035:AE1037"/>
    <mergeCell ref="AJ1045:AQ1049"/>
    <mergeCell ref="D1050:AE1050"/>
    <mergeCell ref="D1051:AE1053"/>
    <mergeCell ref="AB996:AI996"/>
    <mergeCell ref="D996:Q996"/>
    <mergeCell ref="R998:AA998"/>
    <mergeCell ref="AJ998:AQ998"/>
    <mergeCell ref="AG1022:AH1022"/>
    <mergeCell ref="D1042:AE1044"/>
    <mergeCell ref="D1029:AE1030"/>
    <mergeCell ref="AB1000:AI1000"/>
    <mergeCell ref="D1034:AE1034"/>
    <mergeCell ref="AF1035:AI1035"/>
    <mergeCell ref="AJ1050:AQ1053"/>
    <mergeCell ref="D1039:AE1040"/>
    <mergeCell ref="AJ1038:AQ1040"/>
    <mergeCell ref="AJ1041:AQ1044"/>
    <mergeCell ref="AJ1034:AQ1037"/>
    <mergeCell ref="AF1036:AI1037"/>
    <mergeCell ref="AJ1020:AQ1021"/>
    <mergeCell ref="D1031:AE1032"/>
    <mergeCell ref="D997:Q997"/>
    <mergeCell ref="D998:Q998"/>
    <mergeCell ref="FT759:FX759"/>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FJ734:FN734"/>
    <mergeCell ref="FO734:FS734"/>
    <mergeCell ref="FT734:FX734"/>
    <mergeCell ref="EZ736:FD736"/>
    <mergeCell ref="FE736:FI736"/>
    <mergeCell ref="FJ736:FN736"/>
    <mergeCell ref="FO736:FS736"/>
    <mergeCell ref="FT736:FX736"/>
    <mergeCell ref="FY734:GC734"/>
    <mergeCell ref="DZ740:ED740"/>
    <mergeCell ref="EE740:EI740"/>
    <mergeCell ref="EJ740:EN740"/>
    <mergeCell ref="EO739:ES739"/>
    <mergeCell ref="EZ734:FD734"/>
    <mergeCell ref="EJ737:EN737"/>
    <mergeCell ref="ET737:EX737"/>
    <mergeCell ref="DZ739:ED739"/>
    <mergeCell ref="FE734:FI734"/>
    <mergeCell ref="FT757:FX757"/>
    <mergeCell ref="FJ755:FN755"/>
    <mergeCell ref="FO755:FS755"/>
    <mergeCell ref="FT755:FX755"/>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J748:FN748"/>
    <mergeCell ref="FE741:FI741"/>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EW676:FA676"/>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DX672:EB672"/>
    <mergeCell ref="EJ732:EN732"/>
    <mergeCell ref="DX664:EB664"/>
    <mergeCell ref="EC664:EG664"/>
    <mergeCell ref="EH664:EL664"/>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R677:EV677"/>
    <mergeCell ref="ER676:EV676"/>
    <mergeCell ref="EE733:EI733"/>
    <mergeCell ref="EE734:EI734"/>
    <mergeCell ref="EJ734:EN734"/>
    <mergeCell ref="ER678:EV678"/>
    <mergeCell ref="EM649:EQ649"/>
    <mergeCell ref="ER663:EV663"/>
    <mergeCell ref="EH656:EL656"/>
    <mergeCell ref="EH659:EL659"/>
    <mergeCell ref="EH658:EL65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M678:EQ678"/>
    <mergeCell ref="EW668:FA668"/>
    <mergeCell ref="DX669:EB669"/>
    <mergeCell ref="ER661:EV661"/>
    <mergeCell ref="ER674:EV674"/>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O728:DS728"/>
    <mergeCell ref="DX653:EB653"/>
    <mergeCell ref="EW649:FA649"/>
    <mergeCell ref="EW672:FA672"/>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H661:EL661"/>
    <mergeCell ref="EM661:EQ661"/>
    <mergeCell ref="EW663:FA663"/>
    <mergeCell ref="DO738:DS738"/>
    <mergeCell ref="DU746:DY746"/>
    <mergeCell ref="DZ746:ED746"/>
    <mergeCell ref="EE746:EI746"/>
    <mergeCell ref="EJ746:EN746"/>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EJ743:EN743"/>
    <mergeCell ref="EO743:ES743"/>
    <mergeCell ref="DZ743:ED743"/>
    <mergeCell ref="ET745:EX745"/>
    <mergeCell ref="EJ761:EN761"/>
    <mergeCell ref="DO748:DS748"/>
    <mergeCell ref="DJ748:DN748"/>
    <mergeCell ref="DE759:DI759"/>
    <mergeCell ref="DO746:DS746"/>
    <mergeCell ref="DU744:DY744"/>
    <mergeCell ref="EE745:EI745"/>
    <mergeCell ref="EJ745:EN745"/>
    <mergeCell ref="DZ744:ED744"/>
    <mergeCell ref="EE744:EI744"/>
    <mergeCell ref="EJ744:EN744"/>
    <mergeCell ref="EE747:EI747"/>
    <mergeCell ref="DO761:DS761"/>
    <mergeCell ref="DJ758:DN758"/>
    <mergeCell ref="DO757:DS757"/>
    <mergeCell ref="DE756:DI756"/>
    <mergeCell ref="DJ756:DN756"/>
    <mergeCell ref="DO756:DS756"/>
    <mergeCell ref="EE743:EI743"/>
    <mergeCell ref="DO759:DS759"/>
    <mergeCell ref="DO760:DS760"/>
    <mergeCell ref="EO748:ES748"/>
    <mergeCell ref="EZ760:FD760"/>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DZ761:ED761"/>
    <mergeCell ref="CP783:CT783"/>
    <mergeCell ref="CP784:CT784"/>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CP761:CT761"/>
    <mergeCell ref="DO747:DS747"/>
    <mergeCell ref="CZ783:DD783"/>
    <mergeCell ref="CZ784:DD784"/>
    <mergeCell ref="DE784:DI784"/>
    <mergeCell ref="DJ754:DN754"/>
    <mergeCell ref="DE758:DI758"/>
    <mergeCell ref="DO762:DS762"/>
    <mergeCell ref="DE761:DI761"/>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DZ729:ED729"/>
    <mergeCell ref="DZ730:ED730"/>
    <mergeCell ref="DU725:DY725"/>
    <mergeCell ref="DU747:DY747"/>
    <mergeCell ref="DZ747:ED747"/>
    <mergeCell ref="EJ725:EN725"/>
    <mergeCell ref="EO740:ES740"/>
    <mergeCell ref="EJ747:EN747"/>
    <mergeCell ref="DJ746:DN746"/>
    <mergeCell ref="EO745:ES745"/>
    <mergeCell ref="DO782:DS782"/>
    <mergeCell ref="DU761:DY761"/>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AK734:AO734"/>
    <mergeCell ref="DJ742:DN742"/>
    <mergeCell ref="CP797:CT797"/>
    <mergeCell ref="CP795:CT795"/>
    <mergeCell ref="DO733:DS733"/>
    <mergeCell ref="AK758:AO758"/>
    <mergeCell ref="CG744:CH744"/>
    <mergeCell ref="CI748:CJ748"/>
    <mergeCell ref="DJ738:DN738"/>
    <mergeCell ref="DJ735:DN735"/>
    <mergeCell ref="DJ734:DN734"/>
    <mergeCell ref="CI733:CJ733"/>
    <mergeCell ref="CZ740:DD740"/>
    <mergeCell ref="DO781:DS781"/>
    <mergeCell ref="DJ759:DN759"/>
    <mergeCell ref="CP785:CT785"/>
    <mergeCell ref="CP781:CT781"/>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AK636:AN636"/>
    <mergeCell ref="AC511:AF511"/>
    <mergeCell ref="AC521:AF521"/>
    <mergeCell ref="Z619:AK619"/>
    <mergeCell ref="AC526:AF526"/>
    <mergeCell ref="AH512:AK512"/>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AE571:AH571"/>
    <mergeCell ref="AM571:AS571"/>
    <mergeCell ref="AO636:AS636"/>
    <mergeCell ref="AG615:AH615"/>
    <mergeCell ref="AO632:AS634"/>
    <mergeCell ref="AC638:AE638"/>
    <mergeCell ref="AI567:AL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I570:AL570"/>
    <mergeCell ref="Z576:AK576"/>
    <mergeCell ref="Z579:AK579"/>
    <mergeCell ref="AI572:AL572"/>
    <mergeCell ref="AE570:AH570"/>
    <mergeCell ref="AC544:AF544"/>
    <mergeCell ref="W566:Y566"/>
    <mergeCell ref="AE566:AH566"/>
    <mergeCell ref="C565:L565"/>
    <mergeCell ref="G601:R601"/>
    <mergeCell ref="AI605:AK605"/>
    <mergeCell ref="A625:AT626"/>
    <mergeCell ref="B632:L634"/>
    <mergeCell ref="G731:J731"/>
    <mergeCell ref="O733:S733"/>
    <mergeCell ref="AC729:AG729"/>
    <mergeCell ref="AH728:AJ728"/>
    <mergeCell ref="AH729:AJ729"/>
    <mergeCell ref="AE703:AI703"/>
    <mergeCell ref="Q638:S638"/>
    <mergeCell ref="Z573:AD573"/>
    <mergeCell ref="Z580:AE580"/>
    <mergeCell ref="Z597:AE597"/>
    <mergeCell ref="G593:R593"/>
    <mergeCell ref="AG583:AH583"/>
    <mergeCell ref="H598:R598"/>
    <mergeCell ref="Z594:AK594"/>
    <mergeCell ref="M568:P568"/>
    <mergeCell ref="Q571:S571"/>
    <mergeCell ref="AI573:AL573"/>
    <mergeCell ref="AO638:AS638"/>
    <mergeCell ref="Z609:AK609"/>
    <mergeCell ref="T742:W742"/>
    <mergeCell ref="D1055:AE1056"/>
    <mergeCell ref="Q640:S640"/>
    <mergeCell ref="Q632:S634"/>
    <mergeCell ref="M573:P573"/>
    <mergeCell ref="AO645:AS645"/>
    <mergeCell ref="T744:W744"/>
    <mergeCell ref="G667:R667"/>
    <mergeCell ref="P679:R679"/>
    <mergeCell ref="Q639:S639"/>
    <mergeCell ref="T640:V640"/>
    <mergeCell ref="AK641:AN641"/>
    <mergeCell ref="G663:L663"/>
    <mergeCell ref="H664:R664"/>
    <mergeCell ref="AC741:AG741"/>
    <mergeCell ref="AG657:AH657"/>
    <mergeCell ref="H696:R696"/>
    <mergeCell ref="C642:L642"/>
    <mergeCell ref="G653:R653"/>
    <mergeCell ref="H680:R680"/>
    <mergeCell ref="T741:W741"/>
    <mergeCell ref="O742:S742"/>
    <mergeCell ref="AC742:AG742"/>
    <mergeCell ref="AC743:AG743"/>
    <mergeCell ref="B743:F743"/>
    <mergeCell ref="AC736:AG736"/>
    <mergeCell ref="AC740:AG740"/>
    <mergeCell ref="X741:AB741"/>
    <mergeCell ref="G740:J740"/>
    <mergeCell ref="X742:AB742"/>
    <mergeCell ref="X740:AB740"/>
    <mergeCell ref="K742:N742"/>
    <mergeCell ref="M965:S965"/>
    <mergeCell ref="M979:S979"/>
    <mergeCell ref="B757:F757"/>
    <mergeCell ref="B758:F758"/>
    <mergeCell ref="D1016:AE1016"/>
    <mergeCell ref="R999:AA999"/>
    <mergeCell ref="W983:AG983"/>
    <mergeCell ref="T758:W758"/>
    <mergeCell ref="AE971:AK971"/>
    <mergeCell ref="M970:S970"/>
    <mergeCell ref="AK759:AO759"/>
    <mergeCell ref="B722:F725"/>
    <mergeCell ref="G737:J737"/>
    <mergeCell ref="B734:F734"/>
    <mergeCell ref="B748:F748"/>
    <mergeCell ref="AH745:AJ745"/>
    <mergeCell ref="AH746:AJ746"/>
    <mergeCell ref="AH744:AJ74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C1098:D1098"/>
    <mergeCell ref="AJ999:AQ999"/>
    <mergeCell ref="M982:S982"/>
    <mergeCell ref="AG1025:AH1025"/>
    <mergeCell ref="AG1029:AH1029"/>
    <mergeCell ref="D1025:AE1025"/>
    <mergeCell ref="D1017:AE1019"/>
    <mergeCell ref="AF1030:AI1031"/>
    <mergeCell ref="AJ1062:AQ1062"/>
    <mergeCell ref="D995:Q995"/>
    <mergeCell ref="B754:F754"/>
    <mergeCell ref="B755:F755"/>
    <mergeCell ref="B756:F756"/>
    <mergeCell ref="M980:S980"/>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C1089:D1089"/>
    <mergeCell ref="C1090:D1090"/>
    <mergeCell ref="C1091:D1091"/>
    <mergeCell ref="A1084:B1084"/>
    <mergeCell ref="A1079:B1079"/>
    <mergeCell ref="C1086:D1086"/>
    <mergeCell ref="C1087:D1087"/>
    <mergeCell ref="C1088:D1088"/>
    <mergeCell ref="A1070:AQ1070"/>
    <mergeCell ref="AF1026:AI1028"/>
    <mergeCell ref="AF1023:AI1024"/>
    <mergeCell ref="AJ1054:AQ1057"/>
    <mergeCell ref="AJ1058:AQ1061"/>
    <mergeCell ref="AB995:AI995"/>
    <mergeCell ref="AG1038:AH1038"/>
    <mergeCell ref="D1046:AE1049"/>
    <mergeCell ref="D1054:AE1054"/>
    <mergeCell ref="D1023:AE1024"/>
    <mergeCell ref="AG1054:AH1054"/>
    <mergeCell ref="D1026:AE1028"/>
    <mergeCell ref="T981:Z981"/>
    <mergeCell ref="M984:S984"/>
    <mergeCell ref="C1092:D1092"/>
    <mergeCell ref="C1093:D1093"/>
    <mergeCell ref="C1094:D1094"/>
    <mergeCell ref="C1096:D109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97:D1097"/>
    <mergeCell ref="C1099:D1099"/>
    <mergeCell ref="D1062:AI1062"/>
    <mergeCell ref="D1058:AE1058"/>
    <mergeCell ref="D1041:AE1041"/>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7" right="0.7" top="0.75" bottom="0.75" header="0.3" footer="0.3"/>
  <pageSetup scale="68"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6" workbookViewId="0">
      <selection activeCell="H100" sqref="H100"/>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1743</v>
      </c>
      <c r="B1" s="91"/>
      <c r="C1" s="91"/>
      <c r="D1" s="91"/>
      <c r="E1" s="92"/>
      <c r="F1" s="1797" t="s">
        <v>1744</v>
      </c>
      <c r="G1" s="1798"/>
      <c r="H1" s="1798"/>
      <c r="I1" s="1798"/>
      <c r="J1" s="1798"/>
      <c r="K1" s="1798"/>
      <c r="L1" s="1798"/>
      <c r="M1" s="1798"/>
      <c r="N1" s="1798"/>
      <c r="O1" s="1798"/>
      <c r="P1" s="1798"/>
      <c r="Q1" s="1798"/>
      <c r="R1" s="1799"/>
      <c r="S1" s="80"/>
      <c r="T1" s="79"/>
      <c r="U1" s="81"/>
    </row>
    <row r="2" spans="1:21" s="101" customFormat="1" ht="71.25" customHeight="1">
      <c r="A2" s="100"/>
      <c r="B2" s="101" t="s">
        <v>1745</v>
      </c>
      <c r="C2" s="101" t="s">
        <v>1746</v>
      </c>
      <c r="D2" s="101" t="s">
        <v>1747</v>
      </c>
      <c r="E2" s="101" t="s">
        <v>1748</v>
      </c>
      <c r="F2" s="102" t="str">
        <f>Application!B635&amp;Application!C635</f>
        <v>1)Banc of California</v>
      </c>
      <c r="G2" s="102" t="str">
        <f>Application!B636&amp;Application!C636</f>
        <v>2)Housing Authority of the County of Kern</v>
      </c>
      <c r="H2" s="102" t="str">
        <f>Application!B637&amp;Application!C637</f>
        <v>3)Deferred Developer Fee</v>
      </c>
      <c r="I2" s="102" t="str">
        <f>Application!B638&amp;Application!C638</f>
        <v>4)Golden Empire Affordable Housing, Inc.</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1749</v>
      </c>
      <c r="S2" s="101" t="s">
        <v>1750</v>
      </c>
      <c r="T2" s="101" t="s">
        <v>1751</v>
      </c>
      <c r="U2" s="103"/>
    </row>
    <row r="3" spans="1:21" s="105" customFormat="1">
      <c r="A3" s="104" t="s">
        <v>1752</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1753</v>
      </c>
      <c r="B4" s="245">
        <f>SUM(C4+D4)</f>
        <v>560000</v>
      </c>
      <c r="C4" s="868">
        <v>560000</v>
      </c>
      <c r="D4" s="868"/>
      <c r="E4" s="868">
        <v>560000</v>
      </c>
      <c r="F4" s="868"/>
      <c r="G4" s="868"/>
      <c r="H4" s="868"/>
      <c r="I4" s="868"/>
      <c r="J4" s="868"/>
      <c r="K4" s="868"/>
      <c r="L4" s="868"/>
      <c r="M4" s="868"/>
      <c r="N4" s="868"/>
      <c r="O4" s="868"/>
      <c r="P4" s="868"/>
      <c r="Q4" s="868"/>
      <c r="R4" s="416">
        <f>SUM(E4:Q4)</f>
        <v>560000</v>
      </c>
      <c r="S4" s="1209"/>
      <c r="T4" s="1209"/>
      <c r="U4" s="1208"/>
    </row>
    <row r="5" spans="1:21" s="105" customFormat="1">
      <c r="A5" s="195" t="s">
        <v>696</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1754</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1755</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1756</v>
      </c>
      <c r="B8" s="245">
        <f>SUM(C8:D8)</f>
        <v>560000</v>
      </c>
      <c r="C8" s="245">
        <f t="shared" ref="C8:Q8" si="0">SUM(C4:C7)</f>
        <v>560000</v>
      </c>
      <c r="D8" s="245">
        <f t="shared" si="0"/>
        <v>0</v>
      </c>
      <c r="E8" s="245">
        <f t="shared" si="0"/>
        <v>560000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560000</v>
      </c>
      <c r="S8" s="1209"/>
      <c r="T8" s="1209"/>
      <c r="U8" s="1208"/>
    </row>
    <row r="9" spans="1:21" s="105" customFormat="1">
      <c r="A9" s="195" t="s">
        <v>1757</v>
      </c>
      <c r="B9" s="245">
        <f>SUM(C9+D9)</f>
        <v>7850000</v>
      </c>
      <c r="C9" s="868">
        <v>7850000</v>
      </c>
      <c r="D9" s="868"/>
      <c r="E9" s="868"/>
      <c r="F9" s="868"/>
      <c r="G9" s="868">
        <v>7850000</v>
      </c>
      <c r="H9" s="868"/>
      <c r="I9" s="868"/>
      <c r="J9" s="868"/>
      <c r="K9" s="868"/>
      <c r="L9" s="868"/>
      <c r="M9" s="868"/>
      <c r="N9" s="868"/>
      <c r="O9" s="868"/>
      <c r="P9" s="868"/>
      <c r="Q9" s="868"/>
      <c r="R9" s="416">
        <f>SUM(E9:Q9)</f>
        <v>7850000</v>
      </c>
      <c r="S9" s="1209"/>
      <c r="T9" s="868">
        <v>7850000</v>
      </c>
      <c r="U9" s="1208"/>
    </row>
    <row r="10" spans="1:21" s="105" customFormat="1">
      <c r="A10" s="195" t="s">
        <v>1758</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c r="A11" s="106" t="s">
        <v>1759</v>
      </c>
      <c r="B11" s="245">
        <f>SUM(C11:D11)</f>
        <v>7850000</v>
      </c>
      <c r="C11" s="245">
        <f t="shared" ref="C11:Q11" si="1">SUM(C9:C10)</f>
        <v>7850000</v>
      </c>
      <c r="D11" s="245">
        <f t="shared" si="1"/>
        <v>0</v>
      </c>
      <c r="E11" s="245">
        <f t="shared" si="1"/>
        <v>0</v>
      </c>
      <c r="F11" s="245">
        <f t="shared" si="1"/>
        <v>0</v>
      </c>
      <c r="G11" s="245">
        <f t="shared" si="1"/>
        <v>7850000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7850000</v>
      </c>
      <c r="S11" s="1209"/>
      <c r="T11" s="107">
        <f>SUM(T9:T10)</f>
        <v>7850000</v>
      </c>
      <c r="U11" s="1208"/>
    </row>
    <row r="12" spans="1:21" s="105" customFormat="1">
      <c r="A12" s="106" t="s">
        <v>1760</v>
      </c>
      <c r="B12" s="245">
        <f t="shared" ref="B12:Q12" si="2">SUM(B8+B11)</f>
        <v>8410000</v>
      </c>
      <c r="C12" s="245">
        <f t="shared" si="2"/>
        <v>8410000</v>
      </c>
      <c r="D12" s="245">
        <f t="shared" si="2"/>
        <v>0</v>
      </c>
      <c r="E12" s="245">
        <f t="shared" si="2"/>
        <v>560000</v>
      </c>
      <c r="F12" s="245">
        <f t="shared" si="2"/>
        <v>0</v>
      </c>
      <c r="G12" s="245">
        <f t="shared" si="2"/>
        <v>7850000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8410000</v>
      </c>
      <c r="S12" s="1209"/>
      <c r="T12" s="1209"/>
      <c r="U12" s="1208"/>
    </row>
    <row r="13" spans="1:21" s="105" customFormat="1">
      <c r="A13" s="197" t="s">
        <v>1761</v>
      </c>
      <c r="B13" s="245">
        <f>SUM(C13+D13)</f>
        <v>0</v>
      </c>
      <c r="C13" s="868"/>
      <c r="D13" s="868"/>
      <c r="E13" s="868"/>
      <c r="F13" s="868"/>
      <c r="G13" s="868"/>
      <c r="H13" s="868"/>
      <c r="I13" s="868"/>
      <c r="J13" s="868"/>
      <c r="K13" s="868"/>
      <c r="L13" s="868"/>
      <c r="M13" s="868"/>
      <c r="N13" s="868"/>
      <c r="O13" s="868"/>
      <c r="P13" s="868"/>
      <c r="Q13" s="868"/>
      <c r="R13" s="416">
        <f>SUM(E13:Q13)</f>
        <v>0</v>
      </c>
      <c r="S13" s="868"/>
      <c r="T13" s="868"/>
      <c r="U13" s="1208"/>
    </row>
    <row r="14" spans="1:21" s="105" customFormat="1" ht="24">
      <c r="A14" s="198" t="s">
        <v>1762</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1763</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1764</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1765</v>
      </c>
      <c r="B17" s="245">
        <f t="shared" ref="B17:B26" si="3">SUM(C17+D17)</f>
        <v>350000</v>
      </c>
      <c r="C17" s="868">
        <v>350000</v>
      </c>
      <c r="D17" s="868"/>
      <c r="E17" s="868">
        <v>350000</v>
      </c>
      <c r="F17" s="868"/>
      <c r="G17" s="868"/>
      <c r="H17" s="868"/>
      <c r="I17" s="868"/>
      <c r="J17" s="868"/>
      <c r="K17" s="868"/>
      <c r="L17" s="868"/>
      <c r="M17" s="868"/>
      <c r="N17" s="868"/>
      <c r="O17" s="868"/>
      <c r="P17" s="868"/>
      <c r="Q17" s="868"/>
      <c r="R17" s="416">
        <f>SUM(E17:Q17)</f>
        <v>350000</v>
      </c>
      <c r="S17" s="868">
        <v>350000</v>
      </c>
      <c r="T17" s="868"/>
      <c r="U17" s="1208"/>
    </row>
    <row r="18" spans="1:21" s="105" customFormat="1">
      <c r="A18" s="195" t="s">
        <v>1766</v>
      </c>
      <c r="B18" s="245">
        <f t="shared" si="3"/>
        <v>4470000</v>
      </c>
      <c r="C18" s="868">
        <v>4470000</v>
      </c>
      <c r="D18" s="868"/>
      <c r="E18" s="868">
        <f>C18-F18-G18-H18-I18</f>
        <v>609900</v>
      </c>
      <c r="F18" s="868">
        <v>3300000</v>
      </c>
      <c r="G18" s="868">
        <v>560000</v>
      </c>
      <c r="H18" s="868"/>
      <c r="I18" s="868">
        <v>100</v>
      </c>
      <c r="J18" s="868"/>
      <c r="K18" s="868"/>
      <c r="L18" s="868"/>
      <c r="M18" s="868"/>
      <c r="N18" s="868"/>
      <c r="O18" s="868"/>
      <c r="P18" s="868"/>
      <c r="Q18" s="868"/>
      <c r="R18" s="416">
        <f>SUM(E18:Q18)</f>
        <v>4470000</v>
      </c>
      <c r="S18" s="868">
        <v>4470000</v>
      </c>
      <c r="T18" s="868"/>
      <c r="U18" s="1208"/>
    </row>
    <row r="19" spans="1:21" s="105" customFormat="1">
      <c r="A19" s="195" t="s">
        <v>1767</v>
      </c>
      <c r="B19" s="245">
        <f t="shared" si="3"/>
        <v>270000</v>
      </c>
      <c r="C19" s="868">
        <v>270000</v>
      </c>
      <c r="D19" s="868"/>
      <c r="E19" s="868">
        <v>270000</v>
      </c>
      <c r="F19" s="868"/>
      <c r="G19" s="868"/>
      <c r="H19" s="868"/>
      <c r="I19" s="868"/>
      <c r="J19" s="868"/>
      <c r="K19" s="868"/>
      <c r="L19" s="868"/>
      <c r="M19" s="868"/>
      <c r="N19" s="868"/>
      <c r="O19" s="868"/>
      <c r="P19" s="868"/>
      <c r="Q19" s="868"/>
      <c r="R19" s="416">
        <f>SUM(E19:Q19)</f>
        <v>270000</v>
      </c>
      <c r="S19" s="868">
        <v>270000</v>
      </c>
      <c r="T19" s="868"/>
      <c r="U19" s="1208"/>
    </row>
    <row r="20" spans="1:21" s="105" customFormat="1">
      <c r="A20" s="195" t="s">
        <v>1768</v>
      </c>
      <c r="B20" s="245">
        <f t="shared" si="3"/>
        <v>180000</v>
      </c>
      <c r="C20" s="868">
        <v>180000</v>
      </c>
      <c r="D20" s="868"/>
      <c r="E20" s="868">
        <v>180000</v>
      </c>
      <c r="F20" s="868"/>
      <c r="G20" s="868"/>
      <c r="H20" s="868"/>
      <c r="I20" s="868"/>
      <c r="J20" s="868"/>
      <c r="K20" s="868"/>
      <c r="L20" s="868"/>
      <c r="M20" s="868"/>
      <c r="N20" s="868"/>
      <c r="O20" s="868"/>
      <c r="P20" s="868"/>
      <c r="Q20" s="868"/>
      <c r="R20" s="416">
        <f t="shared" ref="R20:R27" si="4">SUM(E20:Q20)</f>
        <v>180000</v>
      </c>
      <c r="S20" s="868">
        <v>180000</v>
      </c>
      <c r="T20" s="868"/>
      <c r="U20" s="1208"/>
    </row>
    <row r="21" spans="1:21" s="105" customFormat="1">
      <c r="A21" s="195" t="s">
        <v>1769</v>
      </c>
      <c r="B21" s="245">
        <f t="shared" si="3"/>
        <v>180000</v>
      </c>
      <c r="C21" s="868">
        <v>180000</v>
      </c>
      <c r="D21" s="868"/>
      <c r="E21" s="868">
        <v>180000</v>
      </c>
      <c r="F21" s="868"/>
      <c r="G21" s="868"/>
      <c r="H21" s="868"/>
      <c r="I21" s="868"/>
      <c r="J21" s="868"/>
      <c r="K21" s="868"/>
      <c r="L21" s="868"/>
      <c r="M21" s="868"/>
      <c r="N21" s="868"/>
      <c r="O21" s="868"/>
      <c r="P21" s="868"/>
      <c r="Q21" s="868"/>
      <c r="R21" s="416">
        <f t="shared" si="4"/>
        <v>180000</v>
      </c>
      <c r="S21" s="868">
        <v>180000</v>
      </c>
      <c r="T21" s="868"/>
      <c r="U21" s="1208"/>
    </row>
    <row r="22" spans="1:21" s="105" customFormat="1">
      <c r="A22" s="195" t="s">
        <v>1770</v>
      </c>
      <c r="B22" s="245">
        <f t="shared" si="3"/>
        <v>0</v>
      </c>
      <c r="C22" s="868">
        <v>0</v>
      </c>
      <c r="D22" s="868"/>
      <c r="E22" s="868">
        <v>0</v>
      </c>
      <c r="F22" s="868"/>
      <c r="G22" s="868"/>
      <c r="H22" s="868"/>
      <c r="I22" s="868"/>
      <c r="J22" s="868"/>
      <c r="K22" s="868"/>
      <c r="L22" s="868"/>
      <c r="M22" s="868"/>
      <c r="N22" s="868"/>
      <c r="O22" s="868"/>
      <c r="P22" s="868"/>
      <c r="Q22" s="868"/>
      <c r="R22" s="416">
        <f t="shared" si="4"/>
        <v>0</v>
      </c>
      <c r="S22" s="868">
        <v>0</v>
      </c>
      <c r="T22" s="868"/>
      <c r="U22" s="1208"/>
    </row>
    <row r="23" spans="1:21" s="105" customFormat="1">
      <c r="A23" s="195" t="s">
        <v>1771</v>
      </c>
      <c r="B23" s="245">
        <f t="shared" si="3"/>
        <v>50000</v>
      </c>
      <c r="C23" s="868">
        <v>50000</v>
      </c>
      <c r="D23" s="868"/>
      <c r="E23" s="868">
        <v>50000</v>
      </c>
      <c r="F23" s="868"/>
      <c r="G23" s="868"/>
      <c r="H23" s="868"/>
      <c r="I23" s="868"/>
      <c r="J23" s="868"/>
      <c r="K23" s="868"/>
      <c r="L23" s="868"/>
      <c r="M23" s="868"/>
      <c r="N23" s="868"/>
      <c r="O23" s="868"/>
      <c r="P23" s="868"/>
      <c r="Q23" s="868"/>
      <c r="R23" s="416">
        <f t="shared" si="4"/>
        <v>50000</v>
      </c>
      <c r="S23" s="868">
        <v>50000</v>
      </c>
      <c r="T23" s="868"/>
      <c r="U23" s="1208"/>
    </row>
    <row r="24" spans="1:21" s="105" customFormat="1">
      <c r="A24" s="409" t="s">
        <v>1772</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1773</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1774</v>
      </c>
      <c r="B26" s="245">
        <f t="shared" si="3"/>
        <v>5500000</v>
      </c>
      <c r="C26" s="245">
        <f>SUM(C17:C25)</f>
        <v>5500000</v>
      </c>
      <c r="D26" s="245">
        <f t="shared" ref="D26:Q26" si="5">SUM(D17:D25)</f>
        <v>0</v>
      </c>
      <c r="E26" s="245">
        <f t="shared" si="5"/>
        <v>1639900</v>
      </c>
      <c r="F26" s="245">
        <f t="shared" si="5"/>
        <v>3300000</v>
      </c>
      <c r="G26" s="245">
        <f t="shared" si="5"/>
        <v>560000</v>
      </c>
      <c r="H26" s="245">
        <f t="shared" si="5"/>
        <v>0</v>
      </c>
      <c r="I26" s="245">
        <f t="shared" si="5"/>
        <v>100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5500000</v>
      </c>
      <c r="S26" s="107">
        <f>SUM(S17:S25)</f>
        <v>5500000</v>
      </c>
      <c r="T26" s="107">
        <f>SUM(T17:T25)</f>
        <v>0</v>
      </c>
      <c r="U26" s="1208"/>
    </row>
    <row r="27" spans="1:21" s="105" customFormat="1">
      <c r="A27" s="106" t="s">
        <v>1775</v>
      </c>
      <c r="B27" s="245">
        <f>SUM(C27:D27)</f>
        <v>74000</v>
      </c>
      <c r="C27" s="868">
        <v>74000</v>
      </c>
      <c r="D27" s="868"/>
      <c r="E27" s="868">
        <v>74000</v>
      </c>
      <c r="F27" s="868"/>
      <c r="G27" s="868"/>
      <c r="H27" s="868"/>
      <c r="I27" s="868"/>
      <c r="J27" s="868"/>
      <c r="K27" s="868"/>
      <c r="L27" s="868"/>
      <c r="M27" s="868"/>
      <c r="N27" s="868"/>
      <c r="O27" s="868"/>
      <c r="P27" s="868"/>
      <c r="Q27" s="868"/>
      <c r="R27" s="416">
        <f t="shared" si="4"/>
        <v>74000</v>
      </c>
      <c r="S27" s="868"/>
      <c r="T27" s="868"/>
      <c r="U27" s="1208"/>
    </row>
    <row r="28" spans="1:21" s="105" customFormat="1">
      <c r="A28" s="104" t="s">
        <v>1776</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1765</v>
      </c>
      <c r="B29" s="245">
        <f t="shared" ref="B29:B38" si="6">SUM(C29+D29)</f>
        <v>0</v>
      </c>
      <c r="C29" s="868"/>
      <c r="D29" s="868"/>
      <c r="E29" s="868"/>
      <c r="F29" s="868"/>
      <c r="G29" s="868"/>
      <c r="H29" s="868"/>
      <c r="I29" s="868"/>
      <c r="J29" s="868"/>
      <c r="K29" s="868"/>
      <c r="L29" s="868"/>
      <c r="M29" s="868"/>
      <c r="N29" s="868"/>
      <c r="O29" s="868"/>
      <c r="P29" s="868"/>
      <c r="Q29" s="868"/>
      <c r="R29" s="416">
        <f t="shared" ref="R29:R37" si="7">SUM(E29:Q29)</f>
        <v>0</v>
      </c>
      <c r="S29" s="868"/>
      <c r="T29" s="868"/>
      <c r="U29" s="1208"/>
    </row>
    <row r="30" spans="1:21" s="105" customFormat="1">
      <c r="A30" s="195" t="s">
        <v>1766</v>
      </c>
      <c r="B30" s="245">
        <f t="shared" si="6"/>
        <v>0</v>
      </c>
      <c r="C30" s="868"/>
      <c r="D30" s="868"/>
      <c r="E30" s="868"/>
      <c r="F30" s="868"/>
      <c r="G30" s="868"/>
      <c r="H30" s="868"/>
      <c r="I30" s="868"/>
      <c r="J30" s="868"/>
      <c r="K30" s="868"/>
      <c r="L30" s="868"/>
      <c r="M30" s="868"/>
      <c r="N30" s="868"/>
      <c r="O30" s="868"/>
      <c r="P30" s="868"/>
      <c r="Q30" s="868"/>
      <c r="R30" s="416">
        <f t="shared" si="7"/>
        <v>0</v>
      </c>
      <c r="S30" s="868"/>
      <c r="T30" s="868"/>
      <c r="U30" s="1208"/>
    </row>
    <row r="31" spans="1:21" s="105" customFormat="1">
      <c r="A31" s="195" t="s">
        <v>1767</v>
      </c>
      <c r="B31" s="245">
        <f t="shared" si="6"/>
        <v>0</v>
      </c>
      <c r="C31" s="868"/>
      <c r="D31" s="868"/>
      <c r="E31" s="868"/>
      <c r="F31" s="868"/>
      <c r="G31" s="868"/>
      <c r="H31" s="868"/>
      <c r="I31" s="868"/>
      <c r="J31" s="868"/>
      <c r="K31" s="868"/>
      <c r="L31" s="868"/>
      <c r="M31" s="868"/>
      <c r="N31" s="868"/>
      <c r="O31" s="868"/>
      <c r="P31" s="868"/>
      <c r="Q31" s="868"/>
      <c r="R31" s="416">
        <f t="shared" si="7"/>
        <v>0</v>
      </c>
      <c r="S31" s="868"/>
      <c r="T31" s="868"/>
      <c r="U31" s="1208"/>
    </row>
    <row r="32" spans="1:21" s="105" customFormat="1">
      <c r="A32" s="195" t="s">
        <v>1768</v>
      </c>
      <c r="B32" s="245">
        <f t="shared" si="6"/>
        <v>0</v>
      </c>
      <c r="C32" s="868"/>
      <c r="D32" s="868"/>
      <c r="E32" s="868"/>
      <c r="F32" s="868"/>
      <c r="G32" s="868"/>
      <c r="H32" s="868"/>
      <c r="I32" s="868"/>
      <c r="J32" s="868"/>
      <c r="K32" s="868"/>
      <c r="L32" s="868"/>
      <c r="M32" s="868"/>
      <c r="N32" s="868"/>
      <c r="O32" s="868"/>
      <c r="P32" s="868"/>
      <c r="Q32" s="868"/>
      <c r="R32" s="416">
        <f t="shared" si="7"/>
        <v>0</v>
      </c>
      <c r="S32" s="868"/>
      <c r="T32" s="868"/>
      <c r="U32" s="1208"/>
    </row>
    <row r="33" spans="1:21" s="105" customFormat="1">
      <c r="A33" s="195" t="s">
        <v>1769</v>
      </c>
      <c r="B33" s="245">
        <f t="shared" si="6"/>
        <v>0</v>
      </c>
      <c r="C33" s="868"/>
      <c r="D33" s="868"/>
      <c r="E33" s="868"/>
      <c r="F33" s="868"/>
      <c r="G33" s="868"/>
      <c r="H33" s="868"/>
      <c r="I33" s="868"/>
      <c r="J33" s="868"/>
      <c r="K33" s="868"/>
      <c r="L33" s="868"/>
      <c r="M33" s="868"/>
      <c r="N33" s="868"/>
      <c r="O33" s="868"/>
      <c r="P33" s="868"/>
      <c r="Q33" s="868"/>
      <c r="R33" s="416">
        <f t="shared" si="7"/>
        <v>0</v>
      </c>
      <c r="S33" s="868"/>
      <c r="T33" s="868"/>
      <c r="U33" s="1208"/>
    </row>
    <row r="34" spans="1:21" s="105" customFormat="1">
      <c r="A34" s="195" t="s">
        <v>1770</v>
      </c>
      <c r="B34" s="245">
        <f t="shared" si="6"/>
        <v>0</v>
      </c>
      <c r="C34" s="868"/>
      <c r="D34" s="868"/>
      <c r="E34" s="868"/>
      <c r="F34" s="868"/>
      <c r="G34" s="868"/>
      <c r="H34" s="868"/>
      <c r="I34" s="868"/>
      <c r="J34" s="868"/>
      <c r="K34" s="868"/>
      <c r="L34" s="868"/>
      <c r="M34" s="868"/>
      <c r="N34" s="868"/>
      <c r="O34" s="868"/>
      <c r="P34" s="868"/>
      <c r="Q34" s="868"/>
      <c r="R34" s="416">
        <f t="shared" si="7"/>
        <v>0</v>
      </c>
      <c r="S34" s="868"/>
      <c r="T34" s="868"/>
      <c r="U34" s="1208"/>
    </row>
    <row r="35" spans="1:21" s="105" customFormat="1">
      <c r="A35" s="195" t="s">
        <v>1771</v>
      </c>
      <c r="B35" s="245">
        <f t="shared" si="6"/>
        <v>0</v>
      </c>
      <c r="C35" s="868"/>
      <c r="D35" s="868"/>
      <c r="E35" s="868"/>
      <c r="F35" s="868"/>
      <c r="G35" s="868"/>
      <c r="H35" s="868"/>
      <c r="I35" s="868"/>
      <c r="J35" s="868"/>
      <c r="K35" s="868"/>
      <c r="L35" s="868"/>
      <c r="M35" s="868"/>
      <c r="N35" s="868"/>
      <c r="O35" s="868"/>
      <c r="P35" s="868"/>
      <c r="Q35" s="868"/>
      <c r="R35" s="416">
        <f t="shared" si="7"/>
        <v>0</v>
      </c>
      <c r="S35" s="868"/>
      <c r="T35" s="868"/>
      <c r="U35" s="1208"/>
    </row>
    <row r="36" spans="1:21" s="105" customFormat="1">
      <c r="A36" s="195" t="s">
        <v>1772</v>
      </c>
      <c r="B36" s="245">
        <f t="shared" si="6"/>
        <v>0</v>
      </c>
      <c r="C36" s="868"/>
      <c r="D36" s="868"/>
      <c r="E36" s="868"/>
      <c r="F36" s="868"/>
      <c r="G36" s="868"/>
      <c r="H36" s="868"/>
      <c r="I36" s="868"/>
      <c r="J36" s="868"/>
      <c r="K36" s="868"/>
      <c r="L36" s="868"/>
      <c r="M36" s="868"/>
      <c r="N36" s="868"/>
      <c r="O36" s="868"/>
      <c r="P36" s="868"/>
      <c r="Q36" s="868"/>
      <c r="R36" s="416">
        <f t="shared" si="7"/>
        <v>0</v>
      </c>
      <c r="S36" s="868"/>
      <c r="T36" s="868"/>
      <c r="U36" s="1208"/>
    </row>
    <row r="37" spans="1:21" s="105" customFormat="1">
      <c r="A37" s="1032" t="s">
        <v>1773</v>
      </c>
      <c r="B37" s="245">
        <f t="shared" si="6"/>
        <v>0</v>
      </c>
      <c r="C37" s="868"/>
      <c r="D37" s="868"/>
      <c r="E37" s="868"/>
      <c r="F37" s="868"/>
      <c r="G37" s="868"/>
      <c r="H37" s="868"/>
      <c r="I37" s="868"/>
      <c r="J37" s="868"/>
      <c r="K37" s="868"/>
      <c r="L37" s="868"/>
      <c r="M37" s="868"/>
      <c r="N37" s="868"/>
      <c r="O37" s="868"/>
      <c r="P37" s="868"/>
      <c r="Q37" s="868"/>
      <c r="R37" s="416">
        <f t="shared" si="7"/>
        <v>0</v>
      </c>
      <c r="S37" s="868"/>
      <c r="T37" s="868"/>
      <c r="U37" s="1208"/>
    </row>
    <row r="38" spans="1:21" s="105" customFormat="1">
      <c r="A38" s="106" t="s">
        <v>1777</v>
      </c>
      <c r="B38" s="245">
        <f t="shared" si="6"/>
        <v>0</v>
      </c>
      <c r="C38" s="245">
        <f>SUM(C29:C37)</f>
        <v>0</v>
      </c>
      <c r="D38" s="245">
        <f t="shared" ref="D38:Q38" si="8">SUM(D29:D37)</f>
        <v>0</v>
      </c>
      <c r="E38" s="245">
        <f t="shared" si="8"/>
        <v>0</v>
      </c>
      <c r="F38" s="245">
        <f t="shared" si="8"/>
        <v>0</v>
      </c>
      <c r="G38" s="245">
        <f t="shared" si="8"/>
        <v>0</v>
      </c>
      <c r="H38" s="245">
        <f t="shared" si="8"/>
        <v>0</v>
      </c>
      <c r="I38" s="245">
        <f t="shared" si="8"/>
        <v>0</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0</v>
      </c>
      <c r="S38" s="107">
        <f>SUM(S29:S37)</f>
        <v>0</v>
      </c>
      <c r="T38" s="107">
        <f>SUM(T29:T37)</f>
        <v>0</v>
      </c>
      <c r="U38" s="1208"/>
    </row>
    <row r="39" spans="1:21" s="105" customFormat="1">
      <c r="A39" s="104" t="s">
        <v>1778</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1779</v>
      </c>
      <c r="B40" s="245">
        <f>SUM(C40+D40)</f>
        <v>225000</v>
      </c>
      <c r="C40" s="868">
        <v>225000</v>
      </c>
      <c r="D40" s="868"/>
      <c r="E40" s="868">
        <v>225000</v>
      </c>
      <c r="F40" s="868"/>
      <c r="G40" s="868"/>
      <c r="H40" s="868"/>
      <c r="I40" s="868"/>
      <c r="J40" s="868"/>
      <c r="K40" s="868"/>
      <c r="L40" s="868"/>
      <c r="M40" s="868"/>
      <c r="N40" s="868"/>
      <c r="O40" s="868"/>
      <c r="P40" s="868"/>
      <c r="Q40" s="868"/>
      <c r="R40" s="416">
        <f>SUM(E40:Q40)</f>
        <v>225000</v>
      </c>
      <c r="S40" s="868">
        <v>225000</v>
      </c>
      <c r="T40" s="868"/>
      <c r="U40" s="1208"/>
    </row>
    <row r="41" spans="1:21" s="105" customFormat="1">
      <c r="A41" s="195" t="s">
        <v>1780</v>
      </c>
      <c r="B41" s="245">
        <f>SUM(C41+D41)</f>
        <v>25000</v>
      </c>
      <c r="C41" s="868">
        <v>25000</v>
      </c>
      <c r="D41" s="868"/>
      <c r="E41" s="868">
        <v>25000</v>
      </c>
      <c r="F41" s="868"/>
      <c r="G41" s="868"/>
      <c r="H41" s="868"/>
      <c r="I41" s="868"/>
      <c r="J41" s="868"/>
      <c r="K41" s="868"/>
      <c r="L41" s="868"/>
      <c r="M41" s="868"/>
      <c r="N41" s="868"/>
      <c r="O41" s="868"/>
      <c r="P41" s="868"/>
      <c r="Q41" s="868"/>
      <c r="R41" s="416">
        <f>SUM(E41:Q41)</f>
        <v>25000</v>
      </c>
      <c r="S41" s="868">
        <v>25000</v>
      </c>
      <c r="T41" s="868"/>
      <c r="U41" s="1208"/>
    </row>
    <row r="42" spans="1:21" s="105" customFormat="1">
      <c r="A42" s="106" t="s">
        <v>1781</v>
      </c>
      <c r="B42" s="245">
        <f>SUM(C42:D42)</f>
        <v>250000</v>
      </c>
      <c r="C42" s="245">
        <f>SUM(C39:C41)</f>
        <v>250000</v>
      </c>
      <c r="D42" s="245">
        <f>SUM(D39:D41)</f>
        <v>0</v>
      </c>
      <c r="E42" s="245">
        <f t="shared" ref="E42:T42" si="9">SUM(E40:E41)</f>
        <v>250000</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250000</v>
      </c>
      <c r="S42" s="107">
        <f t="shared" si="9"/>
        <v>250000</v>
      </c>
      <c r="T42" s="107">
        <f t="shared" si="9"/>
        <v>0</v>
      </c>
      <c r="U42" s="1208"/>
    </row>
    <row r="43" spans="1:21" s="105" customFormat="1">
      <c r="A43" s="106" t="s">
        <v>1782</v>
      </c>
      <c r="B43" s="245">
        <f>SUM(C43:D43)</f>
        <v>75000</v>
      </c>
      <c r="C43" s="868">
        <v>75000</v>
      </c>
      <c r="D43" s="868"/>
      <c r="E43" s="868">
        <v>75000</v>
      </c>
      <c r="F43" s="868"/>
      <c r="G43" s="868"/>
      <c r="H43" s="868"/>
      <c r="I43" s="868"/>
      <c r="J43" s="868"/>
      <c r="K43" s="868"/>
      <c r="L43" s="868"/>
      <c r="M43" s="868"/>
      <c r="N43" s="868"/>
      <c r="O43" s="868"/>
      <c r="P43" s="868"/>
      <c r="Q43" s="868"/>
      <c r="R43" s="416">
        <f>SUM(E43:Q43)</f>
        <v>75000</v>
      </c>
      <c r="S43" s="868">
        <v>75000</v>
      </c>
      <c r="T43" s="868"/>
      <c r="U43" s="1208"/>
    </row>
    <row r="44" spans="1:21" s="105" customFormat="1">
      <c r="A44" s="104" t="s">
        <v>1783</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1784</v>
      </c>
      <c r="B45" s="245">
        <f t="shared" ref="B45:B53" si="10">SUM(C45+D45)</f>
        <v>490000</v>
      </c>
      <c r="C45" s="868">
        <v>490000</v>
      </c>
      <c r="D45" s="868"/>
      <c r="E45" s="868">
        <v>490000</v>
      </c>
      <c r="F45" s="868"/>
      <c r="G45" s="868"/>
      <c r="H45" s="868"/>
      <c r="I45" s="868"/>
      <c r="J45" s="868"/>
      <c r="K45" s="868"/>
      <c r="L45" s="868"/>
      <c r="M45" s="868"/>
      <c r="N45" s="868"/>
      <c r="O45" s="868"/>
      <c r="P45" s="868"/>
      <c r="Q45" s="868"/>
      <c r="R45" s="416">
        <f t="shared" ref="R45:R53" si="11">SUM(E45:Q45)</f>
        <v>490000</v>
      </c>
      <c r="S45" s="868">
        <v>294000</v>
      </c>
      <c r="T45" s="868"/>
      <c r="U45" s="1208"/>
    </row>
    <row r="46" spans="1:21" s="105" customFormat="1">
      <c r="A46" s="195" t="s">
        <v>1785</v>
      </c>
      <c r="B46" s="245">
        <f t="shared" si="10"/>
        <v>50000</v>
      </c>
      <c r="C46" s="868">
        <v>50000</v>
      </c>
      <c r="D46" s="868"/>
      <c r="E46" s="868">
        <v>50000</v>
      </c>
      <c r="F46" s="868"/>
      <c r="G46" s="868"/>
      <c r="H46" s="868"/>
      <c r="I46" s="868"/>
      <c r="J46" s="868"/>
      <c r="K46" s="868"/>
      <c r="L46" s="868"/>
      <c r="M46" s="868"/>
      <c r="N46" s="868"/>
      <c r="O46" s="868"/>
      <c r="P46" s="868"/>
      <c r="Q46" s="868"/>
      <c r="R46" s="416">
        <f t="shared" si="11"/>
        <v>50000</v>
      </c>
      <c r="S46" s="868"/>
      <c r="T46" s="868"/>
      <c r="U46" s="1208"/>
    </row>
    <row r="47" spans="1:21" s="105" customFormat="1">
      <c r="A47" s="1210" t="s">
        <v>1786</v>
      </c>
      <c r="B47" s="245">
        <f t="shared" si="10"/>
        <v>0</v>
      </c>
      <c r="C47" s="868"/>
      <c r="D47" s="868"/>
      <c r="E47" s="868"/>
      <c r="F47" s="868"/>
      <c r="G47" s="868"/>
      <c r="H47" s="868"/>
      <c r="I47" s="868"/>
      <c r="J47" s="868"/>
      <c r="K47" s="868"/>
      <c r="L47" s="868"/>
      <c r="M47" s="868"/>
      <c r="N47" s="868"/>
      <c r="O47" s="868"/>
      <c r="P47" s="868"/>
      <c r="Q47" s="868"/>
      <c r="R47" s="416">
        <f t="shared" si="11"/>
        <v>0</v>
      </c>
      <c r="S47" s="868"/>
      <c r="T47" s="868"/>
      <c r="U47" s="1208"/>
    </row>
    <row r="48" spans="1:21" s="105" customFormat="1">
      <c r="A48" s="195" t="s">
        <v>1787</v>
      </c>
      <c r="B48" s="245">
        <f t="shared" si="10"/>
        <v>6250</v>
      </c>
      <c r="C48" s="868">
        <v>6250</v>
      </c>
      <c r="D48" s="868"/>
      <c r="E48" s="868">
        <v>6250</v>
      </c>
      <c r="F48" s="868"/>
      <c r="G48" s="868"/>
      <c r="H48" s="868"/>
      <c r="I48" s="868"/>
      <c r="J48" s="868"/>
      <c r="K48" s="868"/>
      <c r="L48" s="868"/>
      <c r="M48" s="868"/>
      <c r="N48" s="868"/>
      <c r="O48" s="868"/>
      <c r="P48" s="868"/>
      <c r="Q48" s="868"/>
      <c r="R48" s="416">
        <f t="shared" si="11"/>
        <v>6250</v>
      </c>
      <c r="S48" s="868"/>
      <c r="T48" s="868"/>
      <c r="U48" s="1208"/>
    </row>
    <row r="49" spans="1:21" s="105" customFormat="1">
      <c r="A49" s="195" t="s">
        <v>1788</v>
      </c>
      <c r="B49" s="245">
        <f t="shared" si="10"/>
        <v>0</v>
      </c>
      <c r="C49" s="868"/>
      <c r="D49" s="868"/>
      <c r="E49" s="868"/>
      <c r="F49" s="868"/>
      <c r="G49" s="868"/>
      <c r="H49" s="868"/>
      <c r="I49" s="868"/>
      <c r="J49" s="868"/>
      <c r="K49" s="868"/>
      <c r="L49" s="868"/>
      <c r="M49" s="868"/>
      <c r="N49" s="868"/>
      <c r="O49" s="868"/>
      <c r="P49" s="868"/>
      <c r="Q49" s="868"/>
      <c r="R49" s="416">
        <f t="shared" si="11"/>
        <v>0</v>
      </c>
      <c r="S49" s="868"/>
      <c r="T49" s="868"/>
      <c r="U49" s="1208"/>
    </row>
    <row r="50" spans="1:21" s="105" customFormat="1">
      <c r="A50" s="195" t="s">
        <v>1789</v>
      </c>
      <c r="B50" s="245">
        <f t="shared" si="10"/>
        <v>45000</v>
      </c>
      <c r="C50" s="868">
        <v>45000</v>
      </c>
      <c r="D50" s="868"/>
      <c r="E50" s="868">
        <v>45000</v>
      </c>
      <c r="F50" s="868"/>
      <c r="G50" s="868"/>
      <c r="H50" s="868"/>
      <c r="I50" s="868"/>
      <c r="J50" s="868"/>
      <c r="K50" s="868"/>
      <c r="L50" s="868"/>
      <c r="M50" s="868"/>
      <c r="N50" s="868"/>
      <c r="O50" s="868"/>
      <c r="P50" s="868"/>
      <c r="Q50" s="868"/>
      <c r="R50" s="416">
        <f t="shared" si="11"/>
        <v>45000</v>
      </c>
      <c r="S50" s="868">
        <v>45000</v>
      </c>
      <c r="T50" s="868"/>
      <c r="U50" s="1208"/>
    </row>
    <row r="51" spans="1:21" s="105" customFormat="1">
      <c r="A51" s="195" t="s">
        <v>1790</v>
      </c>
      <c r="B51" s="245">
        <f t="shared" si="10"/>
        <v>0</v>
      </c>
      <c r="C51" s="868"/>
      <c r="D51" s="868"/>
      <c r="E51" s="868"/>
      <c r="F51" s="868"/>
      <c r="G51" s="868"/>
      <c r="H51" s="868"/>
      <c r="I51" s="868"/>
      <c r="J51" s="868"/>
      <c r="K51" s="868"/>
      <c r="L51" s="868"/>
      <c r="M51" s="868"/>
      <c r="N51" s="868"/>
      <c r="O51" s="868"/>
      <c r="P51" s="868"/>
      <c r="Q51" s="868"/>
      <c r="R51" s="416">
        <f t="shared" si="11"/>
        <v>0</v>
      </c>
      <c r="S51" s="868"/>
      <c r="T51" s="868"/>
      <c r="U51" s="1208"/>
    </row>
    <row r="52" spans="1:21" s="105" customFormat="1">
      <c r="A52" s="195" t="s">
        <v>1549</v>
      </c>
      <c r="B52" s="245">
        <f t="shared" si="10"/>
        <v>50000</v>
      </c>
      <c r="C52" s="868">
        <v>50000</v>
      </c>
      <c r="D52" s="868"/>
      <c r="E52" s="868">
        <v>50000</v>
      </c>
      <c r="F52" s="868"/>
      <c r="G52" s="868"/>
      <c r="H52" s="868"/>
      <c r="I52" s="868"/>
      <c r="J52" s="868"/>
      <c r="K52" s="868"/>
      <c r="L52" s="868"/>
      <c r="M52" s="868"/>
      <c r="N52" s="868"/>
      <c r="O52" s="868"/>
      <c r="P52" s="868"/>
      <c r="Q52" s="868"/>
      <c r="R52" s="416">
        <f t="shared" si="11"/>
        <v>50000</v>
      </c>
      <c r="S52" s="868">
        <v>50000</v>
      </c>
      <c r="T52" s="868"/>
      <c r="U52" s="1208"/>
    </row>
    <row r="53" spans="1:21" s="105" customFormat="1">
      <c r="A53" s="1032" t="s">
        <v>1791</v>
      </c>
      <c r="B53" s="245">
        <f t="shared" si="10"/>
        <v>24000</v>
      </c>
      <c r="C53" s="868">
        <v>24000</v>
      </c>
      <c r="D53" s="868"/>
      <c r="E53" s="868">
        <v>24000</v>
      </c>
      <c r="F53" s="868"/>
      <c r="G53" s="868"/>
      <c r="H53" s="868"/>
      <c r="I53" s="868"/>
      <c r="J53" s="868"/>
      <c r="K53" s="868"/>
      <c r="L53" s="868"/>
      <c r="M53" s="868"/>
      <c r="N53" s="868"/>
      <c r="O53" s="868"/>
      <c r="P53" s="868"/>
      <c r="Q53" s="868"/>
      <c r="R53" s="416">
        <f t="shared" si="11"/>
        <v>24000</v>
      </c>
      <c r="S53" s="868">
        <v>24000</v>
      </c>
      <c r="T53" s="868"/>
      <c r="U53" s="1208"/>
    </row>
    <row r="54" spans="1:21" s="109" customFormat="1">
      <c r="A54" s="106" t="s">
        <v>1792</v>
      </c>
      <c r="B54" s="107">
        <f>SUM(C54:D54)</f>
        <v>665250</v>
      </c>
      <c r="C54" s="107">
        <f t="shared" ref="C54:T54" si="12">SUM(C45:C53)</f>
        <v>665250</v>
      </c>
      <c r="D54" s="107">
        <f t="shared" si="12"/>
        <v>0</v>
      </c>
      <c r="E54" s="107">
        <f t="shared" si="12"/>
        <v>665250</v>
      </c>
      <c r="F54" s="107">
        <f t="shared" si="12"/>
        <v>0</v>
      </c>
      <c r="G54" s="107">
        <f t="shared" si="12"/>
        <v>0</v>
      </c>
      <c r="H54" s="107">
        <f t="shared" si="12"/>
        <v>0</v>
      </c>
      <c r="I54" s="107">
        <f t="shared" si="12"/>
        <v>0</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665250</v>
      </c>
      <c r="S54" s="107">
        <f t="shared" si="12"/>
        <v>413000</v>
      </c>
      <c r="T54" s="107">
        <f t="shared" si="12"/>
        <v>0</v>
      </c>
      <c r="U54" s="108"/>
    </row>
    <row r="55" spans="1:21" s="105" customFormat="1">
      <c r="A55" s="104" t="s">
        <v>1348</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1793</v>
      </c>
      <c r="B56" s="245">
        <f t="shared" ref="B56:B61" si="13">SUM(C56+D56)</f>
        <v>0</v>
      </c>
      <c r="C56" s="868"/>
      <c r="D56" s="868"/>
      <c r="E56" s="868"/>
      <c r="F56" s="868"/>
      <c r="G56" s="868"/>
      <c r="H56" s="868"/>
      <c r="I56" s="868"/>
      <c r="J56" s="868"/>
      <c r="K56" s="868"/>
      <c r="L56" s="868"/>
      <c r="M56" s="868"/>
      <c r="N56" s="868"/>
      <c r="O56" s="868"/>
      <c r="P56" s="868"/>
      <c r="Q56" s="868"/>
      <c r="R56" s="416">
        <f t="shared" ref="R56:R61" si="14">SUM(E56:Q56)</f>
        <v>0</v>
      </c>
      <c r="S56" s="1209"/>
      <c r="T56" s="1209"/>
      <c r="U56" s="1208"/>
    </row>
    <row r="57" spans="1:21" s="130" customFormat="1">
      <c r="A57" s="1210" t="s">
        <v>1786</v>
      </c>
      <c r="B57" s="1211">
        <f t="shared" si="13"/>
        <v>0</v>
      </c>
      <c r="C57" s="1212"/>
      <c r="D57" s="1212"/>
      <c r="E57" s="1212"/>
      <c r="F57" s="1212"/>
      <c r="G57" s="1212"/>
      <c r="H57" s="1212"/>
      <c r="I57" s="1212"/>
      <c r="J57" s="1212"/>
      <c r="K57" s="1212"/>
      <c r="L57" s="1212"/>
      <c r="M57" s="1212"/>
      <c r="N57" s="1212"/>
      <c r="O57" s="1212"/>
      <c r="P57" s="1212"/>
      <c r="Q57" s="1212"/>
      <c r="R57" s="416">
        <f t="shared" si="14"/>
        <v>0</v>
      </c>
      <c r="S57" s="1213"/>
      <c r="T57" s="1213"/>
      <c r="U57" s="1214"/>
    </row>
    <row r="58" spans="1:21" s="105" customFormat="1">
      <c r="A58" s="195" t="s">
        <v>1789</v>
      </c>
      <c r="B58" s="245">
        <f t="shared" si="13"/>
        <v>10000</v>
      </c>
      <c r="C58" s="868">
        <v>10000</v>
      </c>
      <c r="D58" s="868"/>
      <c r="E58" s="868">
        <v>10000</v>
      </c>
      <c r="F58" s="868"/>
      <c r="G58" s="868"/>
      <c r="H58" s="868"/>
      <c r="I58" s="868"/>
      <c r="J58" s="868"/>
      <c r="K58" s="868"/>
      <c r="L58" s="868"/>
      <c r="M58" s="868"/>
      <c r="N58" s="868"/>
      <c r="O58" s="868"/>
      <c r="P58" s="868"/>
      <c r="Q58" s="868"/>
      <c r="R58" s="416">
        <f t="shared" si="14"/>
        <v>10000</v>
      </c>
      <c r="S58" s="1209"/>
      <c r="T58" s="1209"/>
      <c r="U58" s="1208"/>
    </row>
    <row r="59" spans="1:21" s="105" customFormat="1">
      <c r="A59" s="195" t="s">
        <v>1790</v>
      </c>
      <c r="B59" s="245">
        <f t="shared" si="13"/>
        <v>0</v>
      </c>
      <c r="C59" s="868"/>
      <c r="D59" s="868"/>
      <c r="E59" s="868"/>
      <c r="F59" s="868"/>
      <c r="G59" s="868"/>
      <c r="H59" s="868"/>
      <c r="I59" s="868"/>
      <c r="J59" s="868"/>
      <c r="K59" s="868"/>
      <c r="L59" s="868"/>
      <c r="M59" s="868"/>
      <c r="N59" s="868"/>
      <c r="O59" s="868"/>
      <c r="P59" s="868"/>
      <c r="Q59" s="868"/>
      <c r="R59" s="416">
        <f t="shared" si="14"/>
        <v>0</v>
      </c>
      <c r="S59" s="1209"/>
      <c r="T59" s="1209"/>
      <c r="U59" s="1208"/>
    </row>
    <row r="60" spans="1:21" s="105" customFormat="1">
      <c r="A60" s="195" t="s">
        <v>1549</v>
      </c>
      <c r="B60" s="245">
        <f t="shared" si="13"/>
        <v>0</v>
      </c>
      <c r="C60" s="868"/>
      <c r="D60" s="868"/>
      <c r="E60" s="868"/>
      <c r="F60" s="868"/>
      <c r="G60" s="868"/>
      <c r="H60" s="868"/>
      <c r="I60" s="868"/>
      <c r="J60" s="868"/>
      <c r="K60" s="868"/>
      <c r="L60" s="868"/>
      <c r="M60" s="868"/>
      <c r="N60" s="868"/>
      <c r="O60" s="868"/>
      <c r="P60" s="868"/>
      <c r="Q60" s="868"/>
      <c r="R60" s="416">
        <f t="shared" si="14"/>
        <v>0</v>
      </c>
      <c r="S60" s="1209"/>
      <c r="T60" s="1209"/>
      <c r="U60" s="1208"/>
    </row>
    <row r="61" spans="1:21" s="105" customFormat="1">
      <c r="A61" s="1032" t="s">
        <v>1773</v>
      </c>
      <c r="B61" s="245">
        <f t="shared" si="13"/>
        <v>0</v>
      </c>
      <c r="C61" s="868"/>
      <c r="D61" s="868"/>
      <c r="E61" s="868"/>
      <c r="F61" s="868"/>
      <c r="G61" s="868"/>
      <c r="H61" s="868"/>
      <c r="I61" s="868"/>
      <c r="J61" s="868"/>
      <c r="K61" s="868"/>
      <c r="L61" s="868"/>
      <c r="M61" s="868"/>
      <c r="N61" s="868"/>
      <c r="O61" s="868"/>
      <c r="P61" s="868"/>
      <c r="Q61" s="868"/>
      <c r="R61" s="416">
        <f t="shared" si="14"/>
        <v>0</v>
      </c>
      <c r="S61" s="1209"/>
      <c r="T61" s="1209"/>
      <c r="U61" s="1208"/>
    </row>
    <row r="62" spans="1:21" s="105" customFormat="1" ht="13.7" customHeight="1">
      <c r="A62" s="106" t="s">
        <v>1794</v>
      </c>
      <c r="B62" s="245">
        <f>SUM(C62:D62)</f>
        <v>10000</v>
      </c>
      <c r="C62" s="245">
        <f t="shared" ref="C62:R62" si="15">SUM(C56:C61)</f>
        <v>10000</v>
      </c>
      <c r="D62" s="245">
        <f t="shared" si="15"/>
        <v>0</v>
      </c>
      <c r="E62" s="245">
        <f t="shared" si="15"/>
        <v>10000</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10000</v>
      </c>
      <c r="S62" s="1209"/>
      <c r="T62" s="1209"/>
      <c r="U62" s="1208"/>
    </row>
    <row r="63" spans="1:21" s="105" customFormat="1">
      <c r="A63" s="110" t="s">
        <v>1795</v>
      </c>
      <c r="B63" s="245">
        <f t="shared" ref="B63:R63" si="16">SUM(B8+B11+B13+B14+B15+B26+B27+B38+B42+B43+B54+B62)</f>
        <v>14984250</v>
      </c>
      <c r="C63" s="245">
        <f t="shared" si="16"/>
        <v>14984250</v>
      </c>
      <c r="D63" s="245">
        <f t="shared" si="16"/>
        <v>0</v>
      </c>
      <c r="E63" s="245">
        <f t="shared" si="16"/>
        <v>3274150</v>
      </c>
      <c r="F63" s="245">
        <f t="shared" si="16"/>
        <v>3300000</v>
      </c>
      <c r="G63" s="245">
        <f t="shared" si="16"/>
        <v>8410000</v>
      </c>
      <c r="H63" s="245">
        <f t="shared" si="16"/>
        <v>0</v>
      </c>
      <c r="I63" s="245">
        <f t="shared" si="16"/>
        <v>100</v>
      </c>
      <c r="J63" s="245">
        <f t="shared" si="16"/>
        <v>0</v>
      </c>
      <c r="K63" s="245">
        <f t="shared" si="16"/>
        <v>0</v>
      </c>
      <c r="L63" s="245">
        <f t="shared" si="16"/>
        <v>0</v>
      </c>
      <c r="M63" s="245">
        <f t="shared" si="16"/>
        <v>0</v>
      </c>
      <c r="N63" s="245">
        <f t="shared" si="16"/>
        <v>0</v>
      </c>
      <c r="O63" s="245">
        <f t="shared" si="16"/>
        <v>0</v>
      </c>
      <c r="P63" s="245">
        <f t="shared" si="16"/>
        <v>0</v>
      </c>
      <c r="Q63" s="245">
        <f t="shared" si="16"/>
        <v>0</v>
      </c>
      <c r="R63" s="245">
        <f t="shared" si="16"/>
        <v>14984250</v>
      </c>
      <c r="S63" s="245">
        <f>SUM(S10+S13+S14+S15+S26+S27+S38+S42+S43+S54)</f>
        <v>6238000</v>
      </c>
      <c r="T63" s="245">
        <f>SUM(T11+T13+T14+T15+T26+T27+T38+T42+T43+T54)</f>
        <v>7850000</v>
      </c>
      <c r="U63" s="1208"/>
    </row>
    <row r="64" spans="1:21" s="105" customFormat="1" ht="24">
      <c r="A64" s="104" t="s">
        <v>1796</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1797</v>
      </c>
      <c r="B65" s="245">
        <f>SUM(C65+D65)</f>
        <v>55000</v>
      </c>
      <c r="C65" s="868">
        <v>55000</v>
      </c>
      <c r="D65" s="868"/>
      <c r="E65" s="868">
        <v>55000</v>
      </c>
      <c r="F65" s="868"/>
      <c r="G65" s="868"/>
      <c r="H65" s="868"/>
      <c r="I65" s="868"/>
      <c r="J65" s="868"/>
      <c r="K65" s="868"/>
      <c r="L65" s="868"/>
      <c r="M65" s="868"/>
      <c r="N65" s="868"/>
      <c r="O65" s="868"/>
      <c r="P65" s="868"/>
      <c r="Q65" s="868"/>
      <c r="R65" s="416">
        <f>SUM(E65:Q65)</f>
        <v>55000</v>
      </c>
      <c r="S65" s="868">
        <v>55000</v>
      </c>
      <c r="T65" s="868"/>
      <c r="U65" s="1208"/>
    </row>
    <row r="66" spans="1:21" s="105" customFormat="1" ht="24" customHeight="1">
      <c r="A66" s="195" t="s">
        <v>1798</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1799</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1800</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ht="24">
      <c r="A69" s="1032" t="s">
        <v>1801</v>
      </c>
      <c r="B69" s="245">
        <f>SUM(C69+D69)</f>
        <v>150000</v>
      </c>
      <c r="C69" s="868">
        <v>150000</v>
      </c>
      <c r="D69" s="868"/>
      <c r="E69" s="868">
        <v>150000</v>
      </c>
      <c r="F69" s="868"/>
      <c r="G69" s="868"/>
      <c r="H69" s="868"/>
      <c r="I69" s="868"/>
      <c r="J69" s="868"/>
      <c r="K69" s="868"/>
      <c r="L69" s="868"/>
      <c r="M69" s="868"/>
      <c r="N69" s="868"/>
      <c r="O69" s="868"/>
      <c r="P69" s="868"/>
      <c r="Q69" s="868"/>
      <c r="R69" s="416">
        <f>SUM(E69:Q69)</f>
        <v>150000</v>
      </c>
      <c r="S69" s="868">
        <v>20000</v>
      </c>
      <c r="T69" s="868"/>
      <c r="U69" s="1208"/>
    </row>
    <row r="70" spans="1:21" s="105" customFormat="1">
      <c r="A70" s="106" t="s">
        <v>1802</v>
      </c>
      <c r="B70" s="245">
        <f>SUM(C70:D70)</f>
        <v>205000</v>
      </c>
      <c r="C70" s="245">
        <f>SUM(C65:C69)</f>
        <v>205000</v>
      </c>
      <c r="D70" s="245">
        <f>SUM(D65:D69)</f>
        <v>0</v>
      </c>
      <c r="E70" s="245">
        <f t="shared" ref="E70:T70" si="17">SUM(E65:E69)</f>
        <v>205000</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205000</v>
      </c>
      <c r="S70" s="107">
        <f t="shared" si="17"/>
        <v>75000</v>
      </c>
      <c r="T70" s="107">
        <f t="shared" si="17"/>
        <v>0</v>
      </c>
      <c r="U70" s="1208"/>
    </row>
    <row r="71" spans="1:21" s="105" customFormat="1">
      <c r="A71" s="104" t="s">
        <v>1803</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1804</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1805</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1806</v>
      </c>
      <c r="B74" s="245">
        <f>SUM(C74+D74)</f>
        <v>100000</v>
      </c>
      <c r="C74" s="868">
        <v>100000</v>
      </c>
      <c r="D74" s="868"/>
      <c r="E74" s="868">
        <v>100000</v>
      </c>
      <c r="F74" s="868"/>
      <c r="G74" s="868"/>
      <c r="H74" s="868"/>
      <c r="I74" s="868"/>
      <c r="J74" s="868"/>
      <c r="K74" s="868"/>
      <c r="L74" s="868"/>
      <c r="M74" s="868"/>
      <c r="N74" s="868"/>
      <c r="O74" s="868"/>
      <c r="P74" s="868"/>
      <c r="Q74" s="868"/>
      <c r="R74" s="416">
        <f>SUM(E74:Q74)</f>
        <v>100000</v>
      </c>
      <c r="S74" s="1209"/>
      <c r="T74" s="1209"/>
      <c r="U74" s="1208"/>
    </row>
    <row r="75" spans="1:21" s="105" customFormat="1">
      <c r="A75" s="195" t="s">
        <v>1807</v>
      </c>
      <c r="B75" s="245">
        <f>SUM(C75+D75)</f>
        <v>148000</v>
      </c>
      <c r="C75" s="868">
        <v>148000</v>
      </c>
      <c r="D75" s="868"/>
      <c r="E75" s="868">
        <f>C75</f>
        <v>148000</v>
      </c>
      <c r="F75" s="868"/>
      <c r="G75" s="868"/>
      <c r="H75" s="868"/>
      <c r="I75" s="868"/>
      <c r="J75" s="868"/>
      <c r="K75" s="868"/>
      <c r="L75" s="868"/>
      <c r="M75" s="868"/>
      <c r="N75" s="868"/>
      <c r="O75" s="868"/>
      <c r="P75" s="868"/>
      <c r="Q75" s="868"/>
      <c r="R75" s="416">
        <f>SUM(E75:Q75)</f>
        <v>148000</v>
      </c>
      <c r="S75" s="1209"/>
      <c r="T75" s="1209"/>
      <c r="U75" s="1208"/>
    </row>
    <row r="76" spans="1:21" s="105" customFormat="1">
      <c r="A76" s="1032" t="s">
        <v>1773</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1808</v>
      </c>
      <c r="B77" s="245">
        <f>SUM(C77:D77)</f>
        <v>248000</v>
      </c>
      <c r="C77" s="245">
        <f>SUM(C72:C76)</f>
        <v>248000</v>
      </c>
      <c r="D77" s="245">
        <f>SUM(D72:D76)</f>
        <v>0</v>
      </c>
      <c r="E77" s="245">
        <f t="shared" ref="E77:Q77" si="18">SUM(E72:E76)</f>
        <v>248000</v>
      </c>
      <c r="F77" s="245">
        <f t="shared" si="18"/>
        <v>0</v>
      </c>
      <c r="G77" s="245">
        <f t="shared" si="18"/>
        <v>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248000</v>
      </c>
      <c r="S77" s="1209"/>
      <c r="T77" s="1209"/>
      <c r="U77" s="1208"/>
    </row>
    <row r="78" spans="1:21" s="105" customFormat="1">
      <c r="A78" s="104" t="s">
        <v>1809</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1810</v>
      </c>
      <c r="B79" s="245">
        <f>SUM(C79:D79)</f>
        <v>550000</v>
      </c>
      <c r="C79" s="868">
        <v>550000</v>
      </c>
      <c r="D79" s="868"/>
      <c r="E79" s="868">
        <v>550000</v>
      </c>
      <c r="F79" s="868"/>
      <c r="G79" s="868"/>
      <c r="H79" s="868"/>
      <c r="I79" s="868"/>
      <c r="J79" s="868"/>
      <c r="K79" s="868"/>
      <c r="L79" s="868"/>
      <c r="M79" s="868"/>
      <c r="N79" s="868"/>
      <c r="O79" s="868"/>
      <c r="P79" s="868"/>
      <c r="Q79" s="868"/>
      <c r="R79" s="416">
        <f>SUM(E79:Q79)</f>
        <v>550000</v>
      </c>
      <c r="S79" s="868">
        <v>550000</v>
      </c>
      <c r="T79" s="868"/>
      <c r="U79" s="1208"/>
    </row>
    <row r="80" spans="1:21" s="105" customFormat="1">
      <c r="A80" s="195" t="s">
        <v>1811</v>
      </c>
      <c r="B80" s="245">
        <f>SUM(C80:D80)</f>
        <v>150000</v>
      </c>
      <c r="C80" s="868">
        <v>150000</v>
      </c>
      <c r="D80" s="868"/>
      <c r="E80" s="868">
        <v>150000</v>
      </c>
      <c r="F80" s="868"/>
      <c r="G80" s="868"/>
      <c r="H80" s="868"/>
      <c r="I80" s="868"/>
      <c r="J80" s="868"/>
      <c r="K80" s="868"/>
      <c r="L80" s="868"/>
      <c r="M80" s="868"/>
      <c r="N80" s="868"/>
      <c r="O80" s="868"/>
      <c r="P80" s="868"/>
      <c r="Q80" s="868"/>
      <c r="R80" s="416">
        <f>SUM(E80:Q80)</f>
        <v>150000</v>
      </c>
      <c r="S80" s="868">
        <v>150000</v>
      </c>
      <c r="T80" s="868"/>
      <c r="U80" s="1208"/>
    </row>
    <row r="81" spans="1:21" s="105" customFormat="1">
      <c r="A81" s="106" t="s">
        <v>1812</v>
      </c>
      <c r="B81" s="245">
        <f>SUM(C81:D81)</f>
        <v>700000</v>
      </c>
      <c r="C81" s="1215">
        <f>SUM(C79:C80)</f>
        <v>700000</v>
      </c>
      <c r="D81" s="1215">
        <f t="shared" ref="D81:T81" si="19">SUM(D79:D80)</f>
        <v>0</v>
      </c>
      <c r="E81" s="1215">
        <f t="shared" si="19"/>
        <v>700000</v>
      </c>
      <c r="F81" s="1215">
        <f t="shared" si="19"/>
        <v>0</v>
      </c>
      <c r="G81" s="1215">
        <f t="shared" si="19"/>
        <v>0</v>
      </c>
      <c r="H81" s="1215">
        <f t="shared" si="19"/>
        <v>0</v>
      </c>
      <c r="I81" s="1215">
        <f t="shared" si="19"/>
        <v>0</v>
      </c>
      <c r="J81" s="1215">
        <f t="shared" si="19"/>
        <v>0</v>
      </c>
      <c r="K81" s="1215">
        <f t="shared" si="19"/>
        <v>0</v>
      </c>
      <c r="L81" s="1215">
        <f t="shared" si="19"/>
        <v>0</v>
      </c>
      <c r="M81" s="1215">
        <f t="shared" si="19"/>
        <v>0</v>
      </c>
      <c r="N81" s="1215">
        <f t="shared" si="19"/>
        <v>0</v>
      </c>
      <c r="O81" s="1215">
        <f t="shared" si="19"/>
        <v>0</v>
      </c>
      <c r="P81" s="1215">
        <f t="shared" si="19"/>
        <v>0</v>
      </c>
      <c r="Q81" s="1215">
        <f t="shared" si="19"/>
        <v>0</v>
      </c>
      <c r="R81" s="1215">
        <f t="shared" si="19"/>
        <v>700000</v>
      </c>
      <c r="S81" s="1215">
        <f t="shared" si="19"/>
        <v>700000</v>
      </c>
      <c r="T81" s="1215">
        <f t="shared" si="19"/>
        <v>0</v>
      </c>
      <c r="U81" s="1208"/>
    </row>
    <row r="82" spans="1:21" s="105" customFormat="1">
      <c r="A82" s="104" t="s">
        <v>1813</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1814</v>
      </c>
      <c r="B83" s="245">
        <f t="shared" ref="B83:B95" si="20">SUM(C83+D83)</f>
        <v>24782</v>
      </c>
      <c r="C83" s="868">
        <v>24782</v>
      </c>
      <c r="D83" s="868"/>
      <c r="E83" s="868">
        <f>C83</f>
        <v>24782</v>
      </c>
      <c r="F83" s="868"/>
      <c r="G83" s="868"/>
      <c r="H83" s="868"/>
      <c r="I83" s="868"/>
      <c r="J83" s="868"/>
      <c r="K83" s="868"/>
      <c r="L83" s="868"/>
      <c r="M83" s="868"/>
      <c r="N83" s="868"/>
      <c r="O83" s="868"/>
      <c r="P83" s="868"/>
      <c r="Q83" s="868"/>
      <c r="R83" s="416">
        <f t="shared" ref="R83:R95" si="21">SUM(E83:Q83)</f>
        <v>24782</v>
      </c>
      <c r="S83" s="1209"/>
      <c r="T83" s="1209"/>
      <c r="U83" s="1208"/>
    </row>
    <row r="84" spans="1:21" s="105" customFormat="1">
      <c r="A84" s="195" t="s">
        <v>1815</v>
      </c>
      <c r="B84" s="245">
        <f t="shared" si="20"/>
        <v>15250</v>
      </c>
      <c r="C84" s="868">
        <v>15250</v>
      </c>
      <c r="D84" s="868"/>
      <c r="E84" s="868">
        <v>15250</v>
      </c>
      <c r="F84" s="868"/>
      <c r="G84" s="868"/>
      <c r="H84" s="868"/>
      <c r="I84" s="868"/>
      <c r="J84" s="868"/>
      <c r="K84" s="868"/>
      <c r="L84" s="868"/>
      <c r="M84" s="868"/>
      <c r="N84" s="868"/>
      <c r="O84" s="868"/>
      <c r="P84" s="868"/>
      <c r="Q84" s="868"/>
      <c r="R84" s="416">
        <f t="shared" si="21"/>
        <v>15250</v>
      </c>
      <c r="S84" s="868">
        <v>15250</v>
      </c>
      <c r="T84" s="868"/>
      <c r="U84" s="1208"/>
    </row>
    <row r="85" spans="1:21" s="105" customFormat="1">
      <c r="A85" s="195" t="s">
        <v>1816</v>
      </c>
      <c r="B85" s="245">
        <f t="shared" si="20"/>
        <v>5000</v>
      </c>
      <c r="C85" s="868">
        <v>5000</v>
      </c>
      <c r="D85" s="868"/>
      <c r="E85" s="868">
        <v>5000</v>
      </c>
      <c r="F85" s="868"/>
      <c r="G85" s="868"/>
      <c r="H85" s="868"/>
      <c r="I85" s="868"/>
      <c r="J85" s="868"/>
      <c r="K85" s="868"/>
      <c r="L85" s="868"/>
      <c r="M85" s="868"/>
      <c r="N85" s="868"/>
      <c r="O85" s="868"/>
      <c r="P85" s="868"/>
      <c r="Q85" s="868"/>
      <c r="R85" s="416">
        <f t="shared" si="21"/>
        <v>5000</v>
      </c>
      <c r="S85" s="868">
        <v>5000</v>
      </c>
      <c r="T85" s="868"/>
      <c r="U85" s="1208"/>
    </row>
    <row r="86" spans="1:21" s="105" customFormat="1">
      <c r="A86" s="195" t="s">
        <v>1817</v>
      </c>
      <c r="B86" s="245">
        <f t="shared" si="20"/>
        <v>55000</v>
      </c>
      <c r="C86" s="868">
        <v>55000</v>
      </c>
      <c r="D86" s="868"/>
      <c r="E86" s="868">
        <v>55000</v>
      </c>
      <c r="F86" s="868"/>
      <c r="G86" s="868"/>
      <c r="H86" s="868"/>
      <c r="I86" s="868"/>
      <c r="J86" s="868"/>
      <c r="K86" s="868"/>
      <c r="L86" s="868"/>
      <c r="M86" s="868"/>
      <c r="N86" s="868"/>
      <c r="O86" s="868"/>
      <c r="P86" s="868"/>
      <c r="Q86" s="868"/>
      <c r="R86" s="416">
        <f t="shared" si="21"/>
        <v>55000</v>
      </c>
      <c r="S86" s="868">
        <v>55000</v>
      </c>
      <c r="T86" s="868"/>
      <c r="U86" s="1208"/>
    </row>
    <row r="87" spans="1:21" s="105" customFormat="1">
      <c r="A87" s="195" t="s">
        <v>1818</v>
      </c>
      <c r="B87" s="245">
        <f t="shared" si="20"/>
        <v>0</v>
      </c>
      <c r="C87" s="868"/>
      <c r="D87" s="868"/>
      <c r="E87" s="868"/>
      <c r="F87" s="868"/>
      <c r="G87" s="868"/>
      <c r="H87" s="868"/>
      <c r="I87" s="868"/>
      <c r="J87" s="868"/>
      <c r="K87" s="868"/>
      <c r="L87" s="868"/>
      <c r="M87" s="868"/>
      <c r="N87" s="868"/>
      <c r="O87" s="868"/>
      <c r="P87" s="868"/>
      <c r="Q87" s="868"/>
      <c r="R87" s="416">
        <f t="shared" si="21"/>
        <v>0</v>
      </c>
      <c r="S87" s="868"/>
      <c r="T87" s="868"/>
      <c r="U87" s="1208"/>
    </row>
    <row r="88" spans="1:21" s="105" customFormat="1">
      <c r="A88" s="195" t="s">
        <v>1819</v>
      </c>
      <c r="B88" s="245">
        <f t="shared" si="20"/>
        <v>5000</v>
      </c>
      <c r="C88" s="868">
        <v>5000</v>
      </c>
      <c r="D88" s="868"/>
      <c r="E88" s="868">
        <v>5000</v>
      </c>
      <c r="F88" s="868"/>
      <c r="G88" s="868"/>
      <c r="H88" s="868"/>
      <c r="I88" s="868"/>
      <c r="J88" s="868"/>
      <c r="K88" s="868"/>
      <c r="L88" s="868"/>
      <c r="M88" s="868"/>
      <c r="N88" s="868"/>
      <c r="O88" s="868"/>
      <c r="P88" s="868"/>
      <c r="Q88" s="868"/>
      <c r="R88" s="416">
        <f t="shared" si="21"/>
        <v>5000</v>
      </c>
      <c r="S88" s="1209"/>
      <c r="T88" s="1209"/>
      <c r="U88" s="1208"/>
    </row>
    <row r="89" spans="1:21" s="105" customFormat="1">
      <c r="A89" s="195" t="s">
        <v>1820</v>
      </c>
      <c r="B89" s="245">
        <f t="shared" si="20"/>
        <v>20000</v>
      </c>
      <c r="C89" s="868">
        <v>20000</v>
      </c>
      <c r="D89" s="868"/>
      <c r="E89" s="868">
        <v>20000</v>
      </c>
      <c r="F89" s="868"/>
      <c r="G89" s="868"/>
      <c r="H89" s="868"/>
      <c r="I89" s="868"/>
      <c r="J89" s="868"/>
      <c r="K89" s="868"/>
      <c r="L89" s="868"/>
      <c r="M89" s="868"/>
      <c r="N89" s="868"/>
      <c r="O89" s="868"/>
      <c r="P89" s="868"/>
      <c r="Q89" s="868"/>
      <c r="R89" s="416">
        <f t="shared" si="21"/>
        <v>20000</v>
      </c>
      <c r="S89" s="868">
        <v>20000</v>
      </c>
      <c r="T89" s="868"/>
      <c r="U89" s="1208"/>
    </row>
    <row r="90" spans="1:21" s="105" customFormat="1">
      <c r="A90" s="195" t="s">
        <v>1821</v>
      </c>
      <c r="B90" s="245">
        <f t="shared" si="20"/>
        <v>7500</v>
      </c>
      <c r="C90" s="868">
        <v>7500</v>
      </c>
      <c r="D90" s="868"/>
      <c r="E90" s="868">
        <v>7500</v>
      </c>
      <c r="F90" s="868"/>
      <c r="G90" s="868"/>
      <c r="H90" s="868"/>
      <c r="I90" s="868"/>
      <c r="J90" s="868"/>
      <c r="K90" s="868"/>
      <c r="L90" s="868"/>
      <c r="M90" s="868"/>
      <c r="N90" s="868"/>
      <c r="O90" s="868"/>
      <c r="P90" s="868"/>
      <c r="Q90" s="868"/>
      <c r="R90" s="416">
        <f t="shared" si="21"/>
        <v>7500</v>
      </c>
      <c r="S90" s="868">
        <v>3250</v>
      </c>
      <c r="T90" s="868"/>
      <c r="U90" s="1208"/>
    </row>
    <row r="91" spans="1:21" s="105" customFormat="1">
      <c r="A91" s="195" t="s">
        <v>1822</v>
      </c>
      <c r="B91" s="245">
        <f t="shared" si="20"/>
        <v>0</v>
      </c>
      <c r="C91" s="868"/>
      <c r="D91" s="868"/>
      <c r="E91" s="868"/>
      <c r="F91" s="868"/>
      <c r="G91" s="868"/>
      <c r="H91" s="868"/>
      <c r="I91" s="868"/>
      <c r="J91" s="868"/>
      <c r="K91" s="868"/>
      <c r="L91" s="868"/>
      <c r="M91" s="868"/>
      <c r="N91" s="868"/>
      <c r="O91" s="868"/>
      <c r="P91" s="868"/>
      <c r="Q91" s="868"/>
      <c r="R91" s="416">
        <f t="shared" si="21"/>
        <v>0</v>
      </c>
      <c r="S91" s="868"/>
      <c r="T91" s="868"/>
      <c r="U91" s="1208"/>
    </row>
    <row r="92" spans="1:21" s="105" customFormat="1">
      <c r="A92" s="195" t="s">
        <v>1823</v>
      </c>
      <c r="B92" s="245">
        <f t="shared" si="20"/>
        <v>12000</v>
      </c>
      <c r="C92" s="868">
        <v>12000</v>
      </c>
      <c r="D92" s="868"/>
      <c r="E92" s="868">
        <v>12000</v>
      </c>
      <c r="F92" s="868"/>
      <c r="G92" s="868"/>
      <c r="H92" s="868"/>
      <c r="I92" s="868"/>
      <c r="J92" s="868"/>
      <c r="K92" s="868"/>
      <c r="L92" s="868"/>
      <c r="M92" s="868"/>
      <c r="N92" s="868"/>
      <c r="O92" s="868"/>
      <c r="P92" s="868"/>
      <c r="Q92" s="868"/>
      <c r="R92" s="416">
        <f t="shared" si="21"/>
        <v>12000</v>
      </c>
      <c r="S92" s="868">
        <v>6000</v>
      </c>
      <c r="T92" s="868"/>
      <c r="U92" s="1208"/>
    </row>
    <row r="93" spans="1:21" s="105" customFormat="1">
      <c r="A93" s="1032" t="s">
        <v>1824</v>
      </c>
      <c r="B93" s="245">
        <f t="shared" si="20"/>
        <v>1500</v>
      </c>
      <c r="C93" s="868">
        <v>1500</v>
      </c>
      <c r="D93" s="868"/>
      <c r="E93" s="868">
        <v>1500</v>
      </c>
      <c r="F93" s="868"/>
      <c r="G93" s="868"/>
      <c r="H93" s="868"/>
      <c r="I93" s="868"/>
      <c r="J93" s="868"/>
      <c r="K93" s="868"/>
      <c r="L93" s="868"/>
      <c r="M93" s="868"/>
      <c r="N93" s="868"/>
      <c r="O93" s="868"/>
      <c r="P93" s="868"/>
      <c r="Q93" s="868"/>
      <c r="R93" s="416">
        <f t="shared" si="21"/>
        <v>1500</v>
      </c>
      <c r="S93" s="868"/>
      <c r="T93" s="868"/>
      <c r="U93" s="1208"/>
    </row>
    <row r="94" spans="1:21" s="105" customFormat="1">
      <c r="A94" s="1032" t="s">
        <v>1825</v>
      </c>
      <c r="B94" s="245">
        <f t="shared" si="20"/>
        <v>15000</v>
      </c>
      <c r="C94" s="868">
        <v>15000</v>
      </c>
      <c r="D94" s="868"/>
      <c r="E94" s="868">
        <v>15000</v>
      </c>
      <c r="F94" s="868"/>
      <c r="G94" s="868"/>
      <c r="H94" s="868"/>
      <c r="I94" s="868"/>
      <c r="J94" s="868"/>
      <c r="K94" s="868"/>
      <c r="L94" s="868"/>
      <c r="M94" s="868"/>
      <c r="N94" s="868"/>
      <c r="O94" s="868"/>
      <c r="P94" s="868"/>
      <c r="Q94" s="868"/>
      <c r="R94" s="416">
        <f t="shared" si="21"/>
        <v>15000</v>
      </c>
      <c r="S94" s="868">
        <v>15000</v>
      </c>
      <c r="T94" s="868"/>
      <c r="U94" s="1208"/>
    </row>
    <row r="95" spans="1:21" s="105" customFormat="1">
      <c r="A95" s="1032" t="s">
        <v>1826</v>
      </c>
      <c r="B95" s="245">
        <f t="shared" si="20"/>
        <v>15000</v>
      </c>
      <c r="C95" s="868">
        <v>15000</v>
      </c>
      <c r="D95" s="868"/>
      <c r="E95" s="868">
        <v>15000</v>
      </c>
      <c r="F95" s="868"/>
      <c r="G95" s="868"/>
      <c r="H95" s="868"/>
      <c r="I95" s="868"/>
      <c r="J95" s="868"/>
      <c r="K95" s="868"/>
      <c r="L95" s="868"/>
      <c r="M95" s="868"/>
      <c r="N95" s="868"/>
      <c r="O95" s="868"/>
      <c r="P95" s="868"/>
      <c r="Q95" s="868"/>
      <c r="R95" s="416">
        <f t="shared" si="21"/>
        <v>15000</v>
      </c>
      <c r="S95" s="868"/>
      <c r="T95" s="868"/>
      <c r="U95" s="1208"/>
    </row>
    <row r="96" spans="1:21" s="105" customFormat="1">
      <c r="A96" s="106" t="s">
        <v>1827</v>
      </c>
      <c r="B96" s="245">
        <f>SUM(C96:D96)</f>
        <v>176032</v>
      </c>
      <c r="C96" s="245">
        <f t="shared" ref="C96:R96" si="22">SUM(C83:C95)</f>
        <v>176032</v>
      </c>
      <c r="D96" s="245">
        <f t="shared" si="22"/>
        <v>0</v>
      </c>
      <c r="E96" s="245">
        <f t="shared" si="22"/>
        <v>176032</v>
      </c>
      <c r="F96" s="245">
        <f t="shared" si="22"/>
        <v>0</v>
      </c>
      <c r="G96" s="245">
        <f t="shared" si="22"/>
        <v>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176032</v>
      </c>
      <c r="S96" s="107">
        <f>SUM(S84:S87,S89:S95)</f>
        <v>119500</v>
      </c>
      <c r="T96" s="245">
        <f>SUM(T84:T87,T89:T95)</f>
        <v>0</v>
      </c>
      <c r="U96" s="1208"/>
    </row>
    <row r="97" spans="1:21" s="105" customFormat="1">
      <c r="A97" s="106" t="s">
        <v>1828</v>
      </c>
      <c r="B97" s="245">
        <f>SUM(C97:D97)</f>
        <v>16313282</v>
      </c>
      <c r="C97" s="245">
        <f t="shared" ref="C97:R97" si="23">SUM(C63+C70+C77+C81+C96)</f>
        <v>16313282</v>
      </c>
      <c r="D97" s="245">
        <f t="shared" si="23"/>
        <v>0</v>
      </c>
      <c r="E97" s="245">
        <f t="shared" si="23"/>
        <v>4603182</v>
      </c>
      <c r="F97" s="245">
        <f t="shared" si="23"/>
        <v>3300000</v>
      </c>
      <c r="G97" s="245">
        <f t="shared" si="23"/>
        <v>8410000</v>
      </c>
      <c r="H97" s="245">
        <f t="shared" si="23"/>
        <v>0</v>
      </c>
      <c r="I97" s="245">
        <f t="shared" si="23"/>
        <v>100</v>
      </c>
      <c r="J97" s="245">
        <f t="shared" si="23"/>
        <v>0</v>
      </c>
      <c r="K97" s="245">
        <f t="shared" si="23"/>
        <v>0</v>
      </c>
      <c r="L97" s="245">
        <f t="shared" si="23"/>
        <v>0</v>
      </c>
      <c r="M97" s="245">
        <f t="shared" si="23"/>
        <v>0</v>
      </c>
      <c r="N97" s="245">
        <f t="shared" si="23"/>
        <v>0</v>
      </c>
      <c r="O97" s="245">
        <f t="shared" si="23"/>
        <v>0</v>
      </c>
      <c r="P97" s="245">
        <f t="shared" si="23"/>
        <v>0</v>
      </c>
      <c r="Q97" s="245">
        <f t="shared" si="23"/>
        <v>0</v>
      </c>
      <c r="R97" s="245">
        <f t="shared" si="23"/>
        <v>16313282</v>
      </c>
      <c r="S97" s="245">
        <f>SUM(S63+S70+S81+S96)</f>
        <v>7132500</v>
      </c>
      <c r="T97" s="245">
        <f>SUM(T63+T70+T81+T96)</f>
        <v>7850000</v>
      </c>
      <c r="U97" s="1208"/>
    </row>
    <row r="98" spans="1:21" s="105" customFormat="1">
      <c r="A98" s="104" t="s">
        <v>1829</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1830</v>
      </c>
      <c r="B99" s="245">
        <f>SUM(C99+D99)</f>
        <v>2247375</v>
      </c>
      <c r="C99" s="868">
        <v>2247375</v>
      </c>
      <c r="D99" s="868"/>
      <c r="E99" s="868">
        <f>C99-H99</f>
        <v>1486402</v>
      </c>
      <c r="F99" s="868"/>
      <c r="G99" s="868"/>
      <c r="H99" s="868">
        <v>760973</v>
      </c>
      <c r="I99" s="868"/>
      <c r="J99" s="868"/>
      <c r="K99" s="868"/>
      <c r="L99" s="868"/>
      <c r="M99" s="868"/>
      <c r="N99" s="868"/>
      <c r="O99" s="868"/>
      <c r="P99" s="868"/>
      <c r="Q99" s="868"/>
      <c r="R99" s="416">
        <f>SUM(E99:Q99)</f>
        <v>2247375</v>
      </c>
      <c r="S99" s="868">
        <v>1069875</v>
      </c>
      <c r="T99" s="868">
        <v>1177500</v>
      </c>
      <c r="U99" s="1208"/>
    </row>
    <row r="100" spans="1:21" s="105" customFormat="1">
      <c r="A100" s="195" t="s">
        <v>1831</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1832</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1833</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1773</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1834</v>
      </c>
      <c r="B104" s="245">
        <f>SUM(C104:D104)</f>
        <v>2247375</v>
      </c>
      <c r="C104" s="245">
        <f>SUM(C99:C103)</f>
        <v>2247375</v>
      </c>
      <c r="D104" s="245">
        <f t="shared" ref="D104:T104" si="24">SUM(D99:D103)</f>
        <v>0</v>
      </c>
      <c r="E104" s="245">
        <f t="shared" si="24"/>
        <v>1486402</v>
      </c>
      <c r="F104" s="245">
        <f t="shared" si="24"/>
        <v>0</v>
      </c>
      <c r="G104" s="245">
        <f t="shared" si="24"/>
        <v>0</v>
      </c>
      <c r="H104" s="245">
        <f t="shared" si="24"/>
        <v>760973</v>
      </c>
      <c r="I104" s="245">
        <f t="shared" si="24"/>
        <v>0</v>
      </c>
      <c r="J104" s="245">
        <f t="shared" si="24"/>
        <v>0</v>
      </c>
      <c r="K104" s="245">
        <f t="shared" si="24"/>
        <v>0</v>
      </c>
      <c r="L104" s="245">
        <f t="shared" si="24"/>
        <v>0</v>
      </c>
      <c r="M104" s="245">
        <f t="shared" si="24"/>
        <v>0</v>
      </c>
      <c r="N104" s="245">
        <f t="shared" si="24"/>
        <v>0</v>
      </c>
      <c r="O104" s="245">
        <f t="shared" si="24"/>
        <v>0</v>
      </c>
      <c r="P104" s="245">
        <f t="shared" si="24"/>
        <v>0</v>
      </c>
      <c r="Q104" s="245">
        <f t="shared" si="24"/>
        <v>0</v>
      </c>
      <c r="R104" s="245">
        <f t="shared" si="24"/>
        <v>2247375</v>
      </c>
      <c r="S104" s="107">
        <f t="shared" si="24"/>
        <v>1069875</v>
      </c>
      <c r="T104" s="107">
        <f t="shared" si="24"/>
        <v>1177500</v>
      </c>
      <c r="U104" s="1208"/>
    </row>
    <row r="105" spans="1:21" s="105" customFormat="1">
      <c r="A105" s="106" t="s">
        <v>1835</v>
      </c>
      <c r="B105" s="107">
        <f>SUM(C105:D105)</f>
        <v>18560657</v>
      </c>
      <c r="C105" s="107">
        <f t="shared" ref="C105:R105" si="25">SUM(C97+C104)</f>
        <v>18560657</v>
      </c>
      <c r="D105" s="107">
        <f t="shared" si="25"/>
        <v>0</v>
      </c>
      <c r="E105" s="107">
        <f t="shared" si="25"/>
        <v>6089584</v>
      </c>
      <c r="F105" s="107">
        <f t="shared" si="25"/>
        <v>3300000</v>
      </c>
      <c r="G105" s="107">
        <f t="shared" si="25"/>
        <v>8410000</v>
      </c>
      <c r="H105" s="107">
        <f t="shared" si="25"/>
        <v>760973</v>
      </c>
      <c r="I105" s="107">
        <f t="shared" si="25"/>
        <v>100</v>
      </c>
      <c r="J105" s="107">
        <f t="shared" si="25"/>
        <v>0</v>
      </c>
      <c r="K105" s="107">
        <f t="shared" si="25"/>
        <v>0</v>
      </c>
      <c r="L105" s="107">
        <f t="shared" si="25"/>
        <v>0</v>
      </c>
      <c r="M105" s="107">
        <f t="shared" si="25"/>
        <v>0</v>
      </c>
      <c r="N105" s="107">
        <f t="shared" si="25"/>
        <v>0</v>
      </c>
      <c r="O105" s="107">
        <f t="shared" si="25"/>
        <v>0</v>
      </c>
      <c r="P105" s="107">
        <f t="shared" si="25"/>
        <v>0</v>
      </c>
      <c r="Q105" s="107">
        <f t="shared" si="25"/>
        <v>0</v>
      </c>
      <c r="R105" s="245">
        <f t="shared" si="25"/>
        <v>18560657</v>
      </c>
      <c r="S105" s="107">
        <f>S97+S104</f>
        <v>8202375</v>
      </c>
      <c r="T105" s="107">
        <f>T97+T104</f>
        <v>9027500</v>
      </c>
      <c r="U105" s="1208"/>
    </row>
    <row r="106" spans="1:21">
      <c r="A106" s="414" t="s">
        <v>1836</v>
      </c>
      <c r="B106" s="1216"/>
      <c r="C106" s="1216"/>
      <c r="D106" s="1216"/>
      <c r="E106" s="229"/>
      <c r="F106" s="229"/>
      <c r="G106" s="229"/>
      <c r="H106" s="230" t="s">
        <v>1837</v>
      </c>
      <c r="I106" s="230"/>
      <c r="J106" s="230"/>
      <c r="K106" s="229"/>
      <c r="L106" s="229"/>
      <c r="M106" s="229"/>
      <c r="N106" s="229"/>
      <c r="O106" s="229"/>
      <c r="P106" s="229"/>
      <c r="Q106" s="229"/>
      <c r="R106" s="113" t="s">
        <v>1838</v>
      </c>
      <c r="S106" s="868"/>
      <c r="T106" s="868"/>
      <c r="U106" s="231"/>
    </row>
    <row r="107" spans="1:21">
      <c r="A107" s="1216" t="s">
        <v>1839</v>
      </c>
      <c r="B107" s="229"/>
      <c r="C107" s="1216"/>
      <c r="D107" s="1216"/>
      <c r="E107" s="229"/>
      <c r="F107" s="229"/>
      <c r="G107" s="229"/>
      <c r="H107" s="229"/>
      <c r="I107" s="115" t="s">
        <v>1840</v>
      </c>
      <c r="J107" s="115"/>
      <c r="K107" s="229"/>
      <c r="L107" s="229"/>
      <c r="M107" s="229"/>
      <c r="N107" s="229"/>
      <c r="O107" s="229"/>
      <c r="P107" s="229"/>
      <c r="Q107" s="229"/>
      <c r="R107" s="113" t="s">
        <v>1841</v>
      </c>
      <c r="S107" s="107">
        <f>S105+S106</f>
        <v>8202375</v>
      </c>
      <c r="T107" s="107">
        <f>T105+T106</f>
        <v>9027500</v>
      </c>
      <c r="U107" s="231"/>
    </row>
    <row r="108" spans="1:21" s="129" customFormat="1">
      <c r="A108" s="115" t="s">
        <v>1842</v>
      </c>
      <c r="B108" s="1216"/>
      <c r="C108" s="1216"/>
      <c r="D108" s="1216"/>
      <c r="E108" s="1217">
        <f>Application!AO648</f>
        <v>6089584</v>
      </c>
      <c r="F108" s="1217">
        <f>Application!AO635</f>
        <v>3300000</v>
      </c>
      <c r="G108" s="1217">
        <f>Application!AO636</f>
        <v>8410000</v>
      </c>
      <c r="H108" s="1217">
        <f>Application!AO637</f>
        <v>760973</v>
      </c>
      <c r="I108" s="1217">
        <f>Application!AO638</f>
        <v>100</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1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1843</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1844</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1845</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1846</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1847</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1848</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1849</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1850</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1851</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1852</v>
      </c>
      <c r="B122" s="229"/>
      <c r="C122" s="229"/>
      <c r="D122" s="1803" t="s">
        <v>1853</v>
      </c>
      <c r="E122" s="1803"/>
      <c r="F122" s="1803"/>
      <c r="G122" s="229"/>
      <c r="H122" s="229"/>
      <c r="I122" s="229"/>
      <c r="J122" s="229"/>
      <c r="K122" s="229"/>
      <c r="L122" s="229"/>
      <c r="M122" s="229"/>
      <c r="N122" s="229"/>
      <c r="O122" s="229"/>
      <c r="P122" s="229"/>
      <c r="Q122" s="229"/>
      <c r="R122" s="229"/>
      <c r="S122" s="229"/>
      <c r="T122" s="229"/>
      <c r="U122" s="231"/>
    </row>
    <row r="123" spans="1:21">
      <c r="A123" s="229" t="s">
        <v>1854</v>
      </c>
      <c r="B123" s="238"/>
      <c r="C123" s="229"/>
      <c r="D123" s="1805" t="s">
        <v>1855</v>
      </c>
      <c r="E123" s="1734"/>
      <c r="F123" s="1734"/>
      <c r="G123" s="1734"/>
      <c r="H123" s="1734"/>
      <c r="I123" s="1734"/>
      <c r="J123" s="1734"/>
      <c r="K123" s="1734"/>
      <c r="L123" s="1734"/>
      <c r="M123" s="1734"/>
      <c r="N123" s="1734"/>
      <c r="O123" s="1734"/>
      <c r="P123" s="1734"/>
      <c r="Q123" s="1734"/>
      <c r="R123" s="1734"/>
      <c r="S123" s="1734"/>
      <c r="T123" s="229"/>
      <c r="U123" s="231"/>
    </row>
    <row r="124" spans="1:21" ht="12.75">
      <c r="A124" s="357" t="s">
        <v>1856</v>
      </c>
      <c r="B124" s="238"/>
      <c r="C124" s="357"/>
      <c r="D124" s="1734"/>
      <c r="E124" s="1734"/>
      <c r="F124" s="1734"/>
      <c r="G124" s="1734"/>
      <c r="H124" s="1734"/>
      <c r="I124" s="1734"/>
      <c r="J124" s="1734"/>
      <c r="K124" s="1734"/>
      <c r="L124" s="1734"/>
      <c r="M124" s="1734"/>
      <c r="N124" s="1734"/>
      <c r="O124" s="1734"/>
      <c r="P124" s="1734"/>
      <c r="Q124" s="1734"/>
      <c r="R124" s="1734"/>
      <c r="S124" s="1734"/>
      <c r="T124" s="229"/>
      <c r="U124" s="231"/>
    </row>
    <row r="125" spans="1:21" ht="12.75">
      <c r="A125" s="357" t="s">
        <v>1857</v>
      </c>
      <c r="B125" s="238"/>
      <c r="C125" s="357"/>
      <c r="D125" s="1734"/>
      <c r="E125" s="1734"/>
      <c r="F125" s="1734"/>
      <c r="G125" s="1734"/>
      <c r="H125" s="1734"/>
      <c r="I125" s="1734"/>
      <c r="J125" s="1734"/>
      <c r="K125" s="1734"/>
      <c r="L125" s="1734"/>
      <c r="M125" s="1734"/>
      <c r="N125" s="1734"/>
      <c r="O125" s="1734"/>
      <c r="P125" s="1734"/>
      <c r="Q125" s="1734"/>
      <c r="R125" s="1734"/>
      <c r="S125" s="1734"/>
      <c r="T125" s="229"/>
      <c r="U125" s="231"/>
    </row>
    <row r="126" spans="1:21" ht="12.75">
      <c r="A126" s="357" t="s">
        <v>1858</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1859</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1860</v>
      </c>
      <c r="B128" s="238"/>
      <c r="C128" s="357"/>
      <c r="D128" s="1800"/>
      <c r="E128" s="1800"/>
      <c r="F128" s="1800"/>
      <c r="G128" s="1800"/>
      <c r="H128" s="1800"/>
      <c r="I128" s="357"/>
      <c r="J128" s="1801"/>
      <c r="K128" s="1801"/>
      <c r="L128" s="357"/>
      <c r="M128" s="357"/>
      <c r="N128" s="357"/>
      <c r="O128" s="357"/>
      <c r="P128" s="357"/>
      <c r="Q128" s="357"/>
      <c r="R128" s="357"/>
      <c r="S128" s="357"/>
      <c r="T128" s="229"/>
      <c r="U128" s="231"/>
    </row>
    <row r="129" spans="1:21" ht="12.75">
      <c r="A129" s="357" t="s">
        <v>1068</v>
      </c>
      <c r="B129" s="238"/>
      <c r="C129" s="357"/>
      <c r="D129" s="1802" t="s">
        <v>1861</v>
      </c>
      <c r="E129" s="1802"/>
      <c r="F129" s="1802"/>
      <c r="G129" s="1802"/>
      <c r="H129" s="1802"/>
      <c r="I129" s="357"/>
      <c r="J129" s="357" t="s">
        <v>1862</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1863</v>
      </c>
      <c r="B131" s="239">
        <f>SUM(B123:B129)</f>
        <v>0</v>
      </c>
      <c r="C131" s="357"/>
      <c r="D131" s="1761"/>
      <c r="E131" s="1761"/>
      <c r="F131" s="1761"/>
      <c r="G131" s="1761"/>
      <c r="H131" s="1761"/>
      <c r="I131" s="357"/>
      <c r="J131" s="1761"/>
      <c r="K131" s="1761"/>
      <c r="L131" s="1761"/>
      <c r="M131" s="1761"/>
      <c r="N131" s="357"/>
      <c r="O131" s="357"/>
      <c r="P131" s="357"/>
      <c r="Q131" s="357"/>
      <c r="R131" s="357"/>
      <c r="S131" s="357"/>
      <c r="T131" s="229"/>
      <c r="U131" s="231"/>
    </row>
    <row r="132" spans="1:21" ht="12" customHeight="1">
      <c r="A132" s="1219"/>
      <c r="B132" s="357"/>
      <c r="C132" s="357"/>
      <c r="D132" s="1263" t="s">
        <v>1864</v>
      </c>
      <c r="E132" s="1263"/>
      <c r="F132" s="1263"/>
      <c r="G132" s="1263"/>
      <c r="H132" s="1263"/>
      <c r="I132" s="357"/>
      <c r="J132" s="1263" t="s">
        <v>1865</v>
      </c>
      <c r="K132" s="1263"/>
      <c r="L132" s="1263"/>
      <c r="M132" s="1263"/>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1866</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1867</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6"/>
      <c r="B138" s="1800"/>
      <c r="C138" s="1800"/>
      <c r="D138" s="233"/>
      <c r="E138" s="1801"/>
      <c r="F138" s="1801"/>
      <c r="G138" s="357"/>
      <c r="H138" s="357"/>
      <c r="I138" s="357"/>
      <c r="J138" s="357"/>
      <c r="K138" s="357"/>
      <c r="L138" s="357"/>
      <c r="M138" s="357"/>
      <c r="N138" s="357"/>
      <c r="O138" s="357"/>
      <c r="P138" s="357"/>
      <c r="Q138" s="357"/>
      <c r="R138" s="357"/>
      <c r="S138" s="357"/>
      <c r="T138" s="235"/>
      <c r="U138" s="236"/>
    </row>
    <row r="139" spans="1:21" ht="12.75">
      <c r="A139" s="1804" t="s">
        <v>1868</v>
      </c>
      <c r="B139" s="1804"/>
      <c r="C139" s="1804"/>
      <c r="D139" s="233"/>
      <c r="E139" s="357" t="s">
        <v>1862</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9" t="s">
        <v>1869</v>
      </c>
      <c r="B1" s="1810"/>
      <c r="C1" s="1810"/>
      <c r="D1" s="1810"/>
      <c r="E1" s="1810"/>
      <c r="F1" s="1810"/>
      <c r="G1" s="1810"/>
      <c r="H1" s="1810"/>
      <c r="I1" s="1810"/>
      <c r="J1" s="1811"/>
      <c r="K1" s="258"/>
    </row>
    <row r="2" spans="1:11" s="304" customFormat="1" ht="72">
      <c r="A2" s="301"/>
      <c r="B2" s="302" t="s">
        <v>1870</v>
      </c>
      <c r="C2" s="302" t="s">
        <v>1871</v>
      </c>
      <c r="D2" s="302" t="s">
        <v>1872</v>
      </c>
      <c r="E2" s="302" t="s">
        <v>1873</v>
      </c>
      <c r="F2" s="302" t="s">
        <v>1874</v>
      </c>
      <c r="G2" s="302" t="s">
        <v>1875</v>
      </c>
      <c r="H2" s="302" t="s">
        <v>1876</v>
      </c>
      <c r="I2" s="302" t="s">
        <v>1877</v>
      </c>
      <c r="J2" s="302" t="s">
        <v>1878</v>
      </c>
      <c r="K2" s="303"/>
    </row>
    <row r="3" spans="1:11" s="263" customFormat="1">
      <c r="A3" s="260" t="s">
        <v>1752</v>
      </c>
      <c r="B3" s="261"/>
      <c r="C3" s="261"/>
      <c r="D3" s="261"/>
      <c r="E3" s="261"/>
      <c r="F3" s="261"/>
      <c r="G3" s="261"/>
      <c r="H3" s="261"/>
      <c r="I3" s="261"/>
      <c r="J3" s="261"/>
      <c r="K3" s="262"/>
    </row>
    <row r="4" spans="1:11" s="263" customFormat="1">
      <c r="A4" s="267" t="s">
        <v>1753</v>
      </c>
      <c r="B4" s="264">
        <f>'Sources and Uses Budget'!C4</f>
        <v>560000</v>
      </c>
      <c r="C4" s="265"/>
      <c r="D4" s="265"/>
      <c r="E4" s="266"/>
      <c r="F4" s="266"/>
      <c r="G4" s="266"/>
      <c r="H4" s="266"/>
      <c r="I4" s="266"/>
      <c r="J4" s="266"/>
      <c r="K4" s="262"/>
    </row>
    <row r="5" spans="1:11" s="263" customFormat="1">
      <c r="A5" s="267" t="s">
        <v>696</v>
      </c>
      <c r="B5" s="264">
        <f>'Sources and Uses Budget'!C5</f>
        <v>0</v>
      </c>
      <c r="C5" s="265"/>
      <c r="D5" s="265"/>
      <c r="E5" s="266"/>
      <c r="F5" s="266"/>
      <c r="G5" s="266"/>
      <c r="H5" s="266"/>
      <c r="I5" s="266"/>
      <c r="J5" s="266"/>
      <c r="K5" s="262"/>
    </row>
    <row r="6" spans="1:11" s="263" customFormat="1">
      <c r="A6" s="267" t="s">
        <v>1754</v>
      </c>
      <c r="B6" s="264">
        <f>'Sources and Uses Budget'!C6</f>
        <v>0</v>
      </c>
      <c r="C6" s="265"/>
      <c r="D6" s="265"/>
      <c r="E6" s="266"/>
      <c r="F6" s="266"/>
      <c r="G6" s="266"/>
      <c r="H6" s="266"/>
      <c r="I6" s="266"/>
      <c r="J6" s="266"/>
      <c r="K6" s="262"/>
    </row>
    <row r="7" spans="1:11" s="263" customFormat="1">
      <c r="A7" s="267" t="s">
        <v>1755</v>
      </c>
      <c r="B7" s="264">
        <f>'Sources and Uses Budget'!C7</f>
        <v>0</v>
      </c>
      <c r="C7" s="265"/>
      <c r="D7" s="265"/>
      <c r="E7" s="266"/>
      <c r="F7" s="266"/>
      <c r="G7" s="266"/>
      <c r="H7" s="266"/>
      <c r="I7" s="266"/>
      <c r="J7" s="266"/>
      <c r="K7" s="262"/>
    </row>
    <row r="8" spans="1:11" s="263" customFormat="1">
      <c r="A8" s="268" t="s">
        <v>1756</v>
      </c>
      <c r="B8" s="264">
        <f>'Sources and Uses Budget'!C8</f>
        <v>560000</v>
      </c>
      <c r="C8" s="264">
        <f>SUM(C4:C7)</f>
        <v>0</v>
      </c>
      <c r="D8" s="264">
        <f>SUM(D4:D7)</f>
        <v>0</v>
      </c>
      <c r="E8" s="266"/>
      <c r="F8" s="266"/>
      <c r="G8" s="266"/>
      <c r="H8" s="266"/>
      <c r="I8" s="266"/>
      <c r="J8" s="266"/>
      <c r="K8" s="262"/>
    </row>
    <row r="9" spans="1:11" s="263" customFormat="1">
      <c r="A9" s="267" t="s">
        <v>1757</v>
      </c>
      <c r="B9" s="264">
        <f>'Sources and Uses Budget'!C9</f>
        <v>7850000</v>
      </c>
      <c r="C9" s="265"/>
      <c r="D9" s="265"/>
      <c r="E9" s="266"/>
      <c r="F9" s="266"/>
      <c r="G9" s="266"/>
      <c r="H9" s="264">
        <f>'Sources and Uses Budget'!T9</f>
        <v>7850000</v>
      </c>
      <c r="I9" s="265"/>
      <c r="J9" s="265"/>
      <c r="K9" s="262"/>
    </row>
    <row r="10" spans="1:11" s="263" customFormat="1">
      <c r="A10" s="267" t="s">
        <v>1758</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1759</v>
      </c>
      <c r="B11" s="264">
        <f>'Sources and Uses Budget'!C11</f>
        <v>7850000</v>
      </c>
      <c r="C11" s="264">
        <f>SUM(C9:C10)</f>
        <v>0</v>
      </c>
      <c r="D11" s="264">
        <f>SUM(D9:D10)</f>
        <v>0</v>
      </c>
      <c r="E11" s="266"/>
      <c r="F11" s="266"/>
      <c r="G11" s="266"/>
      <c r="H11" s="264">
        <f>'Sources and Uses Budget'!T11</f>
        <v>7850000</v>
      </c>
      <c r="I11" s="264">
        <f>SUM(I9:I10)</f>
        <v>0</v>
      </c>
      <c r="J11" s="264">
        <f>SUM(J9:J10)</f>
        <v>0</v>
      </c>
      <c r="K11" s="262"/>
    </row>
    <row r="12" spans="1:11" s="263" customFormat="1">
      <c r="A12" s="268" t="s">
        <v>1760</v>
      </c>
      <c r="B12" s="264">
        <f>'Sources and Uses Budget'!C12</f>
        <v>8410000</v>
      </c>
      <c r="C12" s="264">
        <f>SUM(C8+C11)</f>
        <v>0</v>
      </c>
      <c r="D12" s="264">
        <f>SUM(D8+D11)</f>
        <v>0</v>
      </c>
      <c r="E12" s="266"/>
      <c r="F12" s="266"/>
      <c r="G12" s="266"/>
      <c r="H12" s="266"/>
      <c r="I12" s="266"/>
      <c r="J12" s="266"/>
      <c r="K12" s="262"/>
    </row>
    <row r="13" spans="1:11" s="263" customFormat="1">
      <c r="A13" s="269" t="s">
        <v>1761</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1879</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1763</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1764</v>
      </c>
      <c r="B16" s="261"/>
      <c r="C16" s="261"/>
      <c r="D16" s="261"/>
      <c r="E16" s="261"/>
      <c r="F16" s="261"/>
      <c r="G16" s="261"/>
      <c r="H16" s="261"/>
      <c r="I16" s="261"/>
      <c r="J16" s="261"/>
      <c r="K16" s="262"/>
    </row>
    <row r="17" spans="1:11" s="263" customFormat="1">
      <c r="A17" s="267" t="s">
        <v>1765</v>
      </c>
      <c r="B17" s="264">
        <f>'Sources and Uses Budget'!C17</f>
        <v>350000</v>
      </c>
      <c r="C17" s="265"/>
      <c r="D17" s="265"/>
      <c r="E17" s="264">
        <f>'Sources and Uses Budget'!S17</f>
        <v>350000</v>
      </c>
      <c r="F17" s="265"/>
      <c r="G17" s="265"/>
      <c r="H17" s="264">
        <f>'Sources and Uses Budget'!T17</f>
        <v>0</v>
      </c>
      <c r="I17" s="265"/>
      <c r="J17" s="265"/>
      <c r="K17" s="262"/>
    </row>
    <row r="18" spans="1:11" s="263" customFormat="1">
      <c r="A18" s="267" t="s">
        <v>1766</v>
      </c>
      <c r="B18" s="264">
        <f>'Sources and Uses Budget'!C18</f>
        <v>4470000</v>
      </c>
      <c r="C18" s="265"/>
      <c r="D18" s="265"/>
      <c r="E18" s="264">
        <f>'Sources and Uses Budget'!S18</f>
        <v>4470000</v>
      </c>
      <c r="F18" s="265"/>
      <c r="G18" s="265"/>
      <c r="H18" s="264">
        <f>'Sources and Uses Budget'!T18</f>
        <v>0</v>
      </c>
      <c r="I18" s="265"/>
      <c r="J18" s="265"/>
      <c r="K18" s="262"/>
    </row>
    <row r="19" spans="1:11" s="263" customFormat="1">
      <c r="A19" s="267" t="s">
        <v>1767</v>
      </c>
      <c r="B19" s="264">
        <f>'Sources and Uses Budget'!C19</f>
        <v>270000</v>
      </c>
      <c r="C19" s="265"/>
      <c r="D19" s="265"/>
      <c r="E19" s="264">
        <f>'Sources and Uses Budget'!S19</f>
        <v>270000</v>
      </c>
      <c r="F19" s="265"/>
      <c r="G19" s="265"/>
      <c r="H19" s="264">
        <f>'Sources and Uses Budget'!T19</f>
        <v>0</v>
      </c>
      <c r="I19" s="265"/>
      <c r="J19" s="265"/>
      <c r="K19" s="262"/>
    </row>
    <row r="20" spans="1:11" s="263" customFormat="1">
      <c r="A20" s="267" t="s">
        <v>1768</v>
      </c>
      <c r="B20" s="264">
        <f>'Sources and Uses Budget'!C20</f>
        <v>180000</v>
      </c>
      <c r="C20" s="265"/>
      <c r="D20" s="265"/>
      <c r="E20" s="264">
        <f>'Sources and Uses Budget'!S20</f>
        <v>180000</v>
      </c>
      <c r="F20" s="265"/>
      <c r="G20" s="265"/>
      <c r="H20" s="264">
        <f>'Sources and Uses Budget'!T20</f>
        <v>0</v>
      </c>
      <c r="I20" s="265"/>
      <c r="J20" s="265"/>
      <c r="K20" s="262"/>
    </row>
    <row r="21" spans="1:11" s="263" customFormat="1">
      <c r="A21" s="267" t="s">
        <v>1769</v>
      </c>
      <c r="B21" s="264">
        <f>'Sources and Uses Budget'!C21</f>
        <v>180000</v>
      </c>
      <c r="C21" s="265"/>
      <c r="D21" s="265"/>
      <c r="E21" s="264">
        <f>'Sources and Uses Budget'!S21</f>
        <v>180000</v>
      </c>
      <c r="F21" s="265"/>
      <c r="G21" s="265"/>
      <c r="H21" s="264">
        <f>'Sources and Uses Budget'!T21</f>
        <v>0</v>
      </c>
      <c r="I21" s="265"/>
      <c r="J21" s="265"/>
      <c r="K21" s="262"/>
    </row>
    <row r="22" spans="1:11" s="263" customFormat="1">
      <c r="A22" s="267" t="s">
        <v>1770</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1771</v>
      </c>
      <c r="B23" s="264">
        <f>'Sources and Uses Budget'!C23</f>
        <v>50000</v>
      </c>
      <c r="C23" s="265"/>
      <c r="D23" s="265"/>
      <c r="E23" s="264">
        <f>'Sources and Uses Budget'!S23</f>
        <v>50000</v>
      </c>
      <c r="F23" s="265"/>
      <c r="G23" s="265"/>
      <c r="H23" s="264">
        <f>'Sources and Uses Budget'!T23</f>
        <v>0</v>
      </c>
      <c r="I23" s="265"/>
      <c r="J23" s="265"/>
      <c r="K23" s="262"/>
    </row>
    <row r="24" spans="1:11" s="263" customFormat="1">
      <c r="A24" s="409" t="s">
        <v>1772</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1774</v>
      </c>
      <c r="B26" s="264">
        <f>'Sources and Uses Budget'!C26</f>
        <v>5500000</v>
      </c>
      <c r="C26" s="264">
        <f>SUM(C17:C25)</f>
        <v>0</v>
      </c>
      <c r="D26" s="264">
        <f>SUM(D17:D25)</f>
        <v>0</v>
      </c>
      <c r="E26" s="264">
        <f>'Sources and Uses Budget'!S26</f>
        <v>5500000</v>
      </c>
      <c r="F26" s="270">
        <f>SUM(F17:F25)</f>
        <v>0</v>
      </c>
      <c r="G26" s="270">
        <f>SUM(G17:G25)</f>
        <v>0</v>
      </c>
      <c r="H26" s="264">
        <f>'Sources and Uses Budget'!T26</f>
        <v>0</v>
      </c>
      <c r="I26" s="270">
        <f>SUM(I17:I25)</f>
        <v>0</v>
      </c>
      <c r="J26" s="270">
        <f>SUM(J17:J25)</f>
        <v>0</v>
      </c>
      <c r="K26" s="262"/>
    </row>
    <row r="27" spans="1:11" s="263" customFormat="1">
      <c r="A27" s="268" t="s">
        <v>1775</v>
      </c>
      <c r="B27" s="264">
        <f>'Sources and Uses Budget'!C27</f>
        <v>74000</v>
      </c>
      <c r="C27" s="265"/>
      <c r="D27" s="265"/>
      <c r="E27" s="264">
        <f>'Sources and Uses Budget'!S27</f>
        <v>0</v>
      </c>
      <c r="F27" s="265"/>
      <c r="G27" s="265"/>
      <c r="H27" s="264">
        <f>'Sources and Uses Budget'!T27</f>
        <v>0</v>
      </c>
      <c r="I27" s="265"/>
      <c r="J27" s="265"/>
      <c r="K27" s="262"/>
    </row>
    <row r="28" spans="1:11" s="263" customFormat="1">
      <c r="A28" s="260" t="s">
        <v>1776</v>
      </c>
      <c r="B28" s="261"/>
      <c r="C28" s="261"/>
      <c r="D28" s="261"/>
      <c r="E28" s="261"/>
      <c r="F28" s="261"/>
      <c r="G28" s="261"/>
      <c r="H28" s="261"/>
      <c r="I28" s="261"/>
      <c r="J28" s="261"/>
      <c r="K28" s="262"/>
    </row>
    <row r="29" spans="1:11" s="263" customFormat="1">
      <c r="A29" s="195" t="s">
        <v>1765</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1766</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1767</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1768</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1769</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1770</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1771</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1772</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1777</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c r="A39" s="260" t="s">
        <v>1778</v>
      </c>
      <c r="B39" s="261"/>
      <c r="C39" s="261"/>
      <c r="D39" s="261"/>
      <c r="E39" s="261"/>
      <c r="F39" s="261"/>
      <c r="G39" s="261"/>
      <c r="H39" s="261"/>
      <c r="I39" s="261"/>
      <c r="J39" s="261"/>
      <c r="K39" s="262"/>
    </row>
    <row r="40" spans="1:11" s="263" customFormat="1">
      <c r="A40" s="267" t="s">
        <v>1779</v>
      </c>
      <c r="B40" s="264">
        <f>'Sources and Uses Budget'!C40</f>
        <v>225000</v>
      </c>
      <c r="C40" s="265"/>
      <c r="D40" s="265"/>
      <c r="E40" s="264">
        <f>'Sources and Uses Budget'!S40</f>
        <v>225000</v>
      </c>
      <c r="F40" s="265"/>
      <c r="G40" s="265"/>
      <c r="H40" s="264">
        <f>'Sources and Uses Budget'!T40</f>
        <v>0</v>
      </c>
      <c r="I40" s="265"/>
      <c r="J40" s="265"/>
      <c r="K40" s="262"/>
    </row>
    <row r="41" spans="1:11" s="263" customFormat="1">
      <c r="A41" s="267" t="s">
        <v>1780</v>
      </c>
      <c r="B41" s="264">
        <f>'Sources and Uses Budget'!C41</f>
        <v>25000</v>
      </c>
      <c r="C41" s="265"/>
      <c r="D41" s="265"/>
      <c r="E41" s="264">
        <f>'Sources and Uses Budget'!S41</f>
        <v>25000</v>
      </c>
      <c r="F41" s="265"/>
      <c r="G41" s="265"/>
      <c r="H41" s="264">
        <f>'Sources and Uses Budget'!T41</f>
        <v>0</v>
      </c>
      <c r="I41" s="265"/>
      <c r="J41" s="265"/>
      <c r="K41" s="262"/>
    </row>
    <row r="42" spans="1:11" s="263" customFormat="1">
      <c r="A42" s="268" t="s">
        <v>1781</v>
      </c>
      <c r="B42" s="264">
        <f>'Sources and Uses Budget'!C42</f>
        <v>250000</v>
      </c>
      <c r="C42" s="264">
        <f>SUM(C39:C41)</f>
        <v>0</v>
      </c>
      <c r="D42" s="264">
        <f>SUM(D39:D41)</f>
        <v>0</v>
      </c>
      <c r="E42" s="264">
        <f>'Sources and Uses Budget'!S42</f>
        <v>250000</v>
      </c>
      <c r="F42" s="270">
        <f>SUM(F40:F41)</f>
        <v>0</v>
      </c>
      <c r="G42" s="270">
        <f>SUM(G40:G41)</f>
        <v>0</v>
      </c>
      <c r="H42" s="264">
        <f>'Sources and Uses Budget'!T42</f>
        <v>0</v>
      </c>
      <c r="I42" s="270">
        <f>SUM(I40:I41)</f>
        <v>0</v>
      </c>
      <c r="J42" s="270">
        <f>SUM(J40:J41)</f>
        <v>0</v>
      </c>
      <c r="K42" s="262"/>
    </row>
    <row r="43" spans="1:11" s="263" customFormat="1">
      <c r="A43" s="268" t="s">
        <v>1782</v>
      </c>
      <c r="B43" s="264">
        <f>'Sources and Uses Budget'!C43</f>
        <v>75000</v>
      </c>
      <c r="C43" s="265"/>
      <c r="D43" s="265"/>
      <c r="E43" s="264">
        <f>'Sources and Uses Budget'!S43</f>
        <v>75000</v>
      </c>
      <c r="F43" s="265"/>
      <c r="G43" s="265"/>
      <c r="H43" s="264">
        <f>'Sources and Uses Budget'!T43</f>
        <v>0</v>
      </c>
      <c r="I43" s="265"/>
      <c r="J43" s="265"/>
      <c r="K43" s="262"/>
    </row>
    <row r="44" spans="1:11" s="263" customFormat="1">
      <c r="A44" s="260" t="s">
        <v>1783</v>
      </c>
      <c r="B44" s="261"/>
      <c r="C44" s="261"/>
      <c r="D44" s="261"/>
      <c r="E44" s="261"/>
      <c r="F44" s="261"/>
      <c r="G44" s="261"/>
      <c r="H44" s="261"/>
      <c r="I44" s="261"/>
      <c r="J44" s="261"/>
      <c r="K44" s="262"/>
    </row>
    <row r="45" spans="1:11" s="263" customFormat="1">
      <c r="A45" s="267" t="s">
        <v>1784</v>
      </c>
      <c r="B45" s="264">
        <f>'Sources and Uses Budget'!C45</f>
        <v>490000</v>
      </c>
      <c r="C45" s="265"/>
      <c r="D45" s="265"/>
      <c r="E45" s="264">
        <f>'Sources and Uses Budget'!S45</f>
        <v>294000</v>
      </c>
      <c r="F45" s="265"/>
      <c r="G45" s="265"/>
      <c r="H45" s="264">
        <f>'Sources and Uses Budget'!T45</f>
        <v>0</v>
      </c>
      <c r="I45" s="265"/>
      <c r="J45" s="265"/>
      <c r="K45" s="262"/>
    </row>
    <row r="46" spans="1:11" s="263" customFormat="1">
      <c r="A46" s="267" t="s">
        <v>1785</v>
      </c>
      <c r="B46" s="264">
        <f>'Sources and Uses Budget'!C46</f>
        <v>50000</v>
      </c>
      <c r="C46" s="265"/>
      <c r="D46" s="265"/>
      <c r="E46" s="264">
        <f>'Sources and Uses Budget'!S46</f>
        <v>0</v>
      </c>
      <c r="F46" s="265"/>
      <c r="G46" s="265"/>
      <c r="H46" s="264">
        <f>'Sources and Uses Budget'!T46</f>
        <v>0</v>
      </c>
      <c r="I46" s="265"/>
      <c r="J46" s="265"/>
      <c r="K46" s="262"/>
    </row>
    <row r="47" spans="1:11" s="263" customFormat="1" ht="12" customHeight="1">
      <c r="A47" s="267" t="s">
        <v>1786</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1787</v>
      </c>
      <c r="B48" s="264">
        <f>'Sources and Uses Budget'!C48</f>
        <v>6250</v>
      </c>
      <c r="C48" s="265"/>
      <c r="D48" s="265"/>
      <c r="E48" s="264">
        <f>'Sources and Uses Budget'!S48</f>
        <v>0</v>
      </c>
      <c r="F48" s="265"/>
      <c r="G48" s="265"/>
      <c r="H48" s="264">
        <f>'Sources and Uses Budget'!T48</f>
        <v>0</v>
      </c>
      <c r="I48" s="265"/>
      <c r="J48" s="265"/>
      <c r="K48" s="262"/>
    </row>
    <row r="49" spans="1:11" s="263" customFormat="1">
      <c r="A49" s="195" t="s">
        <v>1788</v>
      </c>
      <c r="B49" s="264">
        <f>'Sources and Uses Budget'!C49</f>
        <v>0</v>
      </c>
      <c r="C49" s="265"/>
      <c r="D49" s="265"/>
      <c r="E49" s="264">
        <f>'Sources and Uses Budget'!S49</f>
        <v>0</v>
      </c>
      <c r="F49" s="265"/>
      <c r="G49" s="265"/>
      <c r="H49" s="264">
        <f>'Sources and Uses Budget'!T49</f>
        <v>0</v>
      </c>
      <c r="I49" s="265"/>
      <c r="J49" s="265"/>
      <c r="K49" s="262"/>
    </row>
    <row r="50" spans="1:11" s="263" customFormat="1">
      <c r="A50" s="267" t="s">
        <v>1789</v>
      </c>
      <c r="B50" s="264">
        <f>'Sources and Uses Budget'!C50</f>
        <v>45000</v>
      </c>
      <c r="C50" s="265"/>
      <c r="D50" s="265"/>
      <c r="E50" s="264">
        <f>'Sources and Uses Budget'!S50</f>
        <v>45000</v>
      </c>
      <c r="F50" s="265"/>
      <c r="G50" s="265"/>
      <c r="H50" s="264">
        <f>'Sources and Uses Budget'!T50</f>
        <v>0</v>
      </c>
      <c r="I50" s="265"/>
      <c r="J50" s="265"/>
      <c r="K50" s="262"/>
    </row>
    <row r="51" spans="1:11" s="263" customFormat="1">
      <c r="A51" s="267" t="s">
        <v>1790</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1549</v>
      </c>
      <c r="B52" s="264">
        <f>'Sources and Uses Budget'!C52</f>
        <v>50000</v>
      </c>
      <c r="C52" s="265"/>
      <c r="D52" s="265"/>
      <c r="E52" s="264">
        <f>'Sources and Uses Budget'!S52</f>
        <v>50000</v>
      </c>
      <c r="F52" s="265"/>
      <c r="G52" s="265"/>
      <c r="H52" s="264">
        <f>'Sources and Uses Budget'!T52</f>
        <v>0</v>
      </c>
      <c r="I52" s="265"/>
      <c r="J52" s="265"/>
      <c r="K52" s="262"/>
    </row>
    <row r="53" spans="1:11" s="263" customFormat="1">
      <c r="A53" s="267" t="str">
        <f>'Sources and Uses Budget'!$A53</f>
        <v>Other: Bank Consultant</v>
      </c>
      <c r="B53" s="264">
        <f>'Sources and Uses Budget'!C53</f>
        <v>24000</v>
      </c>
      <c r="C53" s="265"/>
      <c r="D53" s="265"/>
      <c r="E53" s="264">
        <f>'Sources and Uses Budget'!S53</f>
        <v>24000</v>
      </c>
      <c r="F53" s="265"/>
      <c r="G53" s="265"/>
      <c r="H53" s="264">
        <f>'Sources and Uses Budget'!T53</f>
        <v>0</v>
      </c>
      <c r="I53" s="265"/>
      <c r="J53" s="265"/>
      <c r="K53" s="262"/>
    </row>
    <row r="54" spans="1:11" s="272" customFormat="1">
      <c r="A54" s="268" t="s">
        <v>1792</v>
      </c>
      <c r="B54" s="264">
        <f>'Sources and Uses Budget'!C54</f>
        <v>665250</v>
      </c>
      <c r="C54" s="270">
        <f>SUM(C45:C53)</f>
        <v>0</v>
      </c>
      <c r="D54" s="270">
        <f>SUM(D45:D53)</f>
        <v>0</v>
      </c>
      <c r="E54" s="264">
        <f>'Sources and Uses Budget'!S54</f>
        <v>413000</v>
      </c>
      <c r="F54" s="270">
        <f>SUM(F45:F53)</f>
        <v>0</v>
      </c>
      <c r="G54" s="270">
        <f>SUM(G45:G53)</f>
        <v>0</v>
      </c>
      <c r="H54" s="264">
        <f>'Sources and Uses Budget'!T54</f>
        <v>0</v>
      </c>
      <c r="I54" s="270">
        <f>SUM(I45:I53)</f>
        <v>0</v>
      </c>
      <c r="J54" s="270">
        <f>SUM(J45:J53)</f>
        <v>0</v>
      </c>
      <c r="K54" s="271"/>
    </row>
    <row r="55" spans="1:11" s="263" customFormat="1">
      <c r="A55" s="260" t="s">
        <v>1348</v>
      </c>
      <c r="B55" s="261"/>
      <c r="C55" s="261"/>
      <c r="D55" s="261"/>
      <c r="E55" s="261"/>
      <c r="F55" s="261"/>
      <c r="G55" s="261"/>
      <c r="H55" s="261"/>
      <c r="I55" s="261"/>
      <c r="J55" s="261"/>
      <c r="K55" s="262"/>
    </row>
    <row r="56" spans="1:11" s="263" customFormat="1">
      <c r="A56" s="267" t="s">
        <v>1793</v>
      </c>
      <c r="B56" s="264">
        <f>'Sources and Uses Budget'!C56</f>
        <v>0</v>
      </c>
      <c r="C56" s="265"/>
      <c r="D56" s="265"/>
      <c r="E56" s="266"/>
      <c r="F56" s="266"/>
      <c r="G56" s="266"/>
      <c r="H56" s="266"/>
      <c r="I56" s="266"/>
      <c r="J56" s="266"/>
      <c r="K56" s="262"/>
    </row>
    <row r="57" spans="1:11" s="263" customFormat="1" ht="12" customHeight="1">
      <c r="A57" s="267" t="s">
        <v>1786</v>
      </c>
      <c r="B57" s="264">
        <f>'Sources and Uses Budget'!C57</f>
        <v>0</v>
      </c>
      <c r="C57" s="265"/>
      <c r="D57" s="265"/>
      <c r="E57" s="266"/>
      <c r="F57" s="266"/>
      <c r="G57" s="266"/>
      <c r="H57" s="266"/>
      <c r="I57" s="266"/>
      <c r="J57" s="266"/>
      <c r="K57" s="262"/>
    </row>
    <row r="58" spans="1:11" s="263" customFormat="1">
      <c r="A58" s="267" t="s">
        <v>1789</v>
      </c>
      <c r="B58" s="264">
        <f>'Sources and Uses Budget'!C58</f>
        <v>10000</v>
      </c>
      <c r="C58" s="265"/>
      <c r="D58" s="265"/>
      <c r="E58" s="266"/>
      <c r="F58" s="266"/>
      <c r="G58" s="266"/>
      <c r="H58" s="266"/>
      <c r="I58" s="266"/>
      <c r="J58" s="266"/>
      <c r="K58" s="262"/>
    </row>
    <row r="59" spans="1:11" s="263" customFormat="1">
      <c r="A59" s="267" t="s">
        <v>1790</v>
      </c>
      <c r="B59" s="264">
        <f>'Sources and Uses Budget'!C59</f>
        <v>0</v>
      </c>
      <c r="C59" s="265"/>
      <c r="D59" s="265"/>
      <c r="E59" s="266"/>
      <c r="F59" s="266"/>
      <c r="G59" s="266"/>
      <c r="H59" s="266"/>
      <c r="I59" s="266"/>
      <c r="J59" s="266"/>
      <c r="K59" s="262"/>
    </row>
    <row r="60" spans="1:11" s="263" customFormat="1">
      <c r="A60" s="267" t="s">
        <v>1549</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1794</v>
      </c>
      <c r="B62" s="264">
        <f>'Sources and Uses Budget'!C62</f>
        <v>10000</v>
      </c>
      <c r="C62" s="264">
        <f>SUM(C56:C61)</f>
        <v>0</v>
      </c>
      <c r="D62" s="264">
        <f>SUM(D56:D61)</f>
        <v>0</v>
      </c>
      <c r="E62" s="266"/>
      <c r="F62" s="266"/>
      <c r="G62" s="266"/>
      <c r="H62" s="266"/>
      <c r="I62" s="266"/>
      <c r="J62" s="266"/>
      <c r="K62" s="262"/>
    </row>
    <row r="63" spans="1:11" s="263" customFormat="1">
      <c r="A63" s="273" t="s">
        <v>1795</v>
      </c>
      <c r="B63" s="264">
        <f>'Sources and Uses Budget'!C63</f>
        <v>14984250</v>
      </c>
      <c r="C63" s="264">
        <f>SUM(C8+C11+C13+C14+C15+C26+C27+C38+C42+C43+C54+C62)</f>
        <v>0</v>
      </c>
      <c r="D63" s="264">
        <f>SUM(D8+D11+D13+D14+D15+D26+D27+D38+D42+D43+D54+D62)</f>
        <v>0</v>
      </c>
      <c r="E63" s="264">
        <f>'Sources and Uses Budget'!S63</f>
        <v>6238000</v>
      </c>
      <c r="F63" s="264">
        <f>SUM(F10+F13+F14+F15+F26+F27+F38+F42+F43+F54)</f>
        <v>0</v>
      </c>
      <c r="G63" s="264">
        <f>SUM(G10+G13+G14+G15+G26+G27+G38+G42+G43+G54)</f>
        <v>0</v>
      </c>
      <c r="H63" s="264">
        <f>'Sources and Uses Budget'!T63</f>
        <v>7850000</v>
      </c>
      <c r="I63" s="264">
        <f>SUM(I11+I13+I14+I15+I26+I27+I38+I42+I43+I54)</f>
        <v>0</v>
      </c>
      <c r="J63" s="264">
        <f>SUM(J11+J13+J14+J15+J26+J27+J38+J42+J43+J54)</f>
        <v>0</v>
      </c>
      <c r="K63" s="262"/>
    </row>
    <row r="64" spans="1:11" s="263" customFormat="1" ht="24">
      <c r="A64" s="104" t="s">
        <v>1796</v>
      </c>
      <c r="B64" s="261"/>
      <c r="C64" s="261"/>
      <c r="D64" s="261"/>
      <c r="E64" s="261"/>
      <c r="F64" s="261"/>
      <c r="G64" s="261"/>
      <c r="H64" s="261"/>
      <c r="I64" s="261"/>
      <c r="J64" s="261"/>
      <c r="K64" s="262"/>
    </row>
    <row r="65" spans="1:11" s="263" customFormat="1">
      <c r="A65" s="195" t="s">
        <v>1797</v>
      </c>
      <c r="B65" s="264">
        <f>'Sources and Uses Budget'!C65</f>
        <v>55000</v>
      </c>
      <c r="C65" s="265"/>
      <c r="D65" s="265"/>
      <c r="E65" s="264">
        <f>'Sources and Uses Budget'!S65</f>
        <v>55000</v>
      </c>
      <c r="F65" s="265"/>
      <c r="G65" s="265"/>
      <c r="H65" s="264">
        <f>'Sources and Uses Budget'!T65</f>
        <v>0</v>
      </c>
      <c r="I65" s="265"/>
      <c r="J65" s="265"/>
      <c r="K65" s="262"/>
    </row>
    <row r="66" spans="1:11" s="263" customFormat="1" ht="24">
      <c r="A66" s="195" t="s">
        <v>1798</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1799</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1800</v>
      </c>
      <c r="B68" s="264">
        <f>'Sources and Uses Budget'!C68</f>
        <v>0</v>
      </c>
      <c r="C68" s="265"/>
      <c r="D68" s="265"/>
      <c r="E68" s="264">
        <f>'Sources and Uses Budget'!S68</f>
        <v>0</v>
      </c>
      <c r="F68" s="265"/>
      <c r="G68" s="265"/>
      <c r="H68" s="264">
        <f>'Sources and Uses Budget'!T68</f>
        <v>0</v>
      </c>
      <c r="I68" s="265"/>
      <c r="J68" s="265"/>
      <c r="K68" s="262"/>
    </row>
    <row r="69" spans="1:11" s="263" customFormat="1" ht="24">
      <c r="A69" s="267" t="str">
        <f>'Sources and Uses Budget'!$A69</f>
        <v>Other: Bond Counsel $50K; Transaction Legal $100K</v>
      </c>
      <c r="B69" s="264">
        <f>'Sources and Uses Budget'!C69</f>
        <v>150000</v>
      </c>
      <c r="C69" s="265"/>
      <c r="D69" s="265"/>
      <c r="E69" s="264">
        <f>'Sources and Uses Budget'!S69</f>
        <v>20000</v>
      </c>
      <c r="F69" s="265"/>
      <c r="G69" s="265"/>
      <c r="H69" s="264">
        <f>'Sources and Uses Budget'!T69</f>
        <v>0</v>
      </c>
      <c r="I69" s="265"/>
      <c r="J69" s="265"/>
      <c r="K69" s="262"/>
    </row>
    <row r="70" spans="1:11" s="263" customFormat="1">
      <c r="A70" s="268" t="s">
        <v>1880</v>
      </c>
      <c r="B70" s="264">
        <f>'Sources and Uses Budget'!C70</f>
        <v>205000</v>
      </c>
      <c r="C70" s="264">
        <f>SUM(C64:C69)</f>
        <v>0</v>
      </c>
      <c r="D70" s="264">
        <f>SUM(D64:D69)</f>
        <v>0</v>
      </c>
      <c r="E70" s="264">
        <f>'Sources and Uses Budget'!S70</f>
        <v>75000</v>
      </c>
      <c r="F70" s="270">
        <f>SUM(F65:F69)</f>
        <v>0</v>
      </c>
      <c r="G70" s="270">
        <f>SUM(G65:G69)</f>
        <v>0</v>
      </c>
      <c r="H70" s="264">
        <f>'Sources and Uses Budget'!T70</f>
        <v>0</v>
      </c>
      <c r="I70" s="270">
        <f>SUM(I65:I69)</f>
        <v>0</v>
      </c>
      <c r="J70" s="270">
        <f>SUM(J65:J69)</f>
        <v>0</v>
      </c>
      <c r="K70" s="262"/>
    </row>
    <row r="71" spans="1:11" s="263" customFormat="1">
      <c r="A71" s="260" t="s">
        <v>1803</v>
      </c>
      <c r="B71" s="261"/>
      <c r="C71" s="261"/>
      <c r="D71" s="261"/>
      <c r="E71" s="261"/>
      <c r="F71" s="261"/>
      <c r="G71" s="261"/>
      <c r="H71" s="261"/>
      <c r="I71" s="261"/>
      <c r="J71" s="261"/>
      <c r="K71" s="262"/>
    </row>
    <row r="72" spans="1:11" s="263" customFormat="1">
      <c r="A72" s="267" t="s">
        <v>1804</v>
      </c>
      <c r="B72" s="264">
        <f>'Sources and Uses Budget'!C72</f>
        <v>0</v>
      </c>
      <c r="C72" s="265"/>
      <c r="D72" s="265"/>
      <c r="E72" s="266"/>
      <c r="F72" s="266"/>
      <c r="G72" s="266"/>
      <c r="H72" s="266"/>
      <c r="I72" s="266"/>
      <c r="J72" s="266"/>
      <c r="K72" s="262"/>
    </row>
    <row r="73" spans="1:11" s="263" customFormat="1">
      <c r="A73" s="267" t="s">
        <v>1805</v>
      </c>
      <c r="B73" s="264">
        <f>'Sources and Uses Budget'!C73</f>
        <v>0</v>
      </c>
      <c r="C73" s="265"/>
      <c r="D73" s="265"/>
      <c r="E73" s="266"/>
      <c r="F73" s="266"/>
      <c r="G73" s="266"/>
      <c r="H73" s="266"/>
      <c r="I73" s="266"/>
      <c r="J73" s="266"/>
      <c r="K73" s="262"/>
    </row>
    <row r="74" spans="1:11" s="263" customFormat="1">
      <c r="A74" s="269" t="s">
        <v>1806</v>
      </c>
      <c r="B74" s="264">
        <f>'Sources and Uses Budget'!C74</f>
        <v>100000</v>
      </c>
      <c r="C74" s="265"/>
      <c r="D74" s="265"/>
      <c r="E74" s="266"/>
      <c r="F74" s="266"/>
      <c r="G74" s="266"/>
      <c r="H74" s="266"/>
      <c r="I74" s="266"/>
      <c r="J74" s="266"/>
      <c r="K74" s="262"/>
    </row>
    <row r="75" spans="1:11" s="263" customFormat="1">
      <c r="A75" s="267" t="s">
        <v>1807</v>
      </c>
      <c r="B75" s="264">
        <f>'Sources and Uses Budget'!C75</f>
        <v>148000</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1808</v>
      </c>
      <c r="B77" s="264">
        <f>'Sources and Uses Budget'!C77</f>
        <v>248000</v>
      </c>
      <c r="C77" s="264">
        <f>SUM(C72:C76)</f>
        <v>0</v>
      </c>
      <c r="D77" s="264">
        <f>SUM(D72:D76)</f>
        <v>0</v>
      </c>
      <c r="E77" s="266"/>
      <c r="F77" s="266"/>
      <c r="G77" s="266"/>
      <c r="H77" s="266"/>
      <c r="I77" s="266"/>
      <c r="J77" s="266"/>
      <c r="K77" s="262"/>
    </row>
    <row r="78" spans="1:11" s="263" customFormat="1">
      <c r="A78" s="260" t="s">
        <v>1809</v>
      </c>
      <c r="B78" s="261"/>
      <c r="C78" s="261"/>
      <c r="D78" s="261"/>
      <c r="E78" s="261"/>
      <c r="F78" s="261"/>
      <c r="G78" s="261"/>
      <c r="H78" s="261"/>
      <c r="I78" s="261"/>
      <c r="J78" s="261"/>
      <c r="K78" s="262"/>
    </row>
    <row r="79" spans="1:11" s="263" customFormat="1">
      <c r="A79" s="267" t="s">
        <v>1810</v>
      </c>
      <c r="B79" s="264">
        <f>'Sources and Uses Budget'!C79</f>
        <v>550000</v>
      </c>
      <c r="C79" s="265"/>
      <c r="D79" s="265"/>
      <c r="E79" s="264">
        <f>'Sources and Uses Budget'!S79</f>
        <v>550000</v>
      </c>
      <c r="F79" s="265"/>
      <c r="G79" s="265"/>
      <c r="H79" s="264">
        <f>'Sources and Uses Budget'!T79</f>
        <v>0</v>
      </c>
      <c r="I79" s="265"/>
      <c r="J79" s="265"/>
      <c r="K79" s="262"/>
    </row>
    <row r="80" spans="1:11" s="263" customFormat="1">
      <c r="A80" s="267" t="s">
        <v>1811</v>
      </c>
      <c r="B80" s="264">
        <f>'Sources and Uses Budget'!C80</f>
        <v>150000</v>
      </c>
      <c r="C80" s="265"/>
      <c r="D80" s="265"/>
      <c r="E80" s="264">
        <f>'Sources and Uses Budget'!S80</f>
        <v>150000</v>
      </c>
      <c r="F80" s="265"/>
      <c r="G80" s="265"/>
      <c r="H80" s="264">
        <f>'Sources and Uses Budget'!T80</f>
        <v>0</v>
      </c>
      <c r="I80" s="265"/>
      <c r="J80" s="265"/>
      <c r="K80" s="262"/>
    </row>
    <row r="81" spans="1:11" s="263" customFormat="1">
      <c r="A81" s="268" t="s">
        <v>1812</v>
      </c>
      <c r="B81" s="264">
        <f>'Sources and Uses Budget'!C81</f>
        <v>700000</v>
      </c>
      <c r="C81" s="264">
        <f>SUM(C79:C80)</f>
        <v>0</v>
      </c>
      <c r="D81" s="264">
        <f>SUM(D79:D80)</f>
        <v>0</v>
      </c>
      <c r="E81" s="264">
        <f>'Sources and Uses Budget'!S81</f>
        <v>700000</v>
      </c>
      <c r="F81" s="264">
        <f>SUM(F79:F80)</f>
        <v>0</v>
      </c>
      <c r="G81" s="264">
        <f>SUM(G79:G80)</f>
        <v>0</v>
      </c>
      <c r="H81" s="264">
        <f>'Sources and Uses Budget'!T81</f>
        <v>0</v>
      </c>
      <c r="I81" s="264">
        <f>SUM(I79:I80)</f>
        <v>0</v>
      </c>
      <c r="J81" s="264">
        <f>SUM(J79:J80)</f>
        <v>0</v>
      </c>
      <c r="K81" s="262"/>
    </row>
    <row r="82" spans="1:11" s="263" customFormat="1">
      <c r="A82" s="260" t="s">
        <v>1813</v>
      </c>
      <c r="B82" s="261"/>
      <c r="C82" s="261"/>
      <c r="D82" s="261"/>
      <c r="E82" s="261"/>
      <c r="F82" s="261"/>
      <c r="G82" s="261"/>
      <c r="H82" s="261"/>
      <c r="I82" s="261"/>
      <c r="J82" s="261"/>
      <c r="K82" s="262"/>
    </row>
    <row r="83" spans="1:11" s="263" customFormat="1" ht="13.7" customHeight="1">
      <c r="A83" s="195" t="s">
        <v>1814</v>
      </c>
      <c r="B83" s="264">
        <f>'Sources and Uses Budget'!C83</f>
        <v>24782</v>
      </c>
      <c r="C83" s="265"/>
      <c r="D83" s="265"/>
      <c r="E83" s="266"/>
      <c r="F83" s="266"/>
      <c r="G83" s="266"/>
      <c r="H83" s="266"/>
      <c r="I83" s="266"/>
      <c r="J83" s="266"/>
      <c r="K83" s="262"/>
    </row>
    <row r="84" spans="1:11" s="263" customFormat="1">
      <c r="A84" s="195" t="s">
        <v>1815</v>
      </c>
      <c r="B84" s="264">
        <f>'Sources and Uses Budget'!C84</f>
        <v>15250</v>
      </c>
      <c r="C84" s="265"/>
      <c r="D84" s="265"/>
      <c r="E84" s="264">
        <f>'Sources and Uses Budget'!S84</f>
        <v>15250</v>
      </c>
      <c r="F84" s="265"/>
      <c r="G84" s="265"/>
      <c r="H84" s="264">
        <f>'Sources and Uses Budget'!T84</f>
        <v>0</v>
      </c>
      <c r="I84" s="265"/>
      <c r="J84" s="265"/>
      <c r="K84" s="262"/>
    </row>
    <row r="85" spans="1:11" s="263" customFormat="1">
      <c r="A85" s="195" t="s">
        <v>1816</v>
      </c>
      <c r="B85" s="264">
        <f>'Sources and Uses Budget'!C85</f>
        <v>5000</v>
      </c>
      <c r="C85" s="265"/>
      <c r="D85" s="265"/>
      <c r="E85" s="264">
        <f>'Sources and Uses Budget'!S85</f>
        <v>5000</v>
      </c>
      <c r="F85" s="265"/>
      <c r="G85" s="265"/>
      <c r="H85" s="264">
        <f>'Sources and Uses Budget'!T85</f>
        <v>0</v>
      </c>
      <c r="I85" s="265"/>
      <c r="J85" s="265"/>
      <c r="K85" s="262"/>
    </row>
    <row r="86" spans="1:11" s="263" customFormat="1">
      <c r="A86" s="195" t="s">
        <v>1817</v>
      </c>
      <c r="B86" s="264">
        <f>'Sources and Uses Budget'!C86</f>
        <v>55000</v>
      </c>
      <c r="C86" s="265"/>
      <c r="D86" s="265"/>
      <c r="E86" s="264">
        <f>'Sources and Uses Budget'!S86</f>
        <v>55000</v>
      </c>
      <c r="F86" s="265"/>
      <c r="G86" s="265"/>
      <c r="H86" s="264">
        <f>'Sources and Uses Budget'!T86</f>
        <v>0</v>
      </c>
      <c r="I86" s="265"/>
      <c r="J86" s="265"/>
      <c r="K86" s="262"/>
    </row>
    <row r="87" spans="1:11" s="263" customFormat="1">
      <c r="A87" s="195" t="s">
        <v>1818</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1819</v>
      </c>
      <c r="B88" s="264">
        <f>'Sources and Uses Budget'!C88</f>
        <v>5000</v>
      </c>
      <c r="C88" s="265"/>
      <c r="D88" s="265"/>
      <c r="E88" s="266"/>
      <c r="F88" s="266"/>
      <c r="G88" s="266"/>
      <c r="H88" s="266"/>
      <c r="I88" s="266"/>
      <c r="J88" s="266"/>
      <c r="K88" s="262"/>
    </row>
    <row r="89" spans="1:11" s="263" customFormat="1">
      <c r="A89" s="195" t="s">
        <v>1820</v>
      </c>
      <c r="B89" s="264">
        <f>'Sources and Uses Budget'!C89</f>
        <v>20000</v>
      </c>
      <c r="C89" s="265"/>
      <c r="D89" s="265"/>
      <c r="E89" s="264">
        <f>'Sources and Uses Budget'!S89</f>
        <v>20000</v>
      </c>
      <c r="F89" s="265"/>
      <c r="G89" s="265"/>
      <c r="H89" s="264">
        <f>'Sources and Uses Budget'!T89</f>
        <v>0</v>
      </c>
      <c r="I89" s="265"/>
      <c r="J89" s="265"/>
      <c r="K89" s="262"/>
    </row>
    <row r="90" spans="1:11" s="263" customFormat="1">
      <c r="A90" s="195" t="s">
        <v>1821</v>
      </c>
      <c r="B90" s="264">
        <f>'Sources and Uses Budget'!C90</f>
        <v>7500</v>
      </c>
      <c r="C90" s="265"/>
      <c r="D90" s="265"/>
      <c r="E90" s="264">
        <f>'Sources and Uses Budget'!S90</f>
        <v>3250</v>
      </c>
      <c r="F90" s="265"/>
      <c r="G90" s="265"/>
      <c r="H90" s="264">
        <f>'Sources and Uses Budget'!T90</f>
        <v>0</v>
      </c>
      <c r="I90" s="265"/>
      <c r="J90" s="265"/>
      <c r="K90" s="262"/>
    </row>
    <row r="91" spans="1:11" s="263" customFormat="1">
      <c r="A91" s="409" t="s">
        <v>1822</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1823</v>
      </c>
      <c r="B92" s="264">
        <f>'Sources and Uses Budget'!C92</f>
        <v>12000</v>
      </c>
      <c r="C92" s="265"/>
      <c r="D92" s="265"/>
      <c r="E92" s="264">
        <f>'Sources and Uses Budget'!S92</f>
        <v>6000</v>
      </c>
      <c r="F92" s="265"/>
      <c r="G92" s="265"/>
      <c r="H92" s="264">
        <f>'Sources and Uses Budget'!T92</f>
        <v>0</v>
      </c>
      <c r="I92" s="265"/>
      <c r="J92" s="265"/>
      <c r="K92" s="262"/>
    </row>
    <row r="93" spans="1:11" s="263" customFormat="1">
      <c r="A93" s="267" t="str">
        <f>'Sources and Uses Budget'!$A93</f>
        <v>Other: CDLAC fee</v>
      </c>
      <c r="B93" s="264">
        <f>'Sources and Uses Budget'!C93</f>
        <v>1500</v>
      </c>
      <c r="C93" s="265"/>
      <c r="D93" s="265"/>
      <c r="E93" s="264">
        <f>'Sources and Uses Budget'!S93</f>
        <v>0</v>
      </c>
      <c r="F93" s="265"/>
      <c r="G93" s="265"/>
      <c r="H93" s="264">
        <f>'Sources and Uses Budget'!T93</f>
        <v>0</v>
      </c>
      <c r="I93" s="265"/>
      <c r="J93" s="265"/>
      <c r="K93" s="262"/>
    </row>
    <row r="94" spans="1:11" s="263" customFormat="1">
      <c r="A94" s="267" t="str">
        <f>'Sources and Uses Budget'!$A94</f>
        <v>Other: PNA</v>
      </c>
      <c r="B94" s="264">
        <f>'Sources and Uses Budget'!C94</f>
        <v>15000</v>
      </c>
      <c r="C94" s="265"/>
      <c r="D94" s="265"/>
      <c r="E94" s="264">
        <f>'Sources and Uses Budget'!S94</f>
        <v>15000</v>
      </c>
      <c r="F94" s="265"/>
      <c r="G94" s="265"/>
      <c r="H94" s="264">
        <f>'Sources and Uses Budget'!T94</f>
        <v>0</v>
      </c>
      <c r="I94" s="265"/>
      <c r="J94" s="265"/>
      <c r="K94" s="262"/>
    </row>
    <row r="95" spans="1:11" s="263" customFormat="1">
      <c r="A95" s="267" t="str">
        <f>'Sources and Uses Budget'!$A95</f>
        <v>Other: Audit</v>
      </c>
      <c r="B95" s="264">
        <f>'Sources and Uses Budget'!C95</f>
        <v>15000</v>
      </c>
      <c r="C95" s="265"/>
      <c r="D95" s="265"/>
      <c r="E95" s="264">
        <f>'Sources and Uses Budget'!S95</f>
        <v>0</v>
      </c>
      <c r="F95" s="265"/>
      <c r="G95" s="265"/>
      <c r="H95" s="264">
        <f>'Sources and Uses Budget'!T95</f>
        <v>0</v>
      </c>
      <c r="I95" s="265"/>
      <c r="J95" s="265"/>
      <c r="K95" s="262"/>
    </row>
    <row r="96" spans="1:11" s="263" customFormat="1">
      <c r="A96" s="268" t="s">
        <v>1827</v>
      </c>
      <c r="B96" s="264">
        <f>'Sources and Uses Budget'!C96</f>
        <v>176032</v>
      </c>
      <c r="C96" s="264">
        <f>SUM(C83:C95)</f>
        <v>0</v>
      </c>
      <c r="D96" s="264">
        <f>SUM(D83:D95)</f>
        <v>0</v>
      </c>
      <c r="E96" s="264">
        <f>'Sources and Uses Budget'!S96</f>
        <v>119500</v>
      </c>
      <c r="F96" s="270">
        <f>SUM(F84:F87,F89:F95)</f>
        <v>0</v>
      </c>
      <c r="G96" s="270">
        <f>SUM(G84:G87,G89:G95)</f>
        <v>0</v>
      </c>
      <c r="H96" s="264">
        <f>'Sources and Uses Budget'!T96</f>
        <v>0</v>
      </c>
      <c r="I96" s="264">
        <f>SUM(I84:I87,I89:I95)</f>
        <v>0</v>
      </c>
      <c r="J96" s="264">
        <f>SUM(J84:J87,J89:J95)</f>
        <v>0</v>
      </c>
      <c r="K96" s="262"/>
    </row>
    <row r="97" spans="1:11" s="263" customFormat="1">
      <c r="A97" s="268" t="s">
        <v>1881</v>
      </c>
      <c r="B97" s="264">
        <f>'Sources and Uses Budget'!C97</f>
        <v>16313282</v>
      </c>
      <c r="C97" s="264">
        <f>SUM(C63+C70+C77+C81+C96)</f>
        <v>0</v>
      </c>
      <c r="D97" s="264">
        <f>SUM(D63+D70+D77+D81+D96)</f>
        <v>0</v>
      </c>
      <c r="E97" s="264">
        <f>'Sources and Uses Budget'!S97</f>
        <v>7132500</v>
      </c>
      <c r="F97" s="270">
        <f>SUM(+F63+F70+F81+F96)</f>
        <v>0</v>
      </c>
      <c r="G97" s="270">
        <f>SUM(+G63+G70+G81+G96)</f>
        <v>0</v>
      </c>
      <c r="H97" s="264">
        <f>'Sources and Uses Budget'!T97</f>
        <v>7850000</v>
      </c>
      <c r="I97" s="270">
        <f>SUM(I63+I70+I81+I96)</f>
        <v>0</v>
      </c>
      <c r="J97" s="270">
        <f>SUM(J63+J70+J81+J96)</f>
        <v>0</v>
      </c>
      <c r="K97" s="262"/>
    </row>
    <row r="98" spans="1:11" s="263" customFormat="1">
      <c r="A98" s="260" t="s">
        <v>1829</v>
      </c>
      <c r="B98" s="261"/>
      <c r="C98" s="261"/>
      <c r="D98" s="261"/>
      <c r="E98" s="261"/>
      <c r="F98" s="261"/>
      <c r="G98" s="261"/>
      <c r="H98" s="261"/>
      <c r="I98" s="261"/>
      <c r="J98" s="261"/>
      <c r="K98" s="262"/>
    </row>
    <row r="99" spans="1:11" s="263" customFormat="1">
      <c r="A99" s="195" t="s">
        <v>1830</v>
      </c>
      <c r="B99" s="264">
        <f>'Sources and Uses Budget'!C99</f>
        <v>2247375</v>
      </c>
      <c r="C99" s="265"/>
      <c r="D99" s="265"/>
      <c r="E99" s="264">
        <f>'Sources and Uses Budget'!S99</f>
        <v>1069875</v>
      </c>
      <c r="F99" s="265"/>
      <c r="G99" s="265"/>
      <c r="H99" s="264">
        <f>'Sources and Uses Budget'!T99</f>
        <v>1177500</v>
      </c>
      <c r="I99" s="265"/>
      <c r="J99" s="265"/>
      <c r="K99" s="262"/>
    </row>
    <row r="100" spans="1:11" s="263" customFormat="1">
      <c r="A100" s="195" t="s">
        <v>1831</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1832</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1833</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1834</v>
      </c>
      <c r="B104" s="264">
        <f>'Sources and Uses Budget'!C104</f>
        <v>2247375</v>
      </c>
      <c r="C104" s="264">
        <f>SUM(C99:C103)</f>
        <v>0</v>
      </c>
      <c r="D104" s="264">
        <f>SUM(D99:D103)</f>
        <v>0</v>
      </c>
      <c r="E104" s="264">
        <f>'Sources and Uses Budget'!S104</f>
        <v>1069875</v>
      </c>
      <c r="F104" s="270">
        <f>SUM(F99:F103)</f>
        <v>0</v>
      </c>
      <c r="G104" s="270">
        <f>SUM(G99:G103)</f>
        <v>0</v>
      </c>
      <c r="H104" s="264">
        <f>'Sources and Uses Budget'!T104</f>
        <v>1177500</v>
      </c>
      <c r="I104" s="270">
        <f>SUM(I99:I103)</f>
        <v>0</v>
      </c>
      <c r="J104" s="270">
        <f>SUM(J99:J103)</f>
        <v>0</v>
      </c>
      <c r="K104" s="262"/>
    </row>
    <row r="105" spans="1:11" s="263" customFormat="1">
      <c r="A105" s="268" t="s">
        <v>1882</v>
      </c>
      <c r="B105" s="264">
        <f>'Sources and Uses Budget'!C105</f>
        <v>18560657</v>
      </c>
      <c r="C105" s="270">
        <f>SUM(C97+C104)</f>
        <v>0</v>
      </c>
      <c r="D105" s="270">
        <f>SUM(D97+D104)</f>
        <v>0</v>
      </c>
      <c r="E105" s="264">
        <f>'Sources and Uses Budget'!S105</f>
        <v>8202375</v>
      </c>
      <c r="F105" s="270">
        <f>F97+F104</f>
        <v>0</v>
      </c>
      <c r="G105" s="270">
        <f>G97+G104</f>
        <v>0</v>
      </c>
      <c r="H105" s="264">
        <f>'Sources and Uses Budget'!T105</f>
        <v>9027500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1883</v>
      </c>
      <c r="E107" s="264">
        <f>'Sources and Uses Budget'!S107</f>
        <v>8202375</v>
      </c>
      <c r="F107" s="270">
        <f>F105+F106</f>
        <v>0</v>
      </c>
      <c r="G107" s="270">
        <f>G105+G106</f>
        <v>0</v>
      </c>
      <c r="H107" s="264">
        <f>'Sources and Uses Budget'!T107</f>
        <v>9027500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7"/>
      <c r="E124" s="1285"/>
      <c r="F124" s="1285"/>
      <c r="G124" s="1285"/>
      <c r="H124" s="1285"/>
      <c r="I124" s="1285"/>
      <c r="J124" s="279"/>
      <c r="K124" s="262"/>
    </row>
    <row r="125" spans="1:11" s="263" customFormat="1" ht="12.75">
      <c r="A125" s="288"/>
      <c r="B125" s="287"/>
      <c r="C125" s="288"/>
      <c r="D125" s="1285"/>
      <c r="E125" s="1285"/>
      <c r="F125" s="1285"/>
      <c r="G125" s="1285"/>
      <c r="H125" s="1285"/>
      <c r="I125" s="1285"/>
      <c r="J125" s="279"/>
      <c r="K125" s="262"/>
    </row>
    <row r="126" spans="1:11" s="263" customFormat="1" ht="12.75">
      <c r="A126" s="288"/>
      <c r="B126" s="287"/>
      <c r="C126" s="288"/>
      <c r="D126" s="1285"/>
      <c r="E126" s="1285"/>
      <c r="F126" s="1285"/>
      <c r="G126" s="1285"/>
      <c r="H126" s="1285"/>
      <c r="I126" s="1285"/>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8"/>
      <c r="B139" s="1285"/>
      <c r="C139" s="1285"/>
      <c r="D139" s="259"/>
      <c r="E139" s="288"/>
      <c r="F139" s="288"/>
      <c r="G139" s="288"/>
    </row>
    <row r="140" spans="1:11" ht="12" customHeight="1">
      <c r="A140" s="1268"/>
      <c r="B140" s="1268"/>
      <c r="C140" s="1268"/>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5703125" style="1093" customWidth="1"/>
    <col min="53" max="53" width="2.7109375" style="1093"/>
    <col min="54" max="54" width="4.42578125" style="1093" customWidth="1"/>
    <col min="55" max="64" width="2.7109375" style="1093"/>
    <col min="65" max="65" width="10.42578125" style="1093" hidden="1" customWidth="1"/>
    <col min="66" max="66" width="5.5703125" style="1094" bestFit="1" customWidth="1"/>
    <col min="67" max="68" width="5.5703125" style="1094" customWidth="1"/>
    <col min="69" max="69" width="8" style="1094" customWidth="1"/>
    <col min="70" max="70" width="6" style="1094" customWidth="1"/>
    <col min="71" max="71" width="6.140625" style="1094" customWidth="1"/>
    <col min="72" max="76" width="5.5703125" style="1094" customWidth="1"/>
    <col min="77" max="77" width="6.140625" style="1094" bestFit="1" customWidth="1"/>
    <col min="78" max="78" width="5.5703125" style="1093" bestFit="1" customWidth="1"/>
    <col min="79" max="16384" width="2.7109375" style="1093"/>
  </cols>
  <sheetData>
    <row r="1" spans="1:65" ht="15.75" customHeight="1">
      <c r="A1" s="1820" t="s">
        <v>1884</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c r="AR1" s="1821"/>
      <c r="AS1" s="1821"/>
      <c r="AT1" s="1821"/>
      <c r="AU1" s="1821"/>
      <c r="AV1" s="1821"/>
      <c r="AW1" s="1821"/>
      <c r="AX1" s="1821"/>
      <c r="AY1" s="1821"/>
      <c r="AZ1" s="1821"/>
      <c r="BA1" s="1821"/>
      <c r="BB1" s="1821"/>
      <c r="BC1" s="1821"/>
      <c r="BD1" s="1821"/>
      <c r="BE1" s="1822"/>
    </row>
    <row r="2" spans="1:65" ht="15.75" customHeight="1">
      <c r="A2" s="1823" t="s">
        <v>1885</v>
      </c>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4"/>
      <c r="AV2" s="1824"/>
      <c r="AW2" s="1824"/>
      <c r="AX2" s="1824"/>
      <c r="AY2" s="1824"/>
      <c r="AZ2" s="1824"/>
      <c r="BA2" s="1824"/>
      <c r="BB2" s="1824"/>
      <c r="BC2" s="1824"/>
      <c r="BD2" s="1824"/>
      <c r="BE2" s="1825"/>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26" t="s">
        <v>1886</v>
      </c>
      <c r="AY3" s="1827"/>
      <c r="AZ3" s="1827"/>
      <c r="BA3" s="1828"/>
      <c r="BB3" s="1826" t="s">
        <v>1887</v>
      </c>
      <c r="BC3" s="1827"/>
      <c r="BD3" s="1827"/>
      <c r="BE3" s="1828"/>
    </row>
    <row r="4" spans="1:65" ht="15.75" customHeight="1" thickBot="1">
      <c r="A4" s="1096"/>
      <c r="B4" s="1098" t="s">
        <v>77</v>
      </c>
      <c r="C4" s="1098"/>
      <c r="D4" s="1098"/>
      <c r="E4" s="1098"/>
      <c r="F4" s="1098"/>
      <c r="G4" s="1097"/>
      <c r="H4" s="1097"/>
      <c r="I4" s="1097"/>
      <c r="J4" s="1097"/>
      <c r="K4" s="1097"/>
      <c r="L4" s="1815" t="str">
        <f>IF(Application!H18="","",Application!H18)</f>
        <v xml:space="preserve">Baker Street Village RAD </v>
      </c>
      <c r="M4" s="1816"/>
      <c r="N4" s="1816"/>
      <c r="O4" s="1816"/>
      <c r="P4" s="1816"/>
      <c r="Q4" s="1816"/>
      <c r="R4" s="1816"/>
      <c r="S4" s="1816"/>
      <c r="T4" s="1816"/>
      <c r="U4" s="1816"/>
      <c r="V4" s="1816"/>
      <c r="W4" s="1816"/>
      <c r="X4" s="1816"/>
      <c r="Y4" s="1816"/>
      <c r="Z4" s="1816"/>
      <c r="AA4" s="1816"/>
      <c r="AB4" s="1816"/>
      <c r="AC4" s="1817"/>
      <c r="AD4" s="1097"/>
      <c r="AE4" s="1097"/>
      <c r="AF4" s="1829" t="s">
        <v>1888</v>
      </c>
      <c r="AG4" s="1829"/>
      <c r="AH4" s="1829"/>
      <c r="AI4" s="1829"/>
      <c r="AJ4" s="1829"/>
      <c r="AK4" s="1829"/>
      <c r="AL4" s="1829"/>
      <c r="AM4" s="1829"/>
      <c r="AN4" s="1829"/>
      <c r="AO4" s="1829"/>
      <c r="AP4" s="1830"/>
      <c r="AQ4" s="1831"/>
      <c r="AR4" s="1831"/>
      <c r="AS4" s="1831"/>
      <c r="AT4" s="1831"/>
      <c r="AU4" s="1831"/>
      <c r="AV4" s="1097"/>
      <c r="AW4" s="1097"/>
      <c r="AX4" s="1812" t="s">
        <v>1889</v>
      </c>
      <c r="AY4" s="1813"/>
      <c r="AZ4" s="1813"/>
      <c r="BA4" s="1814"/>
      <c r="BB4" s="1221">
        <f t="array" ref="BB4">ROUNDDOWN(SUM(IF((B19:I27&gt;0)*(B19:I27&lt;=30%),J19:O27,0))/J29,2)</f>
        <v>0.08</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29" t="s">
        <v>1890</v>
      </c>
      <c r="AG5" s="1829"/>
      <c r="AH5" s="1829"/>
      <c r="AI5" s="1829"/>
      <c r="AJ5" s="1829"/>
      <c r="AK5" s="1829"/>
      <c r="AL5" s="1829"/>
      <c r="AM5" s="1829"/>
      <c r="AN5" s="1829"/>
      <c r="AO5" s="1829"/>
      <c r="AP5" s="1830"/>
      <c r="AQ5" s="1831"/>
      <c r="AR5" s="1831"/>
      <c r="AS5" s="1831"/>
      <c r="AT5" s="1831"/>
      <c r="AU5" s="1831"/>
      <c r="AV5" s="1097"/>
      <c r="AW5" s="1097"/>
      <c r="AX5" s="1812" t="s">
        <v>1891</v>
      </c>
      <c r="AY5" s="1813"/>
      <c r="AZ5" s="1813"/>
      <c r="BA5" s="1814"/>
      <c r="BB5" s="1221">
        <f t="array" ref="BB5">ROUNDDOWN(SUM(IF((B19:I27&gt;0%)*(B19:I27&lt;=50%),J19:O27,0))/J29,2)</f>
        <v>0.38</v>
      </c>
      <c r="BC5" s="1222"/>
      <c r="BD5" s="1222"/>
      <c r="BE5" s="1223"/>
    </row>
    <row r="6" spans="1:65" ht="15.75" customHeight="1" thickBot="1">
      <c r="A6" s="1096"/>
      <c r="B6" s="1098" t="s">
        <v>1892</v>
      </c>
      <c r="C6" s="1097"/>
      <c r="D6" s="1097"/>
      <c r="E6" s="1097"/>
      <c r="F6" s="1097"/>
      <c r="G6" s="1097"/>
      <c r="H6" s="1097"/>
      <c r="I6" s="1097"/>
      <c r="J6" s="1097"/>
      <c r="K6" s="1097"/>
      <c r="L6" s="1815" t="str">
        <f>IF(Application!H16="","",Application!H16)</f>
        <v>Housing Authority of the County of Kern</v>
      </c>
      <c r="M6" s="1816"/>
      <c r="N6" s="1816"/>
      <c r="O6" s="1816"/>
      <c r="P6" s="1816"/>
      <c r="Q6" s="1816"/>
      <c r="R6" s="1816"/>
      <c r="S6" s="1816"/>
      <c r="T6" s="1816"/>
      <c r="U6" s="1816"/>
      <c r="V6" s="1816"/>
      <c r="W6" s="1816"/>
      <c r="X6" s="1816"/>
      <c r="Y6" s="1816"/>
      <c r="Z6" s="1816"/>
      <c r="AA6" s="1816"/>
      <c r="AB6" s="1816"/>
      <c r="AC6" s="1817"/>
      <c r="AD6" s="1097"/>
      <c r="AE6" s="1097"/>
      <c r="AF6" s="1818" t="s">
        <v>1893</v>
      </c>
      <c r="AG6" s="1818"/>
      <c r="AH6" s="1818"/>
      <c r="AI6" s="1818"/>
      <c r="AJ6" s="1818"/>
      <c r="AK6" s="1818"/>
      <c r="AL6" s="1818"/>
      <c r="AM6" s="1818"/>
      <c r="AN6" s="1818"/>
      <c r="AO6" s="1818"/>
      <c r="AP6" s="1819"/>
      <c r="AQ6" s="1819"/>
      <c r="AR6" s="1819"/>
      <c r="AS6" s="1819"/>
      <c r="AT6" s="1819"/>
      <c r="AU6" s="1819"/>
      <c r="AV6" s="1097"/>
      <c r="AW6" s="1097"/>
      <c r="AX6" s="1812" t="s">
        <v>1894</v>
      </c>
      <c r="AY6" s="1813"/>
      <c r="AZ6" s="1813"/>
      <c r="BA6" s="1814"/>
      <c r="BB6" s="1221">
        <f t="array" ref="BB6">ROUNDDOWN(SUM(IF((B19:I27&gt;60%)*(B19:I27&lt;=80%),J19:O27,0))/J29,2)</f>
        <v>0.08</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818" t="s">
        <v>1895</v>
      </c>
      <c r="AG7" s="1818"/>
      <c r="AH7" s="1818"/>
      <c r="AI7" s="1818"/>
      <c r="AJ7" s="1818"/>
      <c r="AK7" s="1818"/>
      <c r="AL7" s="1818"/>
      <c r="AM7" s="1818"/>
      <c r="AN7" s="1818"/>
      <c r="AO7" s="1818"/>
      <c r="AP7" s="1819"/>
      <c r="AQ7" s="1819"/>
      <c r="AR7" s="1819"/>
      <c r="AS7" s="1819"/>
      <c r="AT7" s="1819"/>
      <c r="AU7" s="1819"/>
      <c r="AV7" s="1097"/>
      <c r="AW7" s="1097"/>
      <c r="AX7" s="1097"/>
      <c r="AY7" s="1097"/>
      <c r="AZ7" s="1097"/>
      <c r="BA7" s="1097"/>
      <c r="BB7" s="1097"/>
      <c r="BC7" s="1097"/>
      <c r="BD7" s="1097"/>
      <c r="BE7" s="1099"/>
    </row>
    <row r="8" spans="1:65" thickBot="1">
      <c r="A8" s="1096"/>
      <c r="B8" s="1098" t="s">
        <v>1896</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32" t="str">
        <f>Application!T197</f>
        <v>No</v>
      </c>
      <c r="AC8" s="1833"/>
      <c r="AD8" s="1834"/>
      <c r="AE8" s="1097"/>
      <c r="AF8" s="1818" t="s">
        <v>1897</v>
      </c>
      <c r="AG8" s="1818"/>
      <c r="AH8" s="1818"/>
      <c r="AI8" s="1818"/>
      <c r="AJ8" s="1818"/>
      <c r="AK8" s="1818"/>
      <c r="AL8" s="1818"/>
      <c r="AM8" s="1818"/>
      <c r="AN8" s="1818"/>
      <c r="AO8" s="1818"/>
      <c r="AP8" s="1819" t="s">
        <v>692</v>
      </c>
      <c r="AQ8" s="1819"/>
      <c r="AR8" s="1819"/>
      <c r="AS8" s="1819"/>
      <c r="AT8" s="1819"/>
      <c r="AU8" s="1819"/>
      <c r="AV8" s="1097"/>
      <c r="AW8" s="1097"/>
      <c r="AX8" s="1097"/>
      <c r="AY8" s="1097"/>
      <c r="AZ8" s="1097"/>
      <c r="BA8" s="1097"/>
      <c r="BB8" s="1097"/>
      <c r="BC8" s="1097"/>
      <c r="BD8" s="1097"/>
      <c r="BE8" s="1099"/>
      <c r="BM8" s="1093" t="s">
        <v>1898</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29" t="s">
        <v>1899</v>
      </c>
      <c r="AG9" s="1829"/>
      <c r="AH9" s="1829"/>
      <c r="AI9" s="1829"/>
      <c r="AJ9" s="1829"/>
      <c r="AK9" s="1829"/>
      <c r="AL9" s="1829"/>
      <c r="AM9" s="1829"/>
      <c r="AN9" s="1829"/>
      <c r="AO9" s="1829"/>
      <c r="AP9" s="1830"/>
      <c r="AQ9" s="1831"/>
      <c r="AR9" s="1831"/>
      <c r="AS9" s="1831"/>
      <c r="AT9" s="1831"/>
      <c r="AU9" s="1831"/>
      <c r="AV9" s="1097"/>
      <c r="AW9" s="1097"/>
      <c r="AX9" s="1097"/>
      <c r="AY9" s="1097"/>
      <c r="AZ9" s="1097"/>
      <c r="BA9" s="1097"/>
      <c r="BB9" s="1097"/>
      <c r="BC9" s="1097"/>
      <c r="BD9" s="1097"/>
      <c r="BE9" s="1099"/>
      <c r="BM9" s="1093" t="s">
        <v>1900</v>
      </c>
    </row>
    <row r="10" spans="1:65" ht="15">
      <c r="A10" s="1096"/>
      <c r="B10" s="1098" t="s">
        <v>1901</v>
      </c>
      <c r="C10" s="1098"/>
      <c r="D10" s="1098"/>
      <c r="E10" s="1098"/>
      <c r="F10" s="1098"/>
      <c r="G10" s="1098"/>
      <c r="H10" s="1098"/>
      <c r="I10" s="1098"/>
      <c r="J10" s="1098"/>
      <c r="K10" s="1098"/>
      <c r="L10" s="1098"/>
      <c r="M10" s="1097"/>
      <c r="N10" s="1847">
        <f>Application!AO635</f>
        <v>3300000</v>
      </c>
      <c r="O10" s="1847"/>
      <c r="P10" s="1847"/>
      <c r="Q10" s="1847"/>
      <c r="R10" s="1847"/>
      <c r="S10" s="1847"/>
      <c r="T10" s="1847"/>
      <c r="U10" s="1097"/>
      <c r="V10" s="1097"/>
      <c r="W10" s="1097"/>
      <c r="X10" s="1100"/>
      <c r="Y10" s="1100"/>
      <c r="Z10" s="1100"/>
      <c r="AA10" s="1100"/>
      <c r="AB10" s="1100"/>
      <c r="AC10" s="1100"/>
      <c r="AD10" s="1100"/>
      <c r="AE10" s="1100"/>
      <c r="AF10" s="1829" t="s">
        <v>1902</v>
      </c>
      <c r="AG10" s="1829"/>
      <c r="AH10" s="1829"/>
      <c r="AI10" s="1829"/>
      <c r="AJ10" s="1829"/>
      <c r="AK10" s="1829"/>
      <c r="AL10" s="1829"/>
      <c r="AM10" s="1829"/>
      <c r="AN10" s="1829"/>
      <c r="AO10" s="1829"/>
      <c r="AP10" s="1830"/>
      <c r="AQ10" s="1831"/>
      <c r="AR10" s="1831"/>
      <c r="AS10" s="1831"/>
      <c r="AT10" s="1831"/>
      <c r="AU10" s="1831"/>
      <c r="AV10" s="1100"/>
      <c r="AW10" s="1100"/>
      <c r="AX10" s="1097"/>
      <c r="AY10" s="1097"/>
      <c r="AZ10" s="1097"/>
      <c r="BA10" s="1097"/>
      <c r="BB10" s="1097"/>
      <c r="BC10" s="1097"/>
      <c r="BD10" s="1097"/>
      <c r="BE10" s="1099"/>
      <c r="BM10" s="1093" t="s">
        <v>1903</v>
      </c>
    </row>
    <row r="11" spans="1:65" ht="15">
      <c r="A11" s="1096"/>
      <c r="B11" s="1098" t="s">
        <v>1904</v>
      </c>
      <c r="C11" s="1098"/>
      <c r="D11" s="1098"/>
      <c r="E11" s="1098"/>
      <c r="F11" s="1098"/>
      <c r="G11" s="1098"/>
      <c r="H11" s="1098"/>
      <c r="I11" s="1098"/>
      <c r="J11" s="1098"/>
      <c r="K11" s="1098"/>
      <c r="L11" s="1098"/>
      <c r="M11" s="1097"/>
      <c r="N11" s="1847">
        <f>Application!AA943</f>
        <v>0</v>
      </c>
      <c r="O11" s="1847"/>
      <c r="P11" s="1847"/>
      <c r="Q11" s="1847"/>
      <c r="R11" s="1847"/>
      <c r="S11" s="1847"/>
      <c r="T11" s="1847"/>
      <c r="U11" s="1097"/>
      <c r="V11" s="1097"/>
      <c r="W11" s="1097"/>
      <c r="X11" s="1100"/>
      <c r="Y11" s="1100"/>
      <c r="Z11" s="1100"/>
      <c r="AA11" s="1100"/>
      <c r="AB11" s="1100"/>
      <c r="AC11" s="1100"/>
      <c r="AD11" s="1100"/>
      <c r="AE11" s="1100"/>
      <c r="AF11" s="1829" t="s">
        <v>1905</v>
      </c>
      <c r="AG11" s="1829"/>
      <c r="AH11" s="1829"/>
      <c r="AI11" s="1829"/>
      <c r="AJ11" s="1829"/>
      <c r="AK11" s="1829"/>
      <c r="AL11" s="1829"/>
      <c r="AM11" s="1829"/>
      <c r="AN11" s="1829"/>
      <c r="AO11" s="1829"/>
      <c r="AP11" s="1830"/>
      <c r="AQ11" s="1831"/>
      <c r="AR11" s="1831"/>
      <c r="AS11" s="1831"/>
      <c r="AT11" s="1831"/>
      <c r="AU11" s="1831"/>
      <c r="AV11" s="1100"/>
      <c r="AW11" s="1100"/>
      <c r="AX11" s="1097"/>
      <c r="AY11" s="1097"/>
      <c r="AZ11" s="1097"/>
      <c r="BA11" s="1097"/>
      <c r="BB11" s="1097"/>
      <c r="BC11" s="1097"/>
      <c r="BD11" s="1097"/>
      <c r="BE11" s="1099"/>
      <c r="BM11" s="1093" t="s">
        <v>692</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1906</v>
      </c>
    </row>
    <row r="13" spans="1:65" thickBot="1">
      <c r="A13" s="1097"/>
      <c r="B13" s="1835" t="s">
        <v>1907</v>
      </c>
      <c r="C13" s="1836"/>
      <c r="D13" s="1836"/>
      <c r="E13" s="1836"/>
      <c r="F13" s="1836"/>
      <c r="G13" s="1836"/>
      <c r="H13" s="1836"/>
      <c r="I13" s="1836"/>
      <c r="J13" s="1836"/>
      <c r="K13" s="1836"/>
      <c r="L13" s="1836"/>
      <c r="M13" s="1836"/>
      <c r="N13" s="1836"/>
      <c r="O13" s="1836"/>
      <c r="P13" s="1837"/>
      <c r="Q13" s="1838" t="s">
        <v>700</v>
      </c>
      <c r="R13" s="1839"/>
      <c r="S13" s="1839"/>
      <c r="T13" s="1840"/>
      <c r="U13" s="1100"/>
      <c r="V13" s="1097"/>
      <c r="W13" s="1097"/>
      <c r="X13" s="1097"/>
      <c r="Y13" s="1097"/>
      <c r="Z13" s="1097"/>
      <c r="AA13" s="1841" t="s">
        <v>1908</v>
      </c>
      <c r="AB13" s="1841"/>
      <c r="AC13" s="1841"/>
      <c r="AD13" s="1841"/>
      <c r="AE13" s="1841"/>
      <c r="AF13" s="1841"/>
      <c r="AG13" s="1841"/>
      <c r="AH13" s="1841"/>
      <c r="AI13" s="1841"/>
      <c r="AJ13" s="1841"/>
      <c r="AK13" s="1841"/>
      <c r="AL13" s="1841"/>
      <c r="AM13" s="1841"/>
      <c r="AN13" s="1841"/>
      <c r="AO13" s="1842">
        <f>Application!W481</f>
        <v>0</v>
      </c>
      <c r="AP13" s="1843"/>
      <c r="AQ13" s="1843"/>
      <c r="AR13" s="1843"/>
      <c r="AS13" s="1843"/>
      <c r="AT13" s="1100"/>
      <c r="AU13" s="1100"/>
      <c r="AV13" s="1100"/>
      <c r="AW13" s="1100"/>
      <c r="AX13" s="1100"/>
      <c r="AY13" s="1100"/>
      <c r="AZ13" s="1100"/>
      <c r="BA13" s="1100"/>
      <c r="BB13" s="1100"/>
      <c r="BC13" s="1100"/>
      <c r="BD13" s="1100"/>
      <c r="BE13" s="1101"/>
      <c r="BM13" s="1093" t="s">
        <v>1909</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44" t="s">
        <v>1910</v>
      </c>
      <c r="AB14" s="1844"/>
      <c r="AC14" s="1844"/>
      <c r="AD14" s="1844"/>
      <c r="AE14" s="1844"/>
      <c r="AF14" s="1844"/>
      <c r="AG14" s="1844"/>
      <c r="AH14" s="1844"/>
      <c r="AI14" s="1844"/>
      <c r="AJ14" s="1844"/>
      <c r="AK14" s="1844"/>
      <c r="AL14" s="1844"/>
      <c r="AM14" s="1844"/>
      <c r="AN14" s="1844"/>
      <c r="AO14" s="1845"/>
      <c r="AP14" s="1846"/>
      <c r="AQ14" s="1846"/>
      <c r="AR14" s="1846"/>
      <c r="AS14" s="1846"/>
      <c r="AT14" s="1100"/>
      <c r="AU14" s="1100"/>
      <c r="AV14" s="1100"/>
      <c r="AW14" s="1100"/>
      <c r="AX14" s="1100"/>
      <c r="AY14" s="1100"/>
      <c r="AZ14" s="1100"/>
      <c r="BA14" s="1100"/>
      <c r="BB14" s="1100"/>
      <c r="BC14" s="1100"/>
      <c r="BD14" s="1100"/>
      <c r="BE14" s="1101"/>
    </row>
    <row r="15" spans="1:65" thickBot="1">
      <c r="A15" s="1097"/>
      <c r="B15" s="1848" t="s">
        <v>1911</v>
      </c>
      <c r="C15" s="1849"/>
      <c r="D15" s="1849"/>
      <c r="E15" s="1849"/>
      <c r="F15" s="1849"/>
      <c r="G15" s="1849"/>
      <c r="H15" s="1849"/>
      <c r="I15" s="1849"/>
      <c r="J15" s="1849"/>
      <c r="K15" s="1849"/>
      <c r="L15" s="1849"/>
      <c r="M15" s="1849"/>
      <c r="N15" s="1849"/>
      <c r="O15" s="1849"/>
      <c r="P15" s="1849"/>
      <c r="Q15" s="1849"/>
      <c r="R15" s="1850"/>
      <c r="S15" s="1851" t="str">
        <f>IF(Application!AB215="","",Application!AB215)</f>
        <v/>
      </c>
      <c r="T15" s="1851"/>
      <c r="U15" s="1851"/>
      <c r="V15" s="1851"/>
      <c r="W15" s="1852"/>
      <c r="X15" s="1100"/>
      <c r="Y15" s="1097"/>
      <c r="Z15" s="1097"/>
      <c r="AA15" s="1841" t="s">
        <v>1912</v>
      </c>
      <c r="AB15" s="1841"/>
      <c r="AC15" s="1841"/>
      <c r="AD15" s="1841"/>
      <c r="AE15" s="1841"/>
      <c r="AF15" s="1841"/>
      <c r="AG15" s="1841"/>
      <c r="AH15" s="1841"/>
      <c r="AI15" s="1841"/>
      <c r="AJ15" s="1841"/>
      <c r="AK15" s="1841"/>
      <c r="AL15" s="1841"/>
      <c r="AM15" s="1841"/>
      <c r="AN15" s="1841"/>
      <c r="AO15" s="1845"/>
      <c r="AP15" s="1846"/>
      <c r="AQ15" s="1846"/>
      <c r="AR15" s="1846"/>
      <c r="AS15" s="1846"/>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53" t="s">
        <v>1913</v>
      </c>
      <c r="C17" s="1854"/>
      <c r="D17" s="1854"/>
      <c r="E17" s="1854"/>
      <c r="F17" s="1854"/>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854"/>
      <c r="AS17" s="1854"/>
      <c r="AT17" s="1854"/>
      <c r="AU17" s="1854"/>
      <c r="AV17" s="1854"/>
      <c r="AW17" s="1854"/>
      <c r="AX17" s="1854"/>
      <c r="AY17" s="1855"/>
      <c r="AZ17" s="1097"/>
      <c r="BA17" s="1097"/>
      <c r="BB17" s="1097"/>
      <c r="BC17" s="1097"/>
      <c r="BD17" s="1097"/>
      <c r="BE17" s="1101"/>
      <c r="BF17" s="1095"/>
    </row>
    <row r="18" spans="1:58" ht="15.75" customHeight="1">
      <c r="A18" s="1097"/>
      <c r="B18" s="1856" t="s">
        <v>1914</v>
      </c>
      <c r="C18" s="1857"/>
      <c r="D18" s="1857"/>
      <c r="E18" s="1857"/>
      <c r="F18" s="1857"/>
      <c r="G18" s="1857"/>
      <c r="H18" s="1857"/>
      <c r="I18" s="1858"/>
      <c r="J18" s="1859" t="s">
        <v>1915</v>
      </c>
      <c r="K18" s="1860"/>
      <c r="L18" s="1860"/>
      <c r="M18" s="1860"/>
      <c r="N18" s="1860"/>
      <c r="O18" s="1861"/>
      <c r="P18" s="1859" t="s">
        <v>845</v>
      </c>
      <c r="Q18" s="1860"/>
      <c r="R18" s="1860"/>
      <c r="S18" s="1860"/>
      <c r="T18" s="1860"/>
      <c r="U18" s="1861"/>
      <c r="V18" s="1859" t="s">
        <v>846</v>
      </c>
      <c r="W18" s="1860"/>
      <c r="X18" s="1860"/>
      <c r="Y18" s="1860"/>
      <c r="Z18" s="1860"/>
      <c r="AA18" s="1861"/>
      <c r="AB18" s="1859" t="s">
        <v>847</v>
      </c>
      <c r="AC18" s="1860"/>
      <c r="AD18" s="1860"/>
      <c r="AE18" s="1860"/>
      <c r="AF18" s="1860"/>
      <c r="AG18" s="1861"/>
      <c r="AH18" s="1859" t="s">
        <v>848</v>
      </c>
      <c r="AI18" s="1860"/>
      <c r="AJ18" s="1860"/>
      <c r="AK18" s="1860"/>
      <c r="AL18" s="1860"/>
      <c r="AM18" s="1861"/>
      <c r="AN18" s="1859" t="s">
        <v>849</v>
      </c>
      <c r="AO18" s="1860"/>
      <c r="AP18" s="1860"/>
      <c r="AQ18" s="1860"/>
      <c r="AR18" s="1860"/>
      <c r="AS18" s="1861"/>
      <c r="AT18" s="1859" t="s">
        <v>1916</v>
      </c>
      <c r="AU18" s="1860"/>
      <c r="AV18" s="1860"/>
      <c r="AW18" s="1860"/>
      <c r="AX18" s="1860"/>
      <c r="AY18" s="1862"/>
      <c r="AZ18" s="1097"/>
      <c r="BA18" s="1097"/>
      <c r="BB18" s="1097"/>
      <c r="BC18" s="1097"/>
      <c r="BD18" s="1097"/>
      <c r="BE18" s="1101"/>
    </row>
    <row r="19" spans="1:58" ht="15">
      <c r="A19" s="1097"/>
      <c r="B19" s="1863">
        <v>0.3</v>
      </c>
      <c r="C19" s="1864"/>
      <c r="D19" s="1864"/>
      <c r="E19" s="1864"/>
      <c r="F19" s="1864"/>
      <c r="G19" s="1864"/>
      <c r="H19" s="1864"/>
      <c r="I19" s="1865"/>
      <c r="J19" s="1866">
        <f t="shared" ref="J19:J24" si="0">SUM(P19:AS19)</f>
        <v>3</v>
      </c>
      <c r="K19" s="1867"/>
      <c r="L19" s="1867"/>
      <c r="M19" s="1867"/>
      <c r="N19" s="1867"/>
      <c r="O19" s="1868"/>
      <c r="P19" s="1866" cm="1">
        <f t="array" ref="P19">SUMPRODUCT((Application!$B$726:$B$760 = 'CalHFA Addendum'!P$18)*(Application!$AC$726:$AC$760 = 'CalHFA Addendum'!$B19),Application!$G$726:$G$760)</f>
        <v>0</v>
      </c>
      <c r="Q19" s="1867"/>
      <c r="R19" s="1867"/>
      <c r="S19" s="1867"/>
      <c r="T19" s="1867"/>
      <c r="U19" s="1868"/>
      <c r="V19" s="1866" cm="1">
        <f t="array" ref="V19">SUMPRODUCT((Application!$B$726:$B$760 = 'CalHFA Addendum'!V$18)*(Application!$AC$726:$AC$760 = 'CalHFA Addendum'!$B19),Application!$G$726:$G$760)</f>
        <v>1</v>
      </c>
      <c r="W19" s="1867"/>
      <c r="X19" s="1867"/>
      <c r="Y19" s="1867"/>
      <c r="Z19" s="1867"/>
      <c r="AA19" s="1868"/>
      <c r="AB19" s="1866" cm="1">
        <f t="array" ref="AB19">SUMPRODUCT((Application!$B$726:$B$760 = 'CalHFA Addendum'!AB$18)*(Application!$AC$726:$AC$760 = 'CalHFA Addendum'!$B19),Application!$G$726:$G$760)</f>
        <v>0</v>
      </c>
      <c r="AC19" s="1867"/>
      <c r="AD19" s="1867"/>
      <c r="AE19" s="1867"/>
      <c r="AF19" s="1867"/>
      <c r="AG19" s="1868"/>
      <c r="AH19" s="1866" cm="1">
        <f t="array" ref="AH19">SUMPRODUCT((Application!$B$726:$B$760 = 'CalHFA Addendum'!AH$18)*(Application!$AC$726:$AC$760 = 'CalHFA Addendum'!$B19),Application!$G$726:$G$760)</f>
        <v>2</v>
      </c>
      <c r="AI19" s="1867"/>
      <c r="AJ19" s="1867"/>
      <c r="AK19" s="1867"/>
      <c r="AL19" s="1867"/>
      <c r="AM19" s="1868"/>
      <c r="AN19" s="1866" cm="1">
        <f t="array" ref="AN19">SUMPRODUCT((Application!$B$726:$B$760 = 'CalHFA Addendum'!AN$18)*(Application!$AC$726:$AC$760 = 'CalHFA Addendum'!$B19),Application!$G$726:$G$760)</f>
        <v>0</v>
      </c>
      <c r="AO19" s="1867"/>
      <c r="AP19" s="1867"/>
      <c r="AQ19" s="1867"/>
      <c r="AR19" s="1867"/>
      <c r="AS19" s="1868"/>
      <c r="AT19" s="1869">
        <f>J19/$J$29</f>
        <v>8.3333333333333329E-2</v>
      </c>
      <c r="AU19" s="1870"/>
      <c r="AV19" s="1870"/>
      <c r="AW19" s="1870"/>
      <c r="AX19" s="1870"/>
      <c r="AY19" s="1871"/>
      <c r="AZ19" s="1102"/>
      <c r="BA19" s="1097"/>
      <c r="BB19" s="1097"/>
      <c r="BC19" s="1097"/>
      <c r="BD19" s="1097"/>
      <c r="BE19" s="1101"/>
    </row>
    <row r="20" spans="1:58" ht="15" customHeight="1">
      <c r="A20" s="1097"/>
      <c r="B20" s="1863">
        <v>0.4</v>
      </c>
      <c r="C20" s="1864"/>
      <c r="D20" s="1864"/>
      <c r="E20" s="1864"/>
      <c r="F20" s="1864"/>
      <c r="G20" s="1864"/>
      <c r="H20" s="1864"/>
      <c r="I20" s="1865"/>
      <c r="J20" s="1866">
        <f t="shared" si="0"/>
        <v>0</v>
      </c>
      <c r="K20" s="1867"/>
      <c r="L20" s="1867"/>
      <c r="M20" s="1867"/>
      <c r="N20" s="1867"/>
      <c r="O20" s="1868"/>
      <c r="P20" s="1866" cm="1">
        <f t="array" ref="P20">SUMPRODUCT((Application!$B$726:$B$760 = 'CalHFA Addendum'!P$18)*(Application!$AC$726:$AC$760 = 'CalHFA Addendum'!$B20),Application!$G$726:$G$760)</f>
        <v>0</v>
      </c>
      <c r="Q20" s="1867"/>
      <c r="R20" s="1867"/>
      <c r="S20" s="1867"/>
      <c r="T20" s="1867"/>
      <c r="U20" s="1868"/>
      <c r="V20" s="1866" cm="1">
        <f t="array" ref="V20">SUMPRODUCT((Application!$B$726:$B$760 = 'CalHFA Addendum'!V$18)*(Application!$AC$726:$AC$760 = 'CalHFA Addendum'!$B20),Application!$G$726:$G$760)</f>
        <v>0</v>
      </c>
      <c r="W20" s="1867"/>
      <c r="X20" s="1867"/>
      <c r="Y20" s="1867"/>
      <c r="Z20" s="1867"/>
      <c r="AA20" s="1868"/>
      <c r="AB20" s="1866" cm="1">
        <f t="array" ref="AB20">SUMPRODUCT((Application!$B$726:$B$760 = 'CalHFA Addendum'!AB$18)*(Application!$AC$726:$AC$760 = 'CalHFA Addendum'!$B20),Application!$G$726:$G$760)</f>
        <v>0</v>
      </c>
      <c r="AC20" s="1867"/>
      <c r="AD20" s="1867"/>
      <c r="AE20" s="1867"/>
      <c r="AF20" s="1867"/>
      <c r="AG20" s="1868"/>
      <c r="AH20" s="1866" cm="1">
        <f t="array" ref="AH20">SUMPRODUCT((Application!$B$726:$B$760 = 'CalHFA Addendum'!AH$18)*(Application!$AC$726:$AC$760 = 'CalHFA Addendum'!$B20),Application!$G$726:$G$760)</f>
        <v>0</v>
      </c>
      <c r="AI20" s="1867"/>
      <c r="AJ20" s="1867"/>
      <c r="AK20" s="1867"/>
      <c r="AL20" s="1867"/>
      <c r="AM20" s="1868"/>
      <c r="AN20" s="1866" cm="1">
        <f t="array" ref="AN20">SUMPRODUCT((Application!$B$726:$B$760 = 'CalHFA Addendum'!AN$18)*(Application!$AC$726:$AC$760 = 'CalHFA Addendum'!$B20),Application!$G$726:$G$760)</f>
        <v>0</v>
      </c>
      <c r="AO20" s="1867"/>
      <c r="AP20" s="1867"/>
      <c r="AQ20" s="1867"/>
      <c r="AR20" s="1867"/>
      <c r="AS20" s="1868"/>
      <c r="AT20" s="1869">
        <f t="shared" ref="AT20:AT29" si="1">J20/$J$29</f>
        <v>0</v>
      </c>
      <c r="AU20" s="1870"/>
      <c r="AV20" s="1870"/>
      <c r="AW20" s="1870"/>
      <c r="AX20" s="1870"/>
      <c r="AY20" s="1871"/>
      <c r="AZ20" s="1097"/>
      <c r="BA20" s="1097"/>
      <c r="BB20" s="1097"/>
      <c r="BC20" s="1097"/>
      <c r="BD20" s="1097"/>
      <c r="BE20" s="1101"/>
    </row>
    <row r="21" spans="1:58" ht="15">
      <c r="A21" s="1097"/>
      <c r="B21" s="1863">
        <v>0.5</v>
      </c>
      <c r="C21" s="1864"/>
      <c r="D21" s="1864"/>
      <c r="E21" s="1864"/>
      <c r="F21" s="1864"/>
      <c r="G21" s="1864"/>
      <c r="H21" s="1864"/>
      <c r="I21" s="1865"/>
      <c r="J21" s="1866">
        <f t="shared" si="0"/>
        <v>11</v>
      </c>
      <c r="K21" s="1867"/>
      <c r="L21" s="1867"/>
      <c r="M21" s="1867"/>
      <c r="N21" s="1867"/>
      <c r="O21" s="1868"/>
      <c r="P21" s="1866" cm="1">
        <f t="array" ref="P21">SUMPRODUCT((Application!$B$726:$B$760 = 'CalHFA Addendum'!P$18)*(Application!$AC$726:$AC$760 = 'CalHFA Addendum'!$B21),Application!$G$726:$G$760)</f>
        <v>0</v>
      </c>
      <c r="Q21" s="1867"/>
      <c r="R21" s="1867"/>
      <c r="S21" s="1867"/>
      <c r="T21" s="1867"/>
      <c r="U21" s="1868"/>
      <c r="V21" s="1866" cm="1">
        <f t="array" ref="V21">SUMPRODUCT((Application!$B$726:$B$760 = 'CalHFA Addendum'!V$18)*(Application!$AC$726:$AC$760 = 'CalHFA Addendum'!$B21),Application!$G$726:$G$760)</f>
        <v>3</v>
      </c>
      <c r="W21" s="1867"/>
      <c r="X21" s="1867"/>
      <c r="Y21" s="1867"/>
      <c r="Z21" s="1867"/>
      <c r="AA21" s="1868"/>
      <c r="AB21" s="1866" cm="1">
        <f t="array" ref="AB21">SUMPRODUCT((Application!$B$726:$B$760 = 'CalHFA Addendum'!AB$18)*(Application!$AC$726:$AC$760 = 'CalHFA Addendum'!$B21),Application!$G$726:$G$760)</f>
        <v>0</v>
      </c>
      <c r="AC21" s="1867"/>
      <c r="AD21" s="1867"/>
      <c r="AE21" s="1867"/>
      <c r="AF21" s="1867"/>
      <c r="AG21" s="1868"/>
      <c r="AH21" s="1866" cm="1">
        <f t="array" ref="AH21">SUMPRODUCT((Application!$B$726:$B$760 = 'CalHFA Addendum'!AH$18)*(Application!$AC$726:$AC$760 = 'CalHFA Addendum'!$B21),Application!$G$726:$G$760)</f>
        <v>8</v>
      </c>
      <c r="AI21" s="1867"/>
      <c r="AJ21" s="1867"/>
      <c r="AK21" s="1867"/>
      <c r="AL21" s="1867"/>
      <c r="AM21" s="1868"/>
      <c r="AN21" s="1866" cm="1">
        <f t="array" ref="AN21">SUMPRODUCT((Application!$B$726:$B$760 = 'CalHFA Addendum'!AN$18)*(Application!$AC$726:$AC$760 = 'CalHFA Addendum'!$B21),Application!$G$726:$G$760)</f>
        <v>0</v>
      </c>
      <c r="AO21" s="1867"/>
      <c r="AP21" s="1867"/>
      <c r="AQ21" s="1867"/>
      <c r="AR21" s="1867"/>
      <c r="AS21" s="1868"/>
      <c r="AT21" s="1869">
        <f t="shared" si="1"/>
        <v>0.30555555555555558</v>
      </c>
      <c r="AU21" s="1870"/>
      <c r="AV21" s="1870"/>
      <c r="AW21" s="1870"/>
      <c r="AX21" s="1870"/>
      <c r="AY21" s="1871"/>
      <c r="AZ21" s="1097"/>
      <c r="BA21" s="1097"/>
      <c r="BB21" s="1097"/>
      <c r="BC21" s="1097"/>
      <c r="BD21" s="1097"/>
      <c r="BE21" s="1101"/>
    </row>
    <row r="22" spans="1:58" ht="15">
      <c r="A22" s="1097"/>
      <c r="B22" s="1863">
        <v>0.6</v>
      </c>
      <c r="C22" s="1864"/>
      <c r="D22" s="1864"/>
      <c r="E22" s="1864"/>
      <c r="F22" s="1864"/>
      <c r="G22" s="1864"/>
      <c r="H22" s="1864"/>
      <c r="I22" s="1865"/>
      <c r="J22" s="1866">
        <f t="shared" si="0"/>
        <v>18</v>
      </c>
      <c r="K22" s="1867"/>
      <c r="L22" s="1867"/>
      <c r="M22" s="1867"/>
      <c r="N22" s="1867"/>
      <c r="O22" s="1868"/>
      <c r="P22" s="1866" cm="1">
        <f t="array" ref="P22">SUMPRODUCT((Application!$B$726:$B$760 = 'CalHFA Addendum'!P$18)*(Application!$AC$726:$AC$760 = 'CalHFA Addendum'!$B22),Application!$G$726:$G$760)</f>
        <v>0</v>
      </c>
      <c r="Q22" s="1867"/>
      <c r="R22" s="1867"/>
      <c r="S22" s="1867"/>
      <c r="T22" s="1867"/>
      <c r="U22" s="1868"/>
      <c r="V22" s="1866" cm="1">
        <f t="array" ref="V22">SUMPRODUCT((Application!$B$726:$B$760 = 'CalHFA Addendum'!V$18)*(Application!$AC$726:$AC$760 = 'CalHFA Addendum'!$B22),Application!$G$726:$G$760)</f>
        <v>7</v>
      </c>
      <c r="W22" s="1867"/>
      <c r="X22" s="1867"/>
      <c r="Y22" s="1867"/>
      <c r="Z22" s="1867"/>
      <c r="AA22" s="1868"/>
      <c r="AB22" s="1866" cm="1">
        <f t="array" ref="AB22">SUMPRODUCT((Application!$B$726:$B$760 = 'CalHFA Addendum'!AB$18)*(Application!$AC$726:$AC$760 = 'CalHFA Addendum'!$B22),Application!$G$726:$G$760)</f>
        <v>0</v>
      </c>
      <c r="AC22" s="1867"/>
      <c r="AD22" s="1867"/>
      <c r="AE22" s="1867"/>
      <c r="AF22" s="1867"/>
      <c r="AG22" s="1868"/>
      <c r="AH22" s="1866" cm="1">
        <f t="array" ref="AH22">SUMPRODUCT((Application!$B$726:$B$760 = 'CalHFA Addendum'!AH$18)*(Application!$AC$726:$AC$760 = 'CalHFA Addendum'!$B22),Application!$G$726:$G$760)</f>
        <v>11</v>
      </c>
      <c r="AI22" s="1867"/>
      <c r="AJ22" s="1867"/>
      <c r="AK22" s="1867"/>
      <c r="AL22" s="1867"/>
      <c r="AM22" s="1868"/>
      <c r="AN22" s="1866" cm="1">
        <f t="array" ref="AN22">SUMPRODUCT((Application!$B$726:$B$760 = 'CalHFA Addendum'!AN$18)*(Application!$AC$726:$AC$760 = 'CalHFA Addendum'!$B22),Application!$G$726:$G$760)</f>
        <v>0</v>
      </c>
      <c r="AO22" s="1867"/>
      <c r="AP22" s="1867"/>
      <c r="AQ22" s="1867"/>
      <c r="AR22" s="1867"/>
      <c r="AS22" s="1868"/>
      <c r="AT22" s="1869">
        <f t="shared" si="1"/>
        <v>0.5</v>
      </c>
      <c r="AU22" s="1870"/>
      <c r="AV22" s="1870"/>
      <c r="AW22" s="1870"/>
      <c r="AX22" s="1870"/>
      <c r="AY22" s="1871"/>
      <c r="AZ22" s="1097"/>
      <c r="BA22" s="1097"/>
      <c r="BB22" s="1097"/>
      <c r="BC22" s="1097"/>
      <c r="BD22" s="1097"/>
      <c r="BE22" s="1101"/>
    </row>
    <row r="23" spans="1:58" ht="15">
      <c r="A23" s="1097"/>
      <c r="B23" s="1863">
        <v>0.7</v>
      </c>
      <c r="C23" s="1864"/>
      <c r="D23" s="1864"/>
      <c r="E23" s="1864"/>
      <c r="F23" s="1864"/>
      <c r="G23" s="1864"/>
      <c r="H23" s="1864"/>
      <c r="I23" s="1865"/>
      <c r="J23" s="1866">
        <f t="shared" si="0"/>
        <v>0</v>
      </c>
      <c r="K23" s="1867"/>
      <c r="L23" s="1867"/>
      <c r="M23" s="1867"/>
      <c r="N23" s="1867"/>
      <c r="O23" s="1868"/>
      <c r="P23" s="1866" cm="1">
        <f t="array" ref="P23">SUMPRODUCT((Application!$B$726:$B$760 = 'CalHFA Addendum'!P$18)*(Application!$AC$726:$AC$760 = 'CalHFA Addendum'!$B23),Application!$G$726:$G$760)</f>
        <v>0</v>
      </c>
      <c r="Q23" s="1867"/>
      <c r="R23" s="1867"/>
      <c r="S23" s="1867"/>
      <c r="T23" s="1867"/>
      <c r="U23" s="1868"/>
      <c r="V23" s="1866" cm="1">
        <f t="array" ref="V23">SUMPRODUCT((Application!$B$726:$B$760 = 'CalHFA Addendum'!V$18)*(Application!$AC$726:$AC$760 = 'CalHFA Addendum'!$B23),Application!$G$726:$G$760)</f>
        <v>0</v>
      </c>
      <c r="W23" s="1867"/>
      <c r="X23" s="1867"/>
      <c r="Y23" s="1867"/>
      <c r="Z23" s="1867"/>
      <c r="AA23" s="1868"/>
      <c r="AB23" s="1866" cm="1">
        <f t="array" ref="AB23">SUMPRODUCT((Application!$B$726:$B$760 = 'CalHFA Addendum'!AB$18)*(Application!$AC$726:$AC$760 = 'CalHFA Addendum'!$B23),Application!$G$726:$G$760)</f>
        <v>0</v>
      </c>
      <c r="AC23" s="1867"/>
      <c r="AD23" s="1867"/>
      <c r="AE23" s="1867"/>
      <c r="AF23" s="1867"/>
      <c r="AG23" s="1868"/>
      <c r="AH23" s="1866" cm="1">
        <f t="array" ref="AH23">SUMPRODUCT((Application!$B$726:$B$760 = 'CalHFA Addendum'!AH$18)*(Application!$AC$726:$AC$760 = 'CalHFA Addendum'!$B23),Application!$G$726:$G$760)</f>
        <v>0</v>
      </c>
      <c r="AI23" s="1867"/>
      <c r="AJ23" s="1867"/>
      <c r="AK23" s="1867"/>
      <c r="AL23" s="1867"/>
      <c r="AM23" s="1868"/>
      <c r="AN23" s="1866" cm="1">
        <f t="array" ref="AN23">SUMPRODUCT((Application!$B$726:$B$760 = 'CalHFA Addendum'!AN$18)*(Application!$AC$726:$AC$760 = 'CalHFA Addendum'!$B23),Application!$G$726:$G$760)</f>
        <v>0</v>
      </c>
      <c r="AO23" s="1867"/>
      <c r="AP23" s="1867"/>
      <c r="AQ23" s="1867"/>
      <c r="AR23" s="1867"/>
      <c r="AS23" s="1868"/>
      <c r="AT23" s="1869">
        <f t="shared" si="1"/>
        <v>0</v>
      </c>
      <c r="AU23" s="1870"/>
      <c r="AV23" s="1870"/>
      <c r="AW23" s="1870"/>
      <c r="AX23" s="1870"/>
      <c r="AY23" s="1871"/>
      <c r="AZ23" s="1097"/>
      <c r="BA23" s="1097"/>
      <c r="BB23" s="1097"/>
      <c r="BC23" s="1097"/>
      <c r="BD23" s="1097"/>
      <c r="BE23" s="1101"/>
    </row>
    <row r="24" spans="1:58" ht="15">
      <c r="A24" s="1097"/>
      <c r="B24" s="1863">
        <v>0.8</v>
      </c>
      <c r="C24" s="1864"/>
      <c r="D24" s="1864"/>
      <c r="E24" s="1864"/>
      <c r="F24" s="1864"/>
      <c r="G24" s="1864"/>
      <c r="H24" s="1864"/>
      <c r="I24" s="1865"/>
      <c r="J24" s="1866">
        <f t="shared" si="0"/>
        <v>3</v>
      </c>
      <c r="K24" s="1867"/>
      <c r="L24" s="1867"/>
      <c r="M24" s="1867"/>
      <c r="N24" s="1867"/>
      <c r="O24" s="1868"/>
      <c r="P24" s="1866" cm="1">
        <f t="array" ref="P24">SUMPRODUCT((Application!$B$726:$B$760 = 'CalHFA Addendum'!P$18)*(Application!$AC$726:$AC$760 = 'CalHFA Addendum'!$B24),Application!$G$726:$G$760)</f>
        <v>0</v>
      </c>
      <c r="Q24" s="1867"/>
      <c r="R24" s="1867"/>
      <c r="S24" s="1867"/>
      <c r="T24" s="1867"/>
      <c r="U24" s="1868"/>
      <c r="V24" s="1866" cm="1">
        <f t="array" ref="V24">SUMPRODUCT((Application!$B$726:$B$760 = 'CalHFA Addendum'!V$18)*(Application!$AC$726:$AC$760 = 'CalHFA Addendum'!$B24),Application!$G$726:$G$760)</f>
        <v>1</v>
      </c>
      <c r="W24" s="1867"/>
      <c r="X24" s="1867"/>
      <c r="Y24" s="1867"/>
      <c r="Z24" s="1867"/>
      <c r="AA24" s="1868"/>
      <c r="AB24" s="1866" cm="1">
        <f t="array" ref="AB24">SUMPRODUCT((Application!$B$726:$B$760 = 'CalHFA Addendum'!AB$18)*(Application!$AC$726:$AC$760 = 'CalHFA Addendum'!$B24),Application!$G$726:$G$760)</f>
        <v>0</v>
      </c>
      <c r="AC24" s="1867"/>
      <c r="AD24" s="1867"/>
      <c r="AE24" s="1867"/>
      <c r="AF24" s="1867"/>
      <c r="AG24" s="1868"/>
      <c r="AH24" s="1866" cm="1">
        <f t="array" ref="AH24">SUMPRODUCT((Application!$B$726:$B$760 = 'CalHFA Addendum'!AH$18)*(Application!$AC$726:$AC$760 = 'CalHFA Addendum'!$B24),Application!$G$726:$G$760)</f>
        <v>2</v>
      </c>
      <c r="AI24" s="1867"/>
      <c r="AJ24" s="1867"/>
      <c r="AK24" s="1867"/>
      <c r="AL24" s="1867"/>
      <c r="AM24" s="1868"/>
      <c r="AN24" s="1866" cm="1">
        <f t="array" ref="AN24">SUMPRODUCT((Application!$B$726:$B$760 = 'CalHFA Addendum'!AN$18)*(Application!$AC$726:$AC$760 = 'CalHFA Addendum'!$B24),Application!$G$726:$G$760)</f>
        <v>0</v>
      </c>
      <c r="AO24" s="1867"/>
      <c r="AP24" s="1867"/>
      <c r="AQ24" s="1867"/>
      <c r="AR24" s="1867"/>
      <c r="AS24" s="1868"/>
      <c r="AT24" s="1869">
        <f t="shared" si="1"/>
        <v>8.3333333333333329E-2</v>
      </c>
      <c r="AU24" s="1870"/>
      <c r="AV24" s="1870"/>
      <c r="AW24" s="1870"/>
      <c r="AX24" s="1870"/>
      <c r="AY24" s="1871"/>
      <c r="AZ24" s="1097"/>
      <c r="BA24" s="1097"/>
      <c r="BB24" s="1097"/>
      <c r="BC24" s="1097"/>
      <c r="BD24" s="1097"/>
      <c r="BE24" s="1101"/>
    </row>
    <row r="25" spans="1:58" ht="15">
      <c r="A25" s="1097"/>
      <c r="B25" s="1863">
        <v>0.9</v>
      </c>
      <c r="C25" s="1864"/>
      <c r="D25" s="1864"/>
      <c r="E25" s="1864"/>
      <c r="F25" s="1864"/>
      <c r="G25" s="1864"/>
      <c r="H25" s="1864"/>
      <c r="I25" s="1865"/>
      <c r="J25" s="1872"/>
      <c r="K25" s="1873"/>
      <c r="L25" s="1873"/>
      <c r="M25" s="1873"/>
      <c r="N25" s="1873"/>
      <c r="O25" s="1874"/>
      <c r="P25" s="1872"/>
      <c r="Q25" s="1873"/>
      <c r="R25" s="1873"/>
      <c r="S25" s="1873"/>
      <c r="T25" s="1873"/>
      <c r="U25" s="1874"/>
      <c r="V25" s="1872"/>
      <c r="W25" s="1873"/>
      <c r="X25" s="1873"/>
      <c r="Y25" s="1873"/>
      <c r="Z25" s="1873"/>
      <c r="AA25" s="1874"/>
      <c r="AB25" s="1872"/>
      <c r="AC25" s="1873"/>
      <c r="AD25" s="1873"/>
      <c r="AE25" s="1873"/>
      <c r="AF25" s="1873"/>
      <c r="AG25" s="1874"/>
      <c r="AH25" s="1872"/>
      <c r="AI25" s="1873"/>
      <c r="AJ25" s="1873"/>
      <c r="AK25" s="1873"/>
      <c r="AL25" s="1873"/>
      <c r="AM25" s="1874"/>
      <c r="AN25" s="1872"/>
      <c r="AO25" s="1873"/>
      <c r="AP25" s="1873"/>
      <c r="AQ25" s="1873"/>
      <c r="AR25" s="1873"/>
      <c r="AS25" s="1874"/>
      <c r="AT25" s="1869">
        <f t="shared" si="1"/>
        <v>0</v>
      </c>
      <c r="AU25" s="1870"/>
      <c r="AV25" s="1870"/>
      <c r="AW25" s="1870"/>
      <c r="AX25" s="1870"/>
      <c r="AY25" s="1871"/>
      <c r="AZ25" s="1097"/>
      <c r="BA25" s="1097"/>
      <c r="BB25" s="1097"/>
      <c r="BC25" s="1097"/>
      <c r="BD25" s="1097"/>
      <c r="BE25" s="1101"/>
    </row>
    <row r="26" spans="1:58" ht="15">
      <c r="A26" s="1097"/>
      <c r="B26" s="1863">
        <v>1</v>
      </c>
      <c r="C26" s="1864"/>
      <c r="D26" s="1864"/>
      <c r="E26" s="1864"/>
      <c r="F26" s="1864"/>
      <c r="G26" s="1864"/>
      <c r="H26" s="1864"/>
      <c r="I26" s="1865"/>
      <c r="J26" s="1872"/>
      <c r="K26" s="1873"/>
      <c r="L26" s="1873"/>
      <c r="M26" s="1873"/>
      <c r="N26" s="1873"/>
      <c r="O26" s="1874"/>
      <c r="P26" s="1872"/>
      <c r="Q26" s="1873"/>
      <c r="R26" s="1873"/>
      <c r="S26" s="1873"/>
      <c r="T26" s="1873"/>
      <c r="U26" s="1874"/>
      <c r="V26" s="1872"/>
      <c r="W26" s="1873"/>
      <c r="X26" s="1873"/>
      <c r="Y26" s="1873"/>
      <c r="Z26" s="1873"/>
      <c r="AA26" s="1874"/>
      <c r="AB26" s="1872"/>
      <c r="AC26" s="1873"/>
      <c r="AD26" s="1873"/>
      <c r="AE26" s="1873"/>
      <c r="AF26" s="1873"/>
      <c r="AG26" s="1874"/>
      <c r="AH26" s="1872"/>
      <c r="AI26" s="1873"/>
      <c r="AJ26" s="1873"/>
      <c r="AK26" s="1873"/>
      <c r="AL26" s="1873"/>
      <c r="AM26" s="1874"/>
      <c r="AN26" s="1872"/>
      <c r="AO26" s="1873"/>
      <c r="AP26" s="1873"/>
      <c r="AQ26" s="1873"/>
      <c r="AR26" s="1873"/>
      <c r="AS26" s="1874"/>
      <c r="AT26" s="1869">
        <f t="shared" si="1"/>
        <v>0</v>
      </c>
      <c r="AU26" s="1870"/>
      <c r="AV26" s="1870"/>
      <c r="AW26" s="1870"/>
      <c r="AX26" s="1870"/>
      <c r="AY26" s="1871"/>
      <c r="AZ26" s="1097"/>
      <c r="BA26" s="1097"/>
      <c r="BB26" s="1097"/>
      <c r="BC26" s="1097"/>
      <c r="BD26" s="1097"/>
      <c r="BE26" s="1101"/>
    </row>
    <row r="27" spans="1:58" ht="15">
      <c r="A27" s="1097"/>
      <c r="B27" s="1863">
        <v>1.2</v>
      </c>
      <c r="C27" s="1864"/>
      <c r="D27" s="1864"/>
      <c r="E27" s="1864"/>
      <c r="F27" s="1864"/>
      <c r="G27" s="1864"/>
      <c r="H27" s="1864"/>
      <c r="I27" s="1865"/>
      <c r="J27" s="1872"/>
      <c r="K27" s="1873"/>
      <c r="L27" s="1873"/>
      <c r="M27" s="1873"/>
      <c r="N27" s="1873"/>
      <c r="O27" s="1874"/>
      <c r="P27" s="1872"/>
      <c r="Q27" s="1873"/>
      <c r="R27" s="1873"/>
      <c r="S27" s="1873"/>
      <c r="T27" s="1873"/>
      <c r="U27" s="1874"/>
      <c r="V27" s="1872"/>
      <c r="W27" s="1873"/>
      <c r="X27" s="1873"/>
      <c r="Y27" s="1873"/>
      <c r="Z27" s="1873"/>
      <c r="AA27" s="1874"/>
      <c r="AB27" s="1872"/>
      <c r="AC27" s="1873"/>
      <c r="AD27" s="1873"/>
      <c r="AE27" s="1873"/>
      <c r="AF27" s="1873"/>
      <c r="AG27" s="1874"/>
      <c r="AH27" s="1872"/>
      <c r="AI27" s="1873"/>
      <c r="AJ27" s="1873"/>
      <c r="AK27" s="1873"/>
      <c r="AL27" s="1873"/>
      <c r="AM27" s="1874"/>
      <c r="AN27" s="1872"/>
      <c r="AO27" s="1873"/>
      <c r="AP27" s="1873"/>
      <c r="AQ27" s="1873"/>
      <c r="AR27" s="1873"/>
      <c r="AS27" s="1874"/>
      <c r="AT27" s="1869">
        <f t="shared" si="1"/>
        <v>0</v>
      </c>
      <c r="AU27" s="1870"/>
      <c r="AV27" s="1870"/>
      <c r="AW27" s="1870"/>
      <c r="AX27" s="1870"/>
      <c r="AY27" s="1871"/>
      <c r="AZ27" s="1097"/>
      <c r="BA27" s="1097"/>
      <c r="BB27" s="1097"/>
      <c r="BC27" s="1097"/>
      <c r="BD27" s="1097"/>
      <c r="BE27" s="1101"/>
    </row>
    <row r="28" spans="1:58" thickBot="1">
      <c r="A28" s="1097"/>
      <c r="B28" s="1875" t="s">
        <v>1917</v>
      </c>
      <c r="C28" s="1876"/>
      <c r="D28" s="1876"/>
      <c r="E28" s="1876"/>
      <c r="F28" s="1876"/>
      <c r="G28" s="1876"/>
      <c r="H28" s="1876"/>
      <c r="I28" s="1877"/>
      <c r="J28" s="1878">
        <f>SUM(P28:AS28)</f>
        <v>1</v>
      </c>
      <c r="K28" s="1879"/>
      <c r="L28" s="1879"/>
      <c r="M28" s="1879"/>
      <c r="N28" s="1879"/>
      <c r="O28" s="1880"/>
      <c r="P28" s="1878">
        <f>_xlfn.IFNA(VLOOKUP(P$18,Application!$J$781:$S$784,6,FALSE), 0)</f>
        <v>0</v>
      </c>
      <c r="Q28" s="1879"/>
      <c r="R28" s="1879"/>
      <c r="S28" s="1879"/>
      <c r="T28" s="1879"/>
      <c r="U28" s="1880"/>
      <c r="V28" s="1878">
        <f>_xlfn.IFNA(VLOOKUP(V$18,Application!$J$781:$S$784,6,FALSE), 0)</f>
        <v>1</v>
      </c>
      <c r="W28" s="1879"/>
      <c r="X28" s="1879"/>
      <c r="Y28" s="1879"/>
      <c r="Z28" s="1879"/>
      <c r="AA28" s="1880"/>
      <c r="AB28" s="1878">
        <f>_xlfn.IFNA(VLOOKUP(AB$18,Application!$J$781:$S$784,6,FALSE), 0)</f>
        <v>0</v>
      </c>
      <c r="AC28" s="1879"/>
      <c r="AD28" s="1879"/>
      <c r="AE28" s="1879"/>
      <c r="AF28" s="1879"/>
      <c r="AG28" s="1880"/>
      <c r="AH28" s="1878">
        <f>_xlfn.IFNA(VLOOKUP(AH$18,Application!$J$781:$S$784,6,FALSE), 0)</f>
        <v>0</v>
      </c>
      <c r="AI28" s="1879"/>
      <c r="AJ28" s="1879"/>
      <c r="AK28" s="1879"/>
      <c r="AL28" s="1879"/>
      <c r="AM28" s="1880"/>
      <c r="AN28" s="1878">
        <f>_xlfn.IFNA(VLOOKUP(AN$18,Application!$J$781:$S$784,6,FALSE), 0)</f>
        <v>0</v>
      </c>
      <c r="AO28" s="1879"/>
      <c r="AP28" s="1879"/>
      <c r="AQ28" s="1879"/>
      <c r="AR28" s="1879"/>
      <c r="AS28" s="1880"/>
      <c r="AT28" s="1881">
        <f t="shared" si="1"/>
        <v>2.7777777777777776E-2</v>
      </c>
      <c r="AU28" s="1882"/>
      <c r="AV28" s="1882"/>
      <c r="AW28" s="1882"/>
      <c r="AX28" s="1882"/>
      <c r="AY28" s="1883"/>
      <c r="AZ28" s="1097"/>
      <c r="BA28" s="1097"/>
      <c r="BB28" s="1097"/>
      <c r="BC28" s="1097"/>
      <c r="BD28" s="1097"/>
      <c r="BE28" s="1101"/>
    </row>
    <row r="29" spans="1:58" thickBot="1">
      <c r="A29" s="1097"/>
      <c r="B29" s="1912" t="s">
        <v>1915</v>
      </c>
      <c r="C29" s="1885"/>
      <c r="D29" s="1885"/>
      <c r="E29" s="1885"/>
      <c r="F29" s="1885"/>
      <c r="G29" s="1885"/>
      <c r="H29" s="1885"/>
      <c r="I29" s="1886"/>
      <c r="J29" s="1884">
        <f>SUM(J19:O28)</f>
        <v>36</v>
      </c>
      <c r="K29" s="1885"/>
      <c r="L29" s="1885"/>
      <c r="M29" s="1885"/>
      <c r="N29" s="1885"/>
      <c r="O29" s="1886"/>
      <c r="P29" s="1884">
        <f>SUM(P19:U28)</f>
        <v>0</v>
      </c>
      <c r="Q29" s="1885"/>
      <c r="R29" s="1885"/>
      <c r="S29" s="1885"/>
      <c r="T29" s="1885"/>
      <c r="U29" s="1886"/>
      <c r="V29" s="1884">
        <f>SUM(V19:AA28)</f>
        <v>13</v>
      </c>
      <c r="W29" s="1885"/>
      <c r="X29" s="1885"/>
      <c r="Y29" s="1885"/>
      <c r="Z29" s="1885"/>
      <c r="AA29" s="1886"/>
      <c r="AB29" s="1884">
        <f>SUM(AB19:AG28)</f>
        <v>0</v>
      </c>
      <c r="AC29" s="1885"/>
      <c r="AD29" s="1885"/>
      <c r="AE29" s="1885"/>
      <c r="AF29" s="1885"/>
      <c r="AG29" s="1886"/>
      <c r="AH29" s="1884">
        <f>SUM(AH19:AM28)</f>
        <v>23</v>
      </c>
      <c r="AI29" s="1885"/>
      <c r="AJ29" s="1885"/>
      <c r="AK29" s="1885"/>
      <c r="AL29" s="1885"/>
      <c r="AM29" s="1886"/>
      <c r="AN29" s="1884">
        <f>SUM(AN19:AS28)</f>
        <v>0</v>
      </c>
      <c r="AO29" s="1885"/>
      <c r="AP29" s="1885"/>
      <c r="AQ29" s="1885"/>
      <c r="AR29" s="1885"/>
      <c r="AS29" s="1886"/>
      <c r="AT29" s="1887">
        <f t="shared" si="1"/>
        <v>1</v>
      </c>
      <c r="AU29" s="1888"/>
      <c r="AV29" s="1888"/>
      <c r="AW29" s="1888"/>
      <c r="AX29" s="1888"/>
      <c r="AY29" s="1889"/>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1890" t="s">
        <v>1918</v>
      </c>
      <c r="C31" s="1891"/>
      <c r="D31" s="1891"/>
      <c r="E31" s="1891"/>
      <c r="F31" s="1891"/>
      <c r="G31" s="1891"/>
      <c r="H31" s="1891"/>
      <c r="I31" s="1891"/>
      <c r="J31" s="1891"/>
      <c r="K31" s="1891"/>
      <c r="L31" s="1891"/>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91"/>
      <c r="AO31" s="1891"/>
      <c r="AP31" s="1891"/>
      <c r="AQ31" s="1891"/>
      <c r="AR31" s="1891"/>
      <c r="AS31" s="1891"/>
      <c r="AT31" s="1891"/>
      <c r="AU31" s="1891"/>
      <c r="AV31" s="1891"/>
      <c r="AW31" s="1891"/>
      <c r="AX31" s="1891"/>
      <c r="AY31" s="1891"/>
      <c r="AZ31" s="1891"/>
      <c r="BA31" s="1891"/>
      <c r="BB31" s="1891"/>
      <c r="BC31" s="1891"/>
      <c r="BD31" s="1892"/>
      <c r="BE31" s="1101"/>
    </row>
    <row r="32" spans="1:58" thickBot="1">
      <c r="A32" s="1097"/>
      <c r="B32" s="1893" t="s">
        <v>1919</v>
      </c>
      <c r="C32" s="1894"/>
      <c r="D32" s="1894"/>
      <c r="E32" s="1894"/>
      <c r="F32" s="1894"/>
      <c r="G32" s="1894"/>
      <c r="H32" s="1894"/>
      <c r="I32" s="1894"/>
      <c r="J32" s="1897" t="s">
        <v>1920</v>
      </c>
      <c r="K32" s="1898"/>
      <c r="L32" s="1898"/>
      <c r="M32" s="1898"/>
      <c r="N32" s="1897" t="s">
        <v>1921</v>
      </c>
      <c r="O32" s="1898"/>
      <c r="P32" s="1898"/>
      <c r="Q32" s="1900"/>
      <c r="R32" s="1902" t="s">
        <v>1922</v>
      </c>
      <c r="S32" s="1903"/>
      <c r="T32" s="1903"/>
      <c r="U32" s="1903"/>
      <c r="V32" s="1903"/>
      <c r="W32" s="1903"/>
      <c r="X32" s="1903"/>
      <c r="Y32" s="1903"/>
      <c r="Z32" s="1903"/>
      <c r="AA32" s="1903"/>
      <c r="AB32" s="1903"/>
      <c r="AC32" s="1903"/>
      <c r="AD32" s="1903"/>
      <c r="AE32" s="1903"/>
      <c r="AF32" s="1903"/>
      <c r="AG32" s="1903"/>
      <c r="AH32" s="1903"/>
      <c r="AI32" s="1903"/>
      <c r="AJ32" s="1903"/>
      <c r="AK32" s="1903"/>
      <c r="AL32" s="1903"/>
      <c r="AM32" s="1903"/>
      <c r="AN32" s="1903"/>
      <c r="AO32" s="1903"/>
      <c r="AP32" s="1903"/>
      <c r="AQ32" s="1903"/>
      <c r="AR32" s="1903"/>
      <c r="AS32" s="1903"/>
      <c r="AT32" s="1903"/>
      <c r="AU32" s="1903"/>
      <c r="AV32" s="1903"/>
      <c r="AW32" s="1903"/>
      <c r="AX32" s="1903"/>
      <c r="AY32" s="1903"/>
      <c r="AZ32" s="1903"/>
      <c r="BA32" s="1903"/>
      <c r="BB32" s="1903"/>
      <c r="BC32" s="1903"/>
      <c r="BD32" s="1904"/>
      <c r="BE32" s="1101"/>
    </row>
    <row r="33" spans="1:58" ht="15" customHeight="1">
      <c r="A33" s="1097"/>
      <c r="B33" s="1895"/>
      <c r="C33" s="1896"/>
      <c r="D33" s="1896"/>
      <c r="E33" s="1896"/>
      <c r="F33" s="1896"/>
      <c r="G33" s="1896"/>
      <c r="H33" s="1896"/>
      <c r="I33" s="1896"/>
      <c r="J33" s="1899"/>
      <c r="K33" s="1899"/>
      <c r="L33" s="1899"/>
      <c r="M33" s="1899"/>
      <c r="N33" s="1899"/>
      <c r="O33" s="1899"/>
      <c r="P33" s="1899"/>
      <c r="Q33" s="1901"/>
      <c r="R33" s="1905" t="s">
        <v>1923</v>
      </c>
      <c r="S33" s="1906"/>
      <c r="T33" s="1906"/>
      <c r="U33" s="1906"/>
      <c r="V33" s="1906"/>
      <c r="W33" s="1906"/>
      <c r="X33" s="1906"/>
      <c r="Y33" s="1906"/>
      <c r="Z33" s="1906"/>
      <c r="AA33" s="1906"/>
      <c r="AB33" s="1906"/>
      <c r="AC33" s="1906"/>
      <c r="AD33" s="1906"/>
      <c r="AE33" s="1906"/>
      <c r="AF33" s="1906"/>
      <c r="AG33" s="1906"/>
      <c r="AH33" s="1906"/>
      <c r="AI33" s="1906"/>
      <c r="AJ33" s="1906"/>
      <c r="AK33" s="1906"/>
      <c r="AL33" s="1906"/>
      <c r="AM33" s="1906"/>
      <c r="AN33" s="1906"/>
      <c r="AO33" s="1906"/>
      <c r="AP33" s="1906"/>
      <c r="AQ33" s="1906"/>
      <c r="AR33" s="1906"/>
      <c r="AS33" s="1906"/>
      <c r="AT33" s="1906"/>
      <c r="AU33" s="1906"/>
      <c r="AV33" s="1906"/>
      <c r="AW33" s="1906"/>
      <c r="AX33" s="1906"/>
      <c r="AY33" s="1906"/>
      <c r="AZ33" s="1906"/>
      <c r="BA33" s="1906"/>
      <c r="BB33" s="1906"/>
      <c r="BC33" s="1906"/>
      <c r="BD33" s="1907"/>
      <c r="BE33" s="1101"/>
    </row>
    <row r="34" spans="1:58" ht="15.75" customHeight="1" thickBot="1">
      <c r="A34" s="1097"/>
      <c r="B34" s="1895"/>
      <c r="C34" s="1896"/>
      <c r="D34" s="1896"/>
      <c r="E34" s="1896"/>
      <c r="F34" s="1896"/>
      <c r="G34" s="1896"/>
      <c r="H34" s="1896"/>
      <c r="I34" s="1896"/>
      <c r="J34" s="1899"/>
      <c r="K34" s="1899"/>
      <c r="L34" s="1899"/>
      <c r="M34" s="1899"/>
      <c r="N34" s="1899"/>
      <c r="O34" s="1899"/>
      <c r="P34" s="1899"/>
      <c r="Q34" s="1901"/>
      <c r="R34" s="1908"/>
      <c r="S34" s="1909"/>
      <c r="T34" s="1909"/>
      <c r="U34" s="1909"/>
      <c r="V34" s="1909"/>
      <c r="W34" s="1909"/>
      <c r="X34" s="1909"/>
      <c r="Y34" s="1909"/>
      <c r="Z34" s="1909"/>
      <c r="AA34" s="1909"/>
      <c r="AB34" s="1909"/>
      <c r="AC34" s="1909"/>
      <c r="AD34" s="1909"/>
      <c r="AE34" s="1909"/>
      <c r="AF34" s="1909"/>
      <c r="AG34" s="1909"/>
      <c r="AH34" s="1909"/>
      <c r="AI34" s="1909"/>
      <c r="AJ34" s="1909"/>
      <c r="AK34" s="1909"/>
      <c r="AL34" s="1909"/>
      <c r="AM34" s="1909"/>
      <c r="AN34" s="1909"/>
      <c r="AO34" s="1909"/>
      <c r="AP34" s="1909"/>
      <c r="AQ34" s="1909"/>
      <c r="AR34" s="1909"/>
      <c r="AS34" s="1909"/>
      <c r="AT34" s="1909"/>
      <c r="AU34" s="1909"/>
      <c r="AV34" s="1909"/>
      <c r="AW34" s="1909"/>
      <c r="AX34" s="1909"/>
      <c r="AY34" s="1909"/>
      <c r="AZ34" s="1909"/>
      <c r="BA34" s="1909"/>
      <c r="BB34" s="1909"/>
      <c r="BC34" s="1909"/>
      <c r="BD34" s="1910"/>
      <c r="BE34" s="1101"/>
    </row>
    <row r="35" spans="1:58" ht="15.75" customHeight="1">
      <c r="A35" s="1097"/>
      <c r="B35" s="1895"/>
      <c r="C35" s="1896"/>
      <c r="D35" s="1896"/>
      <c r="E35" s="1896"/>
      <c r="F35" s="1896"/>
      <c r="G35" s="1896"/>
      <c r="H35" s="1896"/>
      <c r="I35" s="1896"/>
      <c r="J35" s="1899"/>
      <c r="K35" s="1899"/>
      <c r="L35" s="1899"/>
      <c r="M35" s="1899"/>
      <c r="N35" s="1899"/>
      <c r="O35" s="1899"/>
      <c r="P35" s="1899"/>
      <c r="Q35" s="1899"/>
      <c r="R35" s="1911">
        <v>0.3</v>
      </c>
      <c r="S35" s="1911"/>
      <c r="T35" s="1911"/>
      <c r="U35" s="1911"/>
      <c r="V35" s="1911">
        <v>0.4</v>
      </c>
      <c r="W35" s="1911"/>
      <c r="X35" s="1911"/>
      <c r="Y35" s="1911"/>
      <c r="Z35" s="1911">
        <v>0.5</v>
      </c>
      <c r="AA35" s="1911"/>
      <c r="AB35" s="1911"/>
      <c r="AC35" s="1911"/>
      <c r="AD35" s="1911">
        <v>0.6</v>
      </c>
      <c r="AE35" s="1911"/>
      <c r="AF35" s="1911"/>
      <c r="AG35" s="1911"/>
      <c r="AH35" s="1911">
        <v>0.7</v>
      </c>
      <c r="AI35" s="1911"/>
      <c r="AJ35" s="1911"/>
      <c r="AK35" s="1911"/>
      <c r="AL35" s="1916">
        <v>0.8</v>
      </c>
      <c r="AM35" s="1917"/>
      <c r="AN35" s="1917"/>
      <c r="AO35" s="1918"/>
      <c r="AP35" s="1919">
        <v>1.2</v>
      </c>
      <c r="AQ35" s="1920"/>
      <c r="AR35" s="1921"/>
      <c r="AS35" s="1913" t="s">
        <v>1924</v>
      </c>
      <c r="AT35" s="1914"/>
      <c r="AU35" s="1914"/>
      <c r="AV35" s="1914"/>
      <c r="AW35" s="1914"/>
      <c r="AX35" s="1922"/>
      <c r="AY35" s="1913" t="s">
        <v>1925</v>
      </c>
      <c r="AZ35" s="1914"/>
      <c r="BA35" s="1914"/>
      <c r="BB35" s="1914"/>
      <c r="BC35" s="1914"/>
      <c r="BD35" s="1915"/>
      <c r="BE35" s="1101"/>
    </row>
    <row r="36" spans="1:58" ht="15.75" customHeight="1">
      <c r="A36" s="1097"/>
      <c r="B36" s="1932" t="s">
        <v>1926</v>
      </c>
      <c r="C36" s="1933"/>
      <c r="D36" s="1933"/>
      <c r="E36" s="1933"/>
      <c r="F36" s="1933"/>
      <c r="G36" s="1933"/>
      <c r="H36" s="1933"/>
      <c r="I36" s="1933"/>
      <c r="J36" s="1934" t="s">
        <v>1927</v>
      </c>
      <c r="K36" s="1934"/>
      <c r="L36" s="1934"/>
      <c r="M36" s="1934"/>
      <c r="N36" s="1934">
        <v>55</v>
      </c>
      <c r="O36" s="1934"/>
      <c r="P36" s="1934"/>
      <c r="Q36" s="1934"/>
      <c r="R36" s="1935"/>
      <c r="S36" s="1935"/>
      <c r="T36" s="1935"/>
      <c r="U36" s="1935"/>
      <c r="V36" s="1935"/>
      <c r="W36" s="1935"/>
      <c r="X36" s="1935"/>
      <c r="Y36" s="1935"/>
      <c r="Z36" s="1935"/>
      <c r="AA36" s="1935"/>
      <c r="AB36" s="1935"/>
      <c r="AC36" s="1935"/>
      <c r="AD36" s="1935"/>
      <c r="AE36" s="1935"/>
      <c r="AF36" s="1935"/>
      <c r="AG36" s="1935"/>
      <c r="AH36" s="1935"/>
      <c r="AI36" s="1935"/>
      <c r="AJ36" s="1935"/>
      <c r="AK36" s="1935"/>
      <c r="AL36" s="1923"/>
      <c r="AM36" s="1924"/>
      <c r="AN36" s="1924"/>
      <c r="AO36" s="1925"/>
      <c r="AP36" s="1923"/>
      <c r="AQ36" s="1924"/>
      <c r="AR36" s="1925"/>
      <c r="AS36" s="1926">
        <f t="shared" ref="AS36:AS47" si="2">SUM(R36:AR36)</f>
        <v>0</v>
      </c>
      <c r="AT36" s="1927"/>
      <c r="AU36" s="1927"/>
      <c r="AV36" s="1927"/>
      <c r="AW36" s="1927"/>
      <c r="AX36" s="1928"/>
      <c r="AY36" s="1929">
        <f t="shared" ref="AY36:AY47" si="3">AS36/$J$29</f>
        <v>0</v>
      </c>
      <c r="AZ36" s="1930"/>
      <c r="BA36" s="1930"/>
      <c r="BB36" s="1930"/>
      <c r="BC36" s="1930"/>
      <c r="BD36" s="1931"/>
      <c r="BE36" s="1101"/>
    </row>
    <row r="37" spans="1:58" ht="15.75" customHeight="1">
      <c r="A37" s="1097"/>
      <c r="B37" s="1932" t="s">
        <v>1928</v>
      </c>
      <c r="C37" s="1933"/>
      <c r="D37" s="1933"/>
      <c r="E37" s="1933"/>
      <c r="F37" s="1933"/>
      <c r="G37" s="1933"/>
      <c r="H37" s="1933"/>
      <c r="I37" s="1933"/>
      <c r="J37" s="1934" t="s">
        <v>1929</v>
      </c>
      <c r="K37" s="1934"/>
      <c r="L37" s="1934"/>
      <c r="M37" s="1934"/>
      <c r="N37" s="1934">
        <v>55</v>
      </c>
      <c r="O37" s="1934"/>
      <c r="P37" s="1934"/>
      <c r="Q37" s="1934"/>
      <c r="R37" s="1935"/>
      <c r="S37" s="1935"/>
      <c r="T37" s="1935"/>
      <c r="U37" s="1935"/>
      <c r="V37" s="1935"/>
      <c r="W37" s="1935"/>
      <c r="X37" s="1935"/>
      <c r="Y37" s="1935"/>
      <c r="Z37" s="1935"/>
      <c r="AA37" s="1935"/>
      <c r="AB37" s="1935"/>
      <c r="AC37" s="1935"/>
      <c r="AD37" s="1935"/>
      <c r="AE37" s="1935"/>
      <c r="AF37" s="1935"/>
      <c r="AG37" s="1935"/>
      <c r="AH37" s="1935"/>
      <c r="AI37" s="1935"/>
      <c r="AJ37" s="1935"/>
      <c r="AK37" s="1935"/>
      <c r="AL37" s="1923"/>
      <c r="AM37" s="1924"/>
      <c r="AN37" s="1924"/>
      <c r="AO37" s="1925"/>
      <c r="AP37" s="1923"/>
      <c r="AQ37" s="1924"/>
      <c r="AR37" s="1925"/>
      <c r="AS37" s="1926">
        <f t="shared" si="2"/>
        <v>0</v>
      </c>
      <c r="AT37" s="1927"/>
      <c r="AU37" s="1927"/>
      <c r="AV37" s="1927"/>
      <c r="AW37" s="1927"/>
      <c r="AX37" s="1928"/>
      <c r="AY37" s="1929">
        <f t="shared" si="3"/>
        <v>0</v>
      </c>
      <c r="AZ37" s="1930"/>
      <c r="BA37" s="1930"/>
      <c r="BB37" s="1930"/>
      <c r="BC37" s="1930"/>
      <c r="BD37" s="1931"/>
      <c r="BE37" s="1101"/>
    </row>
    <row r="38" spans="1:58" ht="15.75" customHeight="1">
      <c r="A38" s="1097"/>
      <c r="B38" s="1932" t="s">
        <v>1930</v>
      </c>
      <c r="C38" s="1933"/>
      <c r="D38" s="1933"/>
      <c r="E38" s="1933"/>
      <c r="F38" s="1933"/>
      <c r="G38" s="1933"/>
      <c r="H38" s="1933"/>
      <c r="I38" s="1933"/>
      <c r="J38" s="1934" t="s">
        <v>1931</v>
      </c>
      <c r="K38" s="1934"/>
      <c r="L38" s="1934"/>
      <c r="M38" s="1934"/>
      <c r="N38" s="1934">
        <v>55</v>
      </c>
      <c r="O38" s="1934"/>
      <c r="P38" s="1934"/>
      <c r="Q38" s="1934"/>
      <c r="R38" s="1935"/>
      <c r="S38" s="1935"/>
      <c r="T38" s="1935"/>
      <c r="U38" s="1935"/>
      <c r="V38" s="1935"/>
      <c r="W38" s="1935"/>
      <c r="X38" s="1935"/>
      <c r="Y38" s="1935"/>
      <c r="Z38" s="1935"/>
      <c r="AA38" s="1935"/>
      <c r="AB38" s="1935"/>
      <c r="AC38" s="1935"/>
      <c r="AD38" s="1935"/>
      <c r="AE38" s="1935"/>
      <c r="AF38" s="1935"/>
      <c r="AG38" s="1935"/>
      <c r="AH38" s="1935"/>
      <c r="AI38" s="1935"/>
      <c r="AJ38" s="1935"/>
      <c r="AK38" s="1935"/>
      <c r="AL38" s="1923"/>
      <c r="AM38" s="1924"/>
      <c r="AN38" s="1924"/>
      <c r="AO38" s="1925"/>
      <c r="AP38" s="1923"/>
      <c r="AQ38" s="1924"/>
      <c r="AR38" s="1925"/>
      <c r="AS38" s="1926">
        <f t="shared" si="2"/>
        <v>0</v>
      </c>
      <c r="AT38" s="1927"/>
      <c r="AU38" s="1927"/>
      <c r="AV38" s="1927"/>
      <c r="AW38" s="1927"/>
      <c r="AX38" s="1928"/>
      <c r="AY38" s="1929">
        <f t="shared" si="3"/>
        <v>0</v>
      </c>
      <c r="AZ38" s="1930"/>
      <c r="BA38" s="1930"/>
      <c r="BB38" s="1930"/>
      <c r="BC38" s="1930"/>
      <c r="BD38" s="1931"/>
      <c r="BE38" s="1101"/>
    </row>
    <row r="39" spans="1:58" ht="15.75" customHeight="1">
      <c r="A39" s="1097"/>
      <c r="B39" s="1932" t="s">
        <v>1932</v>
      </c>
      <c r="C39" s="1933"/>
      <c r="D39" s="1933"/>
      <c r="E39" s="1933"/>
      <c r="F39" s="1933"/>
      <c r="G39" s="1933"/>
      <c r="H39" s="1933"/>
      <c r="I39" s="1933"/>
      <c r="J39" s="1934"/>
      <c r="K39" s="1934"/>
      <c r="L39" s="1934"/>
      <c r="M39" s="1934"/>
      <c r="N39" s="1934"/>
      <c r="O39" s="1934"/>
      <c r="P39" s="1934"/>
      <c r="Q39" s="1934"/>
      <c r="R39" s="1935"/>
      <c r="S39" s="1935"/>
      <c r="T39" s="1935"/>
      <c r="U39" s="1935"/>
      <c r="V39" s="1935"/>
      <c r="W39" s="1935"/>
      <c r="X39" s="1935"/>
      <c r="Y39" s="1935"/>
      <c r="Z39" s="1935"/>
      <c r="AA39" s="1935"/>
      <c r="AB39" s="1935"/>
      <c r="AC39" s="1935"/>
      <c r="AD39" s="1935"/>
      <c r="AE39" s="1935"/>
      <c r="AF39" s="1935"/>
      <c r="AG39" s="1935"/>
      <c r="AH39" s="1935"/>
      <c r="AI39" s="1935"/>
      <c r="AJ39" s="1935"/>
      <c r="AK39" s="1935"/>
      <c r="AL39" s="1923"/>
      <c r="AM39" s="1924"/>
      <c r="AN39" s="1924"/>
      <c r="AO39" s="1925"/>
      <c r="AP39" s="1923"/>
      <c r="AQ39" s="1924"/>
      <c r="AR39" s="1925"/>
      <c r="AS39" s="1926">
        <f t="shared" si="2"/>
        <v>0</v>
      </c>
      <c r="AT39" s="1927"/>
      <c r="AU39" s="1927"/>
      <c r="AV39" s="1927"/>
      <c r="AW39" s="1927"/>
      <c r="AX39" s="1928"/>
      <c r="AY39" s="1929">
        <f t="shared" si="3"/>
        <v>0</v>
      </c>
      <c r="AZ39" s="1930"/>
      <c r="BA39" s="1930"/>
      <c r="BB39" s="1930"/>
      <c r="BC39" s="1930"/>
      <c r="BD39" s="1931"/>
      <c r="BE39" s="1101"/>
    </row>
    <row r="40" spans="1:58" ht="15.75" customHeight="1">
      <c r="A40" s="1097"/>
      <c r="B40" s="1932" t="s">
        <v>1932</v>
      </c>
      <c r="C40" s="1933"/>
      <c r="D40" s="1933"/>
      <c r="E40" s="1933"/>
      <c r="F40" s="1933"/>
      <c r="G40" s="1933"/>
      <c r="H40" s="1933"/>
      <c r="I40" s="1933"/>
      <c r="J40" s="1934"/>
      <c r="K40" s="1934"/>
      <c r="L40" s="1934"/>
      <c r="M40" s="1934"/>
      <c r="N40" s="1934"/>
      <c r="O40" s="1934"/>
      <c r="P40" s="1934"/>
      <c r="Q40" s="1934"/>
      <c r="R40" s="1935"/>
      <c r="S40" s="1935"/>
      <c r="T40" s="1935"/>
      <c r="U40" s="1935"/>
      <c r="V40" s="1935"/>
      <c r="W40" s="1935"/>
      <c r="X40" s="1935"/>
      <c r="Y40" s="1935"/>
      <c r="Z40" s="1935"/>
      <c r="AA40" s="1935"/>
      <c r="AB40" s="1935"/>
      <c r="AC40" s="1935"/>
      <c r="AD40" s="1935"/>
      <c r="AE40" s="1935"/>
      <c r="AF40" s="1935"/>
      <c r="AG40" s="1935"/>
      <c r="AH40" s="1935"/>
      <c r="AI40" s="1935"/>
      <c r="AJ40" s="1935"/>
      <c r="AK40" s="1935"/>
      <c r="AL40" s="1923"/>
      <c r="AM40" s="1924"/>
      <c r="AN40" s="1924"/>
      <c r="AO40" s="1925"/>
      <c r="AP40" s="1923"/>
      <c r="AQ40" s="1924"/>
      <c r="AR40" s="1925"/>
      <c r="AS40" s="1926">
        <f t="shared" si="2"/>
        <v>0</v>
      </c>
      <c r="AT40" s="1927"/>
      <c r="AU40" s="1927"/>
      <c r="AV40" s="1927"/>
      <c r="AW40" s="1927"/>
      <c r="AX40" s="1928"/>
      <c r="AY40" s="1929">
        <f t="shared" si="3"/>
        <v>0</v>
      </c>
      <c r="AZ40" s="1930"/>
      <c r="BA40" s="1930"/>
      <c r="BB40" s="1930"/>
      <c r="BC40" s="1930"/>
      <c r="BD40" s="1931"/>
      <c r="BE40" s="1101"/>
    </row>
    <row r="41" spans="1:58" ht="15.75" customHeight="1">
      <c r="A41" s="1097"/>
      <c r="B41" s="1932" t="s">
        <v>1933</v>
      </c>
      <c r="C41" s="1933"/>
      <c r="D41" s="1933"/>
      <c r="E41" s="1933"/>
      <c r="F41" s="1933"/>
      <c r="G41" s="1933"/>
      <c r="H41" s="1933"/>
      <c r="I41" s="1933"/>
      <c r="J41" s="1934"/>
      <c r="K41" s="1934"/>
      <c r="L41" s="1934"/>
      <c r="M41" s="1934"/>
      <c r="N41" s="1934"/>
      <c r="O41" s="1934"/>
      <c r="P41" s="1934"/>
      <c r="Q41" s="1934"/>
      <c r="R41" s="1935"/>
      <c r="S41" s="1935"/>
      <c r="T41" s="1935"/>
      <c r="U41" s="1935"/>
      <c r="V41" s="1935"/>
      <c r="W41" s="1935"/>
      <c r="X41" s="1935"/>
      <c r="Y41" s="1935"/>
      <c r="Z41" s="1935"/>
      <c r="AA41" s="1935"/>
      <c r="AB41" s="1935"/>
      <c r="AC41" s="1935"/>
      <c r="AD41" s="1935"/>
      <c r="AE41" s="1935"/>
      <c r="AF41" s="1935"/>
      <c r="AG41" s="1935"/>
      <c r="AH41" s="1935"/>
      <c r="AI41" s="1935"/>
      <c r="AJ41" s="1935"/>
      <c r="AK41" s="1935"/>
      <c r="AL41" s="1923"/>
      <c r="AM41" s="1924"/>
      <c r="AN41" s="1924"/>
      <c r="AO41" s="1925"/>
      <c r="AP41" s="1923"/>
      <c r="AQ41" s="1924"/>
      <c r="AR41" s="1925"/>
      <c r="AS41" s="1926">
        <f t="shared" si="2"/>
        <v>0</v>
      </c>
      <c r="AT41" s="1927"/>
      <c r="AU41" s="1927"/>
      <c r="AV41" s="1927"/>
      <c r="AW41" s="1927"/>
      <c r="AX41" s="1928"/>
      <c r="AY41" s="1929">
        <f t="shared" si="3"/>
        <v>0</v>
      </c>
      <c r="AZ41" s="1930"/>
      <c r="BA41" s="1930"/>
      <c r="BB41" s="1930"/>
      <c r="BC41" s="1930"/>
      <c r="BD41" s="1931"/>
      <c r="BE41" s="1101"/>
    </row>
    <row r="42" spans="1:58" ht="15.75" customHeight="1">
      <c r="A42" s="1097"/>
      <c r="B42" s="1932" t="s">
        <v>1933</v>
      </c>
      <c r="C42" s="1933"/>
      <c r="D42" s="1933"/>
      <c r="E42" s="1933"/>
      <c r="F42" s="1933"/>
      <c r="G42" s="1933"/>
      <c r="H42" s="1933"/>
      <c r="I42" s="1933"/>
      <c r="J42" s="1934"/>
      <c r="K42" s="1934"/>
      <c r="L42" s="1934"/>
      <c r="M42" s="1934"/>
      <c r="N42" s="1934"/>
      <c r="O42" s="1934"/>
      <c r="P42" s="1934"/>
      <c r="Q42" s="1934"/>
      <c r="R42" s="1935"/>
      <c r="S42" s="1935"/>
      <c r="T42" s="1935"/>
      <c r="U42" s="1935"/>
      <c r="V42" s="1935"/>
      <c r="W42" s="1935"/>
      <c r="X42" s="1935"/>
      <c r="Y42" s="1935"/>
      <c r="Z42" s="1935"/>
      <c r="AA42" s="1935"/>
      <c r="AB42" s="1935"/>
      <c r="AC42" s="1935"/>
      <c r="AD42" s="1935"/>
      <c r="AE42" s="1935"/>
      <c r="AF42" s="1935"/>
      <c r="AG42" s="1935"/>
      <c r="AH42" s="1935"/>
      <c r="AI42" s="1935"/>
      <c r="AJ42" s="1935"/>
      <c r="AK42" s="1935"/>
      <c r="AL42" s="1923"/>
      <c r="AM42" s="1924"/>
      <c r="AN42" s="1924"/>
      <c r="AO42" s="1925"/>
      <c r="AP42" s="1923"/>
      <c r="AQ42" s="1924"/>
      <c r="AR42" s="1925"/>
      <c r="AS42" s="1926">
        <f t="shared" si="2"/>
        <v>0</v>
      </c>
      <c r="AT42" s="1927"/>
      <c r="AU42" s="1927"/>
      <c r="AV42" s="1927"/>
      <c r="AW42" s="1927"/>
      <c r="AX42" s="1928"/>
      <c r="AY42" s="1929">
        <f t="shared" si="3"/>
        <v>0</v>
      </c>
      <c r="AZ42" s="1930"/>
      <c r="BA42" s="1930"/>
      <c r="BB42" s="1930"/>
      <c r="BC42" s="1930"/>
      <c r="BD42" s="1931"/>
      <c r="BE42" s="1101"/>
    </row>
    <row r="43" spans="1:58" ht="15.75" customHeight="1">
      <c r="A43" s="1097"/>
      <c r="B43" s="1936" t="s">
        <v>1934</v>
      </c>
      <c r="C43" s="1937"/>
      <c r="D43" s="1937"/>
      <c r="E43" s="1937"/>
      <c r="F43" s="1937"/>
      <c r="G43" s="1937"/>
      <c r="H43" s="1937"/>
      <c r="I43" s="1937"/>
      <c r="J43" s="1934"/>
      <c r="K43" s="1934"/>
      <c r="L43" s="1934"/>
      <c r="M43" s="1934"/>
      <c r="N43" s="1934"/>
      <c r="O43" s="1934"/>
      <c r="P43" s="1934"/>
      <c r="Q43" s="1934"/>
      <c r="R43" s="1935"/>
      <c r="S43" s="1935"/>
      <c r="T43" s="1935"/>
      <c r="U43" s="1935"/>
      <c r="V43" s="1935"/>
      <c r="W43" s="1935"/>
      <c r="X43" s="1935"/>
      <c r="Y43" s="1935"/>
      <c r="Z43" s="1935"/>
      <c r="AA43" s="1935"/>
      <c r="AB43" s="1935"/>
      <c r="AC43" s="1935"/>
      <c r="AD43" s="1935"/>
      <c r="AE43" s="1935"/>
      <c r="AF43" s="1935"/>
      <c r="AG43" s="1935"/>
      <c r="AH43" s="1935"/>
      <c r="AI43" s="1935"/>
      <c r="AJ43" s="1935"/>
      <c r="AK43" s="1935"/>
      <c r="AL43" s="1923"/>
      <c r="AM43" s="1924"/>
      <c r="AN43" s="1924"/>
      <c r="AO43" s="1925"/>
      <c r="AP43" s="1923"/>
      <c r="AQ43" s="1924"/>
      <c r="AR43" s="1925"/>
      <c r="AS43" s="1926">
        <f t="shared" si="2"/>
        <v>0</v>
      </c>
      <c r="AT43" s="1927"/>
      <c r="AU43" s="1927"/>
      <c r="AV43" s="1927"/>
      <c r="AW43" s="1927"/>
      <c r="AX43" s="1928"/>
      <c r="AY43" s="1929">
        <f t="shared" si="3"/>
        <v>0</v>
      </c>
      <c r="AZ43" s="1930"/>
      <c r="BA43" s="1930"/>
      <c r="BB43" s="1930"/>
      <c r="BC43" s="1930"/>
      <c r="BD43" s="1931"/>
      <c r="BE43" s="1101"/>
    </row>
    <row r="44" spans="1:58" ht="15.75" customHeight="1">
      <c r="A44" s="1097"/>
      <c r="B44" s="1936" t="s">
        <v>1935</v>
      </c>
      <c r="C44" s="1937"/>
      <c r="D44" s="1937"/>
      <c r="E44" s="1937"/>
      <c r="F44" s="1937"/>
      <c r="G44" s="1937"/>
      <c r="H44" s="1937"/>
      <c r="I44" s="1937"/>
      <c r="J44" s="1934"/>
      <c r="K44" s="1934"/>
      <c r="L44" s="1934"/>
      <c r="M44" s="1934"/>
      <c r="N44" s="1934"/>
      <c r="O44" s="1934"/>
      <c r="P44" s="1934"/>
      <c r="Q44" s="1934"/>
      <c r="R44" s="1935"/>
      <c r="S44" s="1935"/>
      <c r="T44" s="1935"/>
      <c r="U44" s="1935"/>
      <c r="V44" s="1935"/>
      <c r="W44" s="1935"/>
      <c r="X44" s="1935"/>
      <c r="Y44" s="1935"/>
      <c r="Z44" s="1935"/>
      <c r="AA44" s="1935"/>
      <c r="AB44" s="1935"/>
      <c r="AC44" s="1935"/>
      <c r="AD44" s="1935"/>
      <c r="AE44" s="1935"/>
      <c r="AF44" s="1935"/>
      <c r="AG44" s="1935"/>
      <c r="AH44" s="1935"/>
      <c r="AI44" s="1935"/>
      <c r="AJ44" s="1935"/>
      <c r="AK44" s="1935"/>
      <c r="AL44" s="1923"/>
      <c r="AM44" s="1924"/>
      <c r="AN44" s="1924"/>
      <c r="AO44" s="1925"/>
      <c r="AP44" s="1923"/>
      <c r="AQ44" s="1924"/>
      <c r="AR44" s="1925"/>
      <c r="AS44" s="1926">
        <f t="shared" si="2"/>
        <v>0</v>
      </c>
      <c r="AT44" s="1927"/>
      <c r="AU44" s="1927"/>
      <c r="AV44" s="1927"/>
      <c r="AW44" s="1927"/>
      <c r="AX44" s="1928"/>
      <c r="AY44" s="1929">
        <f t="shared" si="3"/>
        <v>0</v>
      </c>
      <c r="AZ44" s="1930"/>
      <c r="BA44" s="1930"/>
      <c r="BB44" s="1930"/>
      <c r="BC44" s="1930"/>
      <c r="BD44" s="1931"/>
      <c r="BE44" s="1101"/>
    </row>
    <row r="45" spans="1:58" ht="15.75" customHeight="1">
      <c r="A45" s="1097"/>
      <c r="B45" s="1936" t="s">
        <v>1936</v>
      </c>
      <c r="C45" s="1937"/>
      <c r="D45" s="1937"/>
      <c r="E45" s="1937"/>
      <c r="F45" s="1937"/>
      <c r="G45" s="1937"/>
      <c r="H45" s="1937"/>
      <c r="I45" s="1937"/>
      <c r="J45" s="1934"/>
      <c r="K45" s="1934"/>
      <c r="L45" s="1934"/>
      <c r="M45" s="1934"/>
      <c r="N45" s="1934"/>
      <c r="O45" s="1934"/>
      <c r="P45" s="1934"/>
      <c r="Q45" s="1934"/>
      <c r="R45" s="1935"/>
      <c r="S45" s="1935"/>
      <c r="T45" s="1935"/>
      <c r="U45" s="1935"/>
      <c r="V45" s="1935"/>
      <c r="W45" s="1935"/>
      <c r="X45" s="1935"/>
      <c r="Y45" s="1935"/>
      <c r="Z45" s="1935"/>
      <c r="AA45" s="1935"/>
      <c r="AB45" s="1935"/>
      <c r="AC45" s="1935"/>
      <c r="AD45" s="1935"/>
      <c r="AE45" s="1935"/>
      <c r="AF45" s="1935"/>
      <c r="AG45" s="1935"/>
      <c r="AH45" s="1935"/>
      <c r="AI45" s="1935"/>
      <c r="AJ45" s="1935"/>
      <c r="AK45" s="1935"/>
      <c r="AL45" s="1923"/>
      <c r="AM45" s="1924"/>
      <c r="AN45" s="1924"/>
      <c r="AO45" s="1925"/>
      <c r="AP45" s="1923"/>
      <c r="AQ45" s="1924"/>
      <c r="AR45" s="1925"/>
      <c r="AS45" s="1926">
        <f t="shared" si="2"/>
        <v>0</v>
      </c>
      <c r="AT45" s="1927"/>
      <c r="AU45" s="1927"/>
      <c r="AV45" s="1927"/>
      <c r="AW45" s="1927"/>
      <c r="AX45" s="1928"/>
      <c r="AY45" s="1929">
        <f t="shared" si="3"/>
        <v>0</v>
      </c>
      <c r="AZ45" s="1930"/>
      <c r="BA45" s="1930"/>
      <c r="BB45" s="1930"/>
      <c r="BC45" s="1930"/>
      <c r="BD45" s="1931"/>
      <c r="BE45" s="1101"/>
    </row>
    <row r="46" spans="1:58" ht="15.75" customHeight="1">
      <c r="A46" s="1097"/>
      <c r="B46" s="1936" t="s">
        <v>1937</v>
      </c>
      <c r="C46" s="1937"/>
      <c r="D46" s="1937"/>
      <c r="E46" s="1937"/>
      <c r="F46" s="1937"/>
      <c r="G46" s="1937"/>
      <c r="H46" s="1937"/>
      <c r="I46" s="1937"/>
      <c r="J46" s="1934"/>
      <c r="K46" s="1934"/>
      <c r="L46" s="1934"/>
      <c r="M46" s="1934"/>
      <c r="N46" s="1934">
        <v>99</v>
      </c>
      <c r="O46" s="1934"/>
      <c r="P46" s="1934"/>
      <c r="Q46" s="1934"/>
      <c r="R46" s="1935"/>
      <c r="S46" s="1935"/>
      <c r="T46" s="1935"/>
      <c r="U46" s="1935"/>
      <c r="V46" s="1935"/>
      <c r="W46" s="1935"/>
      <c r="X46" s="1935"/>
      <c r="Y46" s="1935"/>
      <c r="Z46" s="1935"/>
      <c r="AA46" s="1935"/>
      <c r="AB46" s="1935"/>
      <c r="AC46" s="1935"/>
      <c r="AD46" s="1935"/>
      <c r="AE46" s="1935"/>
      <c r="AF46" s="1935"/>
      <c r="AG46" s="1935"/>
      <c r="AH46" s="1935"/>
      <c r="AI46" s="1935"/>
      <c r="AJ46" s="1935"/>
      <c r="AK46" s="1935"/>
      <c r="AL46" s="1923"/>
      <c r="AM46" s="1924"/>
      <c r="AN46" s="1924"/>
      <c r="AO46" s="1925"/>
      <c r="AP46" s="1923"/>
      <c r="AQ46" s="1924"/>
      <c r="AR46" s="1925"/>
      <c r="AS46" s="1926">
        <f t="shared" si="2"/>
        <v>0</v>
      </c>
      <c r="AT46" s="1927"/>
      <c r="AU46" s="1927"/>
      <c r="AV46" s="1927"/>
      <c r="AW46" s="1927"/>
      <c r="AX46" s="1928"/>
      <c r="AY46" s="1929">
        <f t="shared" si="3"/>
        <v>0</v>
      </c>
      <c r="AZ46" s="1930"/>
      <c r="BA46" s="1930"/>
      <c r="BB46" s="1930"/>
      <c r="BC46" s="1930"/>
      <c r="BD46" s="1931"/>
      <c r="BE46" s="1101"/>
    </row>
    <row r="47" spans="1:58" ht="15.75" customHeight="1" thickBot="1">
      <c r="A47" s="1097"/>
      <c r="B47" s="1938" t="s">
        <v>1068</v>
      </c>
      <c r="C47" s="1939"/>
      <c r="D47" s="1939"/>
      <c r="E47" s="1939"/>
      <c r="F47" s="1939"/>
      <c r="G47" s="1939"/>
      <c r="H47" s="1939"/>
      <c r="I47" s="1939"/>
      <c r="J47" s="1940"/>
      <c r="K47" s="1940"/>
      <c r="L47" s="1940"/>
      <c r="M47" s="1940"/>
      <c r="N47" s="1940"/>
      <c r="O47" s="1940"/>
      <c r="P47" s="1940"/>
      <c r="Q47" s="1940"/>
      <c r="R47" s="1941"/>
      <c r="S47" s="1941"/>
      <c r="T47" s="1941"/>
      <c r="U47" s="1941"/>
      <c r="V47" s="1941"/>
      <c r="W47" s="1941"/>
      <c r="X47" s="1941"/>
      <c r="Y47" s="1941"/>
      <c r="Z47" s="1941"/>
      <c r="AA47" s="1941"/>
      <c r="AB47" s="1941"/>
      <c r="AC47" s="1941"/>
      <c r="AD47" s="1941"/>
      <c r="AE47" s="1941"/>
      <c r="AF47" s="1941"/>
      <c r="AG47" s="1941"/>
      <c r="AH47" s="1941"/>
      <c r="AI47" s="1941"/>
      <c r="AJ47" s="1941"/>
      <c r="AK47" s="1941"/>
      <c r="AL47" s="1945"/>
      <c r="AM47" s="1946"/>
      <c r="AN47" s="1946"/>
      <c r="AO47" s="1947"/>
      <c r="AP47" s="1945"/>
      <c r="AQ47" s="1946"/>
      <c r="AR47" s="1947"/>
      <c r="AS47" s="1926">
        <f t="shared" si="2"/>
        <v>0</v>
      </c>
      <c r="AT47" s="1927"/>
      <c r="AU47" s="1927"/>
      <c r="AV47" s="1927"/>
      <c r="AW47" s="1927"/>
      <c r="AX47" s="1928"/>
      <c r="AY47" s="1942">
        <f t="shared" si="3"/>
        <v>0</v>
      </c>
      <c r="AZ47" s="1943"/>
      <c r="BA47" s="1943"/>
      <c r="BB47" s="1943"/>
      <c r="BC47" s="1943"/>
      <c r="BD47" s="1944"/>
      <c r="BE47" s="1101"/>
    </row>
    <row r="48" spans="1:58" ht="15.75" customHeight="1">
      <c r="A48" s="1097"/>
      <c r="B48" s="1103" t="s">
        <v>1938</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1939</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48" t="s">
        <v>1940</v>
      </c>
      <c r="C50" s="1949"/>
      <c r="D50" s="1949"/>
      <c r="E50" s="1949"/>
      <c r="F50" s="1949"/>
      <c r="G50" s="1949"/>
      <c r="H50" s="1949"/>
      <c r="I50" s="1949"/>
      <c r="J50" s="1949"/>
      <c r="K50" s="1949"/>
      <c r="L50" s="1949"/>
      <c r="M50" s="1949"/>
      <c r="N50" s="1949"/>
      <c r="O50" s="1949"/>
      <c r="P50" s="1949"/>
      <c r="Q50" s="1949"/>
      <c r="R50" s="1949"/>
      <c r="S50" s="1949"/>
      <c r="T50" s="1949"/>
      <c r="U50" s="1949"/>
      <c r="V50" s="1949"/>
      <c r="W50" s="1949"/>
      <c r="X50" s="1949"/>
      <c r="Y50" s="1949"/>
      <c r="Z50" s="1949"/>
      <c r="AA50" s="1949"/>
      <c r="AB50" s="1949"/>
      <c r="AC50" s="1949"/>
      <c r="AD50" s="1949"/>
      <c r="AE50" s="1949"/>
      <c r="AF50" s="1949"/>
      <c r="AG50" s="1949"/>
      <c r="AH50" s="1949"/>
      <c r="AI50" s="1949"/>
      <c r="AJ50" s="1949"/>
      <c r="AK50" s="1949"/>
      <c r="AL50" s="1949"/>
      <c r="AM50" s="1949"/>
      <c r="AN50" s="1949"/>
      <c r="AO50" s="1950"/>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51" t="s">
        <v>1941</v>
      </c>
      <c r="C51" s="1952"/>
      <c r="D51" s="1952"/>
      <c r="E51" s="1952"/>
      <c r="F51" s="1952"/>
      <c r="G51" s="1952"/>
      <c r="H51" s="1952"/>
      <c r="I51" s="1952"/>
      <c r="J51" s="1952" t="s">
        <v>1942</v>
      </c>
      <c r="K51" s="1952"/>
      <c r="L51" s="1952"/>
      <c r="M51" s="1952"/>
      <c r="N51" s="1952"/>
      <c r="O51" s="1952"/>
      <c r="P51" s="1952"/>
      <c r="Q51" s="1952"/>
      <c r="R51" s="1953" t="s">
        <v>1943</v>
      </c>
      <c r="S51" s="1953"/>
      <c r="T51" s="1953"/>
      <c r="U51" s="1953"/>
      <c r="V51" s="1953"/>
      <c r="W51" s="1953"/>
      <c r="X51" s="1953"/>
      <c r="Y51" s="1953"/>
      <c r="Z51" s="1953" t="s">
        <v>1944</v>
      </c>
      <c r="AA51" s="1953"/>
      <c r="AB51" s="1953"/>
      <c r="AC51" s="1953"/>
      <c r="AD51" s="1953"/>
      <c r="AE51" s="1953"/>
      <c r="AF51" s="1953"/>
      <c r="AG51" s="1953"/>
      <c r="AH51" s="1953" t="s">
        <v>1945</v>
      </c>
      <c r="AI51" s="1953"/>
      <c r="AJ51" s="1953"/>
      <c r="AK51" s="1953"/>
      <c r="AL51" s="1953"/>
      <c r="AM51" s="1953"/>
      <c r="AN51" s="1953"/>
      <c r="AO51" s="1954"/>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36" t="s">
        <v>1946</v>
      </c>
      <c r="C52" s="1937"/>
      <c r="D52" s="1937"/>
      <c r="E52" s="1937"/>
      <c r="F52" s="1937"/>
      <c r="G52" s="1937"/>
      <c r="H52" s="1937"/>
      <c r="I52" s="1937"/>
      <c r="J52" s="1955">
        <v>0</v>
      </c>
      <c r="K52" s="1955"/>
      <c r="L52" s="1955"/>
      <c r="M52" s="1955"/>
      <c r="N52" s="1955"/>
      <c r="O52" s="1955"/>
      <c r="P52" s="1955"/>
      <c r="Q52" s="1955"/>
      <c r="R52" s="1956">
        <v>0</v>
      </c>
      <c r="S52" s="1956"/>
      <c r="T52" s="1956"/>
      <c r="U52" s="1956"/>
      <c r="V52" s="1956"/>
      <c r="W52" s="1956"/>
      <c r="X52" s="1956"/>
      <c r="Y52" s="1956"/>
      <c r="Z52" s="1957">
        <v>0</v>
      </c>
      <c r="AA52" s="1957"/>
      <c r="AB52" s="1957"/>
      <c r="AC52" s="1957"/>
      <c r="AD52" s="1957"/>
      <c r="AE52" s="1957"/>
      <c r="AF52" s="1957"/>
      <c r="AG52" s="1957"/>
      <c r="AH52" s="1958"/>
      <c r="AI52" s="1958"/>
      <c r="AJ52" s="1958"/>
      <c r="AK52" s="1958"/>
      <c r="AL52" s="1958"/>
      <c r="AM52" s="1958"/>
      <c r="AN52" s="1958"/>
      <c r="AO52" s="1959"/>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36" t="s">
        <v>1947</v>
      </c>
      <c r="C53" s="1937"/>
      <c r="D53" s="1937"/>
      <c r="E53" s="1937"/>
      <c r="F53" s="1937"/>
      <c r="G53" s="1937"/>
      <c r="H53" s="1937"/>
      <c r="I53" s="1937"/>
      <c r="J53" s="1955">
        <v>0</v>
      </c>
      <c r="K53" s="1955"/>
      <c r="L53" s="1955"/>
      <c r="M53" s="1955"/>
      <c r="N53" s="1955"/>
      <c r="O53" s="1955"/>
      <c r="P53" s="1955"/>
      <c r="Q53" s="1955"/>
      <c r="R53" s="1956">
        <v>0</v>
      </c>
      <c r="S53" s="1956"/>
      <c r="T53" s="1956"/>
      <c r="U53" s="1956"/>
      <c r="V53" s="1956"/>
      <c r="W53" s="1956"/>
      <c r="X53" s="1956"/>
      <c r="Y53" s="1956"/>
      <c r="Z53" s="1957">
        <v>0</v>
      </c>
      <c r="AA53" s="1957"/>
      <c r="AB53" s="1957"/>
      <c r="AC53" s="1957"/>
      <c r="AD53" s="1957"/>
      <c r="AE53" s="1957"/>
      <c r="AF53" s="1957"/>
      <c r="AG53" s="1957"/>
      <c r="AH53" s="1958"/>
      <c r="AI53" s="1958"/>
      <c r="AJ53" s="1958"/>
      <c r="AK53" s="1958"/>
      <c r="AL53" s="1958"/>
      <c r="AM53" s="1958"/>
      <c r="AN53" s="1958"/>
      <c r="AO53" s="1959"/>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36"/>
      <c r="C54" s="1937"/>
      <c r="D54" s="1937"/>
      <c r="E54" s="1937"/>
      <c r="F54" s="1937"/>
      <c r="G54" s="1937"/>
      <c r="H54" s="1937"/>
      <c r="I54" s="1937"/>
      <c r="J54" s="1955"/>
      <c r="K54" s="1955"/>
      <c r="L54" s="1955"/>
      <c r="M54" s="1955"/>
      <c r="N54" s="1955"/>
      <c r="O54" s="1955"/>
      <c r="P54" s="1955"/>
      <c r="Q54" s="1955"/>
      <c r="R54" s="1956"/>
      <c r="S54" s="1956"/>
      <c r="T54" s="1956"/>
      <c r="U54" s="1956"/>
      <c r="V54" s="1956"/>
      <c r="W54" s="1956"/>
      <c r="X54" s="1956"/>
      <c r="Y54" s="1956"/>
      <c r="Z54" s="1957"/>
      <c r="AA54" s="1957"/>
      <c r="AB54" s="1957"/>
      <c r="AC54" s="1957"/>
      <c r="AD54" s="1957"/>
      <c r="AE54" s="1957"/>
      <c r="AF54" s="1957"/>
      <c r="AG54" s="1957"/>
      <c r="AH54" s="1958"/>
      <c r="AI54" s="1958"/>
      <c r="AJ54" s="1958"/>
      <c r="AK54" s="1958"/>
      <c r="AL54" s="1958"/>
      <c r="AM54" s="1958"/>
      <c r="AN54" s="1958"/>
      <c r="AO54" s="1959"/>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36"/>
      <c r="C55" s="1937"/>
      <c r="D55" s="1937"/>
      <c r="E55" s="1937"/>
      <c r="F55" s="1937"/>
      <c r="G55" s="1937"/>
      <c r="H55" s="1937"/>
      <c r="I55" s="1937"/>
      <c r="J55" s="1955"/>
      <c r="K55" s="1955"/>
      <c r="L55" s="1955"/>
      <c r="M55" s="1955"/>
      <c r="N55" s="1955"/>
      <c r="O55" s="1955"/>
      <c r="P55" s="1955"/>
      <c r="Q55" s="1955"/>
      <c r="R55" s="1956"/>
      <c r="S55" s="1956"/>
      <c r="T55" s="1956"/>
      <c r="U55" s="1956"/>
      <c r="V55" s="1956"/>
      <c r="W55" s="1956"/>
      <c r="X55" s="1956"/>
      <c r="Y55" s="1956"/>
      <c r="Z55" s="1957"/>
      <c r="AA55" s="1957"/>
      <c r="AB55" s="1957"/>
      <c r="AC55" s="1957"/>
      <c r="AD55" s="1957"/>
      <c r="AE55" s="1957"/>
      <c r="AF55" s="1957"/>
      <c r="AG55" s="1957"/>
      <c r="AH55" s="1958"/>
      <c r="AI55" s="1958"/>
      <c r="AJ55" s="1958"/>
      <c r="AK55" s="1958"/>
      <c r="AL55" s="1958"/>
      <c r="AM55" s="1958"/>
      <c r="AN55" s="1958"/>
      <c r="AO55" s="1959"/>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36"/>
      <c r="C56" s="1937"/>
      <c r="D56" s="1937"/>
      <c r="E56" s="1937"/>
      <c r="F56" s="1937"/>
      <c r="G56" s="1937"/>
      <c r="H56" s="1937"/>
      <c r="I56" s="1937"/>
      <c r="J56" s="1955"/>
      <c r="K56" s="1955"/>
      <c r="L56" s="1955"/>
      <c r="M56" s="1955"/>
      <c r="N56" s="1955"/>
      <c r="O56" s="1955"/>
      <c r="P56" s="1955"/>
      <c r="Q56" s="1955"/>
      <c r="R56" s="1956"/>
      <c r="S56" s="1956"/>
      <c r="T56" s="1956"/>
      <c r="U56" s="1956"/>
      <c r="V56" s="1956"/>
      <c r="W56" s="1956"/>
      <c r="X56" s="1956"/>
      <c r="Y56" s="1956"/>
      <c r="Z56" s="1957"/>
      <c r="AA56" s="1957"/>
      <c r="AB56" s="1957"/>
      <c r="AC56" s="1957"/>
      <c r="AD56" s="1957"/>
      <c r="AE56" s="1957"/>
      <c r="AF56" s="1957"/>
      <c r="AG56" s="1957"/>
      <c r="AH56" s="1958"/>
      <c r="AI56" s="1958"/>
      <c r="AJ56" s="1958"/>
      <c r="AK56" s="1958"/>
      <c r="AL56" s="1958"/>
      <c r="AM56" s="1958"/>
      <c r="AN56" s="1958"/>
      <c r="AO56" s="1959"/>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69" t="s">
        <v>1915</v>
      </c>
      <c r="C57" s="1970"/>
      <c r="D57" s="1970"/>
      <c r="E57" s="1970"/>
      <c r="F57" s="1970"/>
      <c r="G57" s="1970"/>
      <c r="H57" s="1970"/>
      <c r="I57" s="1970"/>
      <c r="J57" s="1970"/>
      <c r="K57" s="1970"/>
      <c r="L57" s="1970"/>
      <c r="M57" s="1970"/>
      <c r="N57" s="1970"/>
      <c r="O57" s="1970"/>
      <c r="P57" s="1970"/>
      <c r="Q57" s="1970"/>
      <c r="R57" s="1971">
        <f>SUM(R52:Y56)</f>
        <v>0</v>
      </c>
      <c r="S57" s="1971"/>
      <c r="T57" s="1971"/>
      <c r="U57" s="1971"/>
      <c r="V57" s="1971"/>
      <c r="W57" s="1971"/>
      <c r="X57" s="1971"/>
      <c r="Y57" s="1971"/>
      <c r="Z57" s="1972">
        <f>SUM(Z52:AG56)</f>
        <v>0</v>
      </c>
      <c r="AA57" s="1972"/>
      <c r="AB57" s="1972"/>
      <c r="AC57" s="1972"/>
      <c r="AD57" s="1972"/>
      <c r="AE57" s="1972"/>
      <c r="AF57" s="1972"/>
      <c r="AG57" s="1972"/>
      <c r="AH57" s="1973"/>
      <c r="AI57" s="1973"/>
      <c r="AJ57" s="1973"/>
      <c r="AK57" s="1973"/>
      <c r="AL57" s="1973"/>
      <c r="AM57" s="1973"/>
      <c r="AN57" s="1973"/>
      <c r="AO57" s="1974"/>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60" t="s">
        <v>1941</v>
      </c>
      <c r="C59" s="1961"/>
      <c r="D59" s="1961"/>
      <c r="E59" s="1961"/>
      <c r="F59" s="1961"/>
      <c r="G59" s="1961"/>
      <c r="H59" s="1961"/>
      <c r="I59" s="1962"/>
      <c r="J59" s="1854" t="s">
        <v>1948</v>
      </c>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c r="AN59" s="1854"/>
      <c r="AO59" s="1854"/>
      <c r="AP59" s="1854"/>
      <c r="AQ59" s="1854"/>
      <c r="AR59" s="1854"/>
      <c r="AS59" s="1854"/>
      <c r="AT59" s="1854"/>
      <c r="AU59" s="1854"/>
      <c r="AV59" s="1854"/>
      <c r="AW59" s="1855"/>
      <c r="AX59" s="1097"/>
      <c r="AY59" s="1097"/>
      <c r="AZ59" s="1097"/>
      <c r="BA59" s="1097"/>
      <c r="BB59" s="1097"/>
      <c r="BC59" s="1097"/>
      <c r="BD59" s="1097"/>
      <c r="BE59" s="1101"/>
    </row>
    <row r="60" spans="1:77" ht="15.75" customHeight="1">
      <c r="A60" s="1097"/>
      <c r="B60" s="1963" t="str">
        <f>IF(B52="", "", B52)</f>
        <v>Services Company 1</v>
      </c>
      <c r="C60" s="1964"/>
      <c r="D60" s="1964"/>
      <c r="E60" s="1964"/>
      <c r="F60" s="1964"/>
      <c r="G60" s="1964"/>
      <c r="H60" s="1964"/>
      <c r="I60" s="1965"/>
      <c r="J60" s="1966"/>
      <c r="K60" s="1967"/>
      <c r="L60" s="1967"/>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c r="AN60" s="1967"/>
      <c r="AO60" s="1967"/>
      <c r="AP60" s="1967"/>
      <c r="AQ60" s="1967"/>
      <c r="AR60" s="1967"/>
      <c r="AS60" s="1967"/>
      <c r="AT60" s="1967"/>
      <c r="AU60" s="1967"/>
      <c r="AV60" s="1967"/>
      <c r="AW60" s="1968"/>
      <c r="AX60" s="1097"/>
      <c r="AY60" s="1097"/>
      <c r="AZ60" s="1097"/>
      <c r="BA60" s="1097"/>
      <c r="BB60" s="1097"/>
      <c r="BC60" s="1097"/>
      <c r="BD60" s="1097"/>
      <c r="BE60" s="1101"/>
    </row>
    <row r="61" spans="1:77" ht="15.75" customHeight="1">
      <c r="A61" s="1097"/>
      <c r="B61" s="1963" t="str">
        <f>IF(B53="", "", B53)</f>
        <v>Services Company 2</v>
      </c>
      <c r="C61" s="1964"/>
      <c r="D61" s="1964"/>
      <c r="E61" s="1964"/>
      <c r="F61" s="1964"/>
      <c r="G61" s="1964"/>
      <c r="H61" s="1964"/>
      <c r="I61" s="1965"/>
      <c r="J61" s="1966"/>
      <c r="K61" s="1967"/>
      <c r="L61" s="1967"/>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c r="AN61" s="1967"/>
      <c r="AO61" s="1967"/>
      <c r="AP61" s="1967"/>
      <c r="AQ61" s="1967"/>
      <c r="AR61" s="1967"/>
      <c r="AS61" s="1967"/>
      <c r="AT61" s="1967"/>
      <c r="AU61" s="1967"/>
      <c r="AV61" s="1967"/>
      <c r="AW61" s="1968"/>
      <c r="AX61" s="1097"/>
      <c r="AY61" s="1097"/>
      <c r="AZ61" s="1097"/>
      <c r="BA61" s="1097"/>
      <c r="BB61" s="1097"/>
      <c r="BC61" s="1097"/>
      <c r="BD61" s="1097"/>
      <c r="BE61" s="1101"/>
    </row>
    <row r="62" spans="1:77" ht="15.75" customHeight="1">
      <c r="A62" s="1097"/>
      <c r="B62" s="1963" t="str">
        <f>IF(B54="", "", B54)</f>
        <v/>
      </c>
      <c r="C62" s="1964"/>
      <c r="D62" s="1964"/>
      <c r="E62" s="1964"/>
      <c r="F62" s="1964"/>
      <c r="G62" s="1964"/>
      <c r="H62" s="1964"/>
      <c r="I62" s="1965"/>
      <c r="J62" s="1966"/>
      <c r="K62" s="1967"/>
      <c r="L62" s="1967"/>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c r="AN62" s="1967"/>
      <c r="AO62" s="1967"/>
      <c r="AP62" s="1967"/>
      <c r="AQ62" s="1967"/>
      <c r="AR62" s="1967"/>
      <c r="AS62" s="1967"/>
      <c r="AT62" s="1967"/>
      <c r="AU62" s="1967"/>
      <c r="AV62" s="1967"/>
      <c r="AW62" s="1968"/>
      <c r="AX62" s="1097"/>
      <c r="AY62" s="1097"/>
      <c r="AZ62" s="1097"/>
      <c r="BA62" s="1097"/>
      <c r="BB62" s="1097"/>
      <c r="BC62" s="1097"/>
      <c r="BD62" s="1097"/>
      <c r="BE62" s="1101"/>
    </row>
    <row r="63" spans="1:77" ht="15.75" customHeight="1">
      <c r="A63" s="1097"/>
      <c r="B63" s="1963" t="str">
        <f>IF(B55="", "", B55)</f>
        <v/>
      </c>
      <c r="C63" s="1964"/>
      <c r="D63" s="1964"/>
      <c r="E63" s="1964"/>
      <c r="F63" s="1964"/>
      <c r="G63" s="1964"/>
      <c r="H63" s="1964"/>
      <c r="I63" s="1965"/>
      <c r="J63" s="1966"/>
      <c r="K63" s="1967"/>
      <c r="L63" s="1967"/>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c r="AN63" s="1967"/>
      <c r="AO63" s="1967"/>
      <c r="AP63" s="1967"/>
      <c r="AQ63" s="1967"/>
      <c r="AR63" s="1967"/>
      <c r="AS63" s="1967"/>
      <c r="AT63" s="1967"/>
      <c r="AU63" s="1967"/>
      <c r="AV63" s="1967"/>
      <c r="AW63" s="1968"/>
      <c r="AX63" s="1097"/>
      <c r="AY63" s="1097"/>
      <c r="AZ63" s="1097"/>
      <c r="BA63" s="1097"/>
      <c r="BB63" s="1097"/>
      <c r="BC63" s="1097"/>
      <c r="BD63" s="1097"/>
      <c r="BE63" s="1101"/>
    </row>
    <row r="64" spans="1:77" ht="15.75" customHeight="1" thickBot="1">
      <c r="A64" s="1097"/>
      <c r="B64" s="1983" t="str">
        <f>IF(B56="", "", B56)</f>
        <v/>
      </c>
      <c r="C64" s="1984"/>
      <c r="D64" s="1984"/>
      <c r="E64" s="1984"/>
      <c r="F64" s="1984"/>
      <c r="G64" s="1984"/>
      <c r="H64" s="1984"/>
      <c r="I64" s="1985"/>
      <c r="J64" s="1986"/>
      <c r="K64" s="1987"/>
      <c r="L64" s="1987"/>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c r="AS64" s="1987"/>
      <c r="AT64" s="1987"/>
      <c r="AU64" s="1987"/>
      <c r="AV64" s="1987"/>
      <c r="AW64" s="1988"/>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1949</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53" t="s">
        <v>1950</v>
      </c>
      <c r="C68" s="1854"/>
      <c r="D68" s="1854"/>
      <c r="E68" s="1854"/>
      <c r="F68" s="1854"/>
      <c r="G68" s="1854"/>
      <c r="H68" s="1854"/>
      <c r="I68" s="1854"/>
      <c r="J68" s="1854"/>
      <c r="K68" s="1854"/>
      <c r="L68" s="1854"/>
      <c r="M68" s="1854"/>
      <c r="N68" s="1854"/>
      <c r="O68" s="1854"/>
      <c r="P68" s="1854"/>
      <c r="Q68" s="1854"/>
      <c r="R68" s="1854"/>
      <c r="S68" s="1854"/>
      <c r="T68" s="1854"/>
      <c r="U68" s="1854"/>
      <c r="V68" s="1854"/>
      <c r="W68" s="1854"/>
      <c r="X68" s="1854"/>
      <c r="Y68" s="1854"/>
      <c r="Z68" s="1854"/>
      <c r="AA68" s="1855"/>
      <c r="AB68" s="1097"/>
      <c r="AC68" s="1995" t="s">
        <v>1951</v>
      </c>
      <c r="AD68" s="1996"/>
      <c r="AE68" s="1996"/>
      <c r="AF68" s="1996"/>
      <c r="AG68" s="1996"/>
      <c r="AH68" s="1996"/>
      <c r="AI68" s="1996"/>
      <c r="AJ68" s="1996"/>
      <c r="AK68" s="1996"/>
      <c r="AL68" s="1996"/>
      <c r="AM68" s="1996"/>
      <c r="AN68" s="1996"/>
      <c r="AO68" s="1996"/>
      <c r="AP68" s="1996"/>
      <c r="AQ68" s="1996"/>
      <c r="AR68" s="1996"/>
      <c r="AS68" s="1996"/>
      <c r="AT68" s="1996"/>
      <c r="AU68" s="1996"/>
      <c r="AV68" s="1975" t="s">
        <v>700</v>
      </c>
      <c r="AW68" s="1976"/>
      <c r="AX68" s="1976"/>
      <c r="AY68" s="1976"/>
      <c r="AZ68" s="1976"/>
      <c r="BA68" s="1976"/>
      <c r="BB68" s="1976"/>
      <c r="BC68" s="1977"/>
      <c r="BD68" s="1097"/>
      <c r="BE68" s="1101"/>
      <c r="BM68" s="1107" t="s">
        <v>1952</v>
      </c>
    </row>
    <row r="69" spans="1:94" ht="15.75" customHeight="1" thickTop="1" thickBot="1">
      <c r="A69" s="1097"/>
      <c r="B69" s="1978" t="s">
        <v>1953</v>
      </c>
      <c r="C69" s="1979"/>
      <c r="D69" s="1979"/>
      <c r="E69" s="1979"/>
      <c r="F69" s="1979"/>
      <c r="G69" s="1979"/>
      <c r="H69" s="1979"/>
      <c r="I69" s="1979"/>
      <c r="J69" s="1979"/>
      <c r="K69" s="1979"/>
      <c r="L69" s="1979"/>
      <c r="M69" s="1979"/>
      <c r="N69" s="1979"/>
      <c r="O69" s="1826" t="s">
        <v>1954</v>
      </c>
      <c r="P69" s="1827"/>
      <c r="Q69" s="1827"/>
      <c r="R69" s="1827"/>
      <c r="S69" s="1827"/>
      <c r="T69" s="1827"/>
      <c r="U69" s="1827"/>
      <c r="V69" s="1827"/>
      <c r="W69" s="1827"/>
      <c r="X69" s="1827"/>
      <c r="Y69" s="1827"/>
      <c r="Z69" s="1827"/>
      <c r="AA69" s="1980"/>
      <c r="AB69" s="1097"/>
      <c r="AC69" s="1981" t="s">
        <v>1955</v>
      </c>
      <c r="AD69" s="1982"/>
      <c r="AE69" s="1982"/>
      <c r="AF69" s="1982"/>
      <c r="AG69" s="1982"/>
      <c r="AH69" s="1982"/>
      <c r="AI69" s="1982"/>
      <c r="AJ69" s="1982"/>
      <c r="AK69" s="1982"/>
      <c r="AL69" s="1982"/>
      <c r="AM69" s="1982"/>
      <c r="AN69" s="1982"/>
      <c r="AO69" s="1982"/>
      <c r="AP69" s="1982"/>
      <c r="AQ69" s="1982"/>
      <c r="AR69" s="1982"/>
      <c r="AS69" s="1982"/>
      <c r="AT69" s="1982"/>
      <c r="AU69" s="1982"/>
      <c r="AV69" s="1975" t="s">
        <v>700</v>
      </c>
      <c r="AW69" s="1976"/>
      <c r="AX69" s="1976"/>
      <c r="AY69" s="1976"/>
      <c r="AZ69" s="1976"/>
      <c r="BA69" s="1976"/>
      <c r="BB69" s="1976"/>
      <c r="BC69" s="1977"/>
      <c r="BD69" s="1097"/>
      <c r="BE69" s="1101"/>
      <c r="BM69" s="1108" t="s">
        <v>860</v>
      </c>
    </row>
    <row r="70" spans="1:94" ht="15.75" customHeight="1">
      <c r="A70" s="1097"/>
      <c r="B70" s="1932" t="s">
        <v>1956</v>
      </c>
      <c r="C70" s="1933"/>
      <c r="D70" s="1933"/>
      <c r="E70" s="1933"/>
      <c r="F70" s="1933"/>
      <c r="G70" s="1933"/>
      <c r="H70" s="1933"/>
      <c r="I70" s="1933"/>
      <c r="J70" s="1933"/>
      <c r="K70" s="1933"/>
      <c r="L70" s="1933"/>
      <c r="M70" s="1933"/>
      <c r="N70" s="1933"/>
      <c r="O70" s="1989">
        <v>0</v>
      </c>
      <c r="P70" s="1989"/>
      <c r="Q70" s="1989"/>
      <c r="R70" s="1989"/>
      <c r="S70" s="1989"/>
      <c r="T70" s="1989"/>
      <c r="U70" s="1989"/>
      <c r="V70" s="1989"/>
      <c r="W70" s="1989"/>
      <c r="X70" s="1989"/>
      <c r="Y70" s="1989"/>
      <c r="Z70" s="1989"/>
      <c r="AA70" s="1990"/>
      <c r="AB70" s="1097"/>
      <c r="AC70" s="1948" t="s">
        <v>1957</v>
      </c>
      <c r="AD70" s="1949"/>
      <c r="AE70" s="1949"/>
      <c r="AF70" s="1991"/>
      <c r="AG70" s="1991"/>
      <c r="AH70" s="1991"/>
      <c r="AI70" s="1991"/>
      <c r="AJ70" s="1991"/>
      <c r="AK70" s="1991"/>
      <c r="AL70" s="1991"/>
      <c r="AM70" s="1991"/>
      <c r="AN70" s="1991"/>
      <c r="AO70" s="1991"/>
      <c r="AP70" s="1991"/>
      <c r="AQ70" s="1991"/>
      <c r="AR70" s="1991"/>
      <c r="AS70" s="1991"/>
      <c r="AT70" s="1991"/>
      <c r="AU70" s="1992"/>
      <c r="AV70" s="1097"/>
      <c r="AW70" s="1097"/>
      <c r="AX70" s="1097"/>
      <c r="AY70" s="1097"/>
      <c r="AZ70" s="1097"/>
      <c r="BA70" s="1097"/>
      <c r="BB70" s="1097"/>
      <c r="BC70" s="1097"/>
      <c r="BD70" s="1097"/>
      <c r="BE70" s="1101"/>
      <c r="BM70" s="1109" t="s">
        <v>700</v>
      </c>
    </row>
    <row r="71" spans="1:94" ht="15.75" customHeight="1" thickBot="1">
      <c r="A71" s="1097"/>
      <c r="B71" s="1932" t="s">
        <v>1958</v>
      </c>
      <c r="C71" s="1933"/>
      <c r="D71" s="1933"/>
      <c r="E71" s="1933"/>
      <c r="F71" s="1933"/>
      <c r="G71" s="1933"/>
      <c r="H71" s="1933"/>
      <c r="I71" s="1933"/>
      <c r="J71" s="1933"/>
      <c r="K71" s="1933"/>
      <c r="L71" s="1933"/>
      <c r="M71" s="1933"/>
      <c r="N71" s="1933"/>
      <c r="O71" s="1989">
        <v>0</v>
      </c>
      <c r="P71" s="1989"/>
      <c r="Q71" s="1989"/>
      <c r="R71" s="1989"/>
      <c r="S71" s="1989"/>
      <c r="T71" s="1989"/>
      <c r="U71" s="1989"/>
      <c r="V71" s="1989"/>
      <c r="W71" s="1989"/>
      <c r="X71" s="1989"/>
      <c r="Y71" s="1989"/>
      <c r="Z71" s="1989"/>
      <c r="AA71" s="1990"/>
      <c r="AB71" s="1097"/>
      <c r="AC71" s="1993" t="s">
        <v>1959</v>
      </c>
      <c r="AD71" s="1994"/>
      <c r="AE71" s="1994"/>
      <c r="AF71" s="1987"/>
      <c r="AG71" s="1987"/>
      <c r="AH71" s="1987"/>
      <c r="AI71" s="1987"/>
      <c r="AJ71" s="1987"/>
      <c r="AK71" s="1987"/>
      <c r="AL71" s="1987"/>
      <c r="AM71" s="1987"/>
      <c r="AN71" s="1987"/>
      <c r="AO71" s="1987"/>
      <c r="AP71" s="1987"/>
      <c r="AQ71" s="1987"/>
      <c r="AR71" s="1987"/>
      <c r="AS71" s="1987"/>
      <c r="AT71" s="1987"/>
      <c r="AU71" s="1988"/>
      <c r="AV71" s="1097"/>
      <c r="AW71" s="1097"/>
      <c r="AX71" s="1097"/>
      <c r="AY71" s="1097"/>
      <c r="AZ71" s="1097"/>
      <c r="BA71" s="1097"/>
      <c r="BB71" s="1097"/>
      <c r="BC71" s="1097"/>
      <c r="BD71" s="1097"/>
      <c r="BE71" s="1101"/>
      <c r="BM71" s="1093" t="s">
        <v>1960</v>
      </c>
    </row>
    <row r="72" spans="1:94" ht="15.75" customHeight="1">
      <c r="A72" s="1097"/>
      <c r="B72" s="1932" t="s">
        <v>1961</v>
      </c>
      <c r="C72" s="1933"/>
      <c r="D72" s="1933"/>
      <c r="E72" s="1933"/>
      <c r="F72" s="1933"/>
      <c r="G72" s="1933"/>
      <c r="H72" s="1933"/>
      <c r="I72" s="1933"/>
      <c r="J72" s="1933"/>
      <c r="K72" s="1933"/>
      <c r="L72" s="1933"/>
      <c r="M72" s="1933"/>
      <c r="N72" s="1933"/>
      <c r="O72" s="1989">
        <v>0</v>
      </c>
      <c r="P72" s="1989"/>
      <c r="Q72" s="1989"/>
      <c r="R72" s="1989"/>
      <c r="S72" s="1989"/>
      <c r="T72" s="1989"/>
      <c r="U72" s="1989"/>
      <c r="V72" s="1989"/>
      <c r="W72" s="1989"/>
      <c r="X72" s="1989"/>
      <c r="Y72" s="1989"/>
      <c r="Z72" s="1989"/>
      <c r="AA72" s="1990"/>
      <c r="AB72" s="1097"/>
      <c r="AC72" s="1997" t="s">
        <v>1962</v>
      </c>
      <c r="AD72" s="1998"/>
      <c r="AE72" s="1998"/>
      <c r="AF72" s="1998"/>
      <c r="AG72" s="1998"/>
      <c r="AH72" s="1998"/>
      <c r="AI72" s="1998"/>
      <c r="AJ72" s="1998"/>
      <c r="AK72" s="1998"/>
      <c r="AL72" s="1998"/>
      <c r="AM72" s="1998"/>
      <c r="AN72" s="1998"/>
      <c r="AO72" s="1998"/>
      <c r="AP72" s="1998"/>
      <c r="AQ72" s="1998"/>
      <c r="AR72" s="1998"/>
      <c r="AS72" s="1998"/>
      <c r="AT72" s="1998"/>
      <c r="AU72" s="1998"/>
      <c r="AV72" s="1949"/>
      <c r="AW72" s="1949"/>
      <c r="AX72" s="1949"/>
      <c r="AY72" s="1949"/>
      <c r="AZ72" s="1949"/>
      <c r="BA72" s="1949"/>
      <c r="BB72" s="1949"/>
      <c r="BC72" s="1950"/>
      <c r="BD72" s="1097"/>
      <c r="BE72" s="1101"/>
    </row>
    <row r="73" spans="1:94" ht="15.75" customHeight="1">
      <c r="A73" s="1097"/>
      <c r="B73" s="1936" t="s">
        <v>1963</v>
      </c>
      <c r="C73" s="1937"/>
      <c r="D73" s="1937"/>
      <c r="E73" s="1937"/>
      <c r="F73" s="1937"/>
      <c r="G73" s="1937"/>
      <c r="H73" s="1937"/>
      <c r="I73" s="1937"/>
      <c r="J73" s="1937"/>
      <c r="K73" s="1937"/>
      <c r="L73" s="1937"/>
      <c r="M73" s="1937"/>
      <c r="N73" s="1937"/>
      <c r="O73" s="1989">
        <v>0</v>
      </c>
      <c r="P73" s="1989"/>
      <c r="Q73" s="1989"/>
      <c r="R73" s="1989"/>
      <c r="S73" s="1989"/>
      <c r="T73" s="1989"/>
      <c r="U73" s="1989"/>
      <c r="V73" s="1989"/>
      <c r="W73" s="1989"/>
      <c r="X73" s="1989"/>
      <c r="Y73" s="1989"/>
      <c r="Z73" s="1989"/>
      <c r="AA73" s="1990"/>
      <c r="AB73" s="1097"/>
      <c r="AC73" s="1999" t="s">
        <v>1964</v>
      </c>
      <c r="AD73" s="2000"/>
      <c r="AE73" s="2000"/>
      <c r="AF73" s="2000"/>
      <c r="AG73" s="2000"/>
      <c r="AH73" s="2000"/>
      <c r="AI73" s="2000"/>
      <c r="AJ73" s="2000"/>
      <c r="AK73" s="2000"/>
      <c r="AL73" s="2000"/>
      <c r="AM73" s="2000"/>
      <c r="AN73" s="2000"/>
      <c r="AO73" s="2000"/>
      <c r="AP73" s="2000"/>
      <c r="AQ73" s="2000"/>
      <c r="AR73" s="2000"/>
      <c r="AS73" s="2000"/>
      <c r="AT73" s="2000"/>
      <c r="AU73" s="2000"/>
      <c r="AV73" s="2000"/>
      <c r="AW73" s="2000"/>
      <c r="AX73" s="2000"/>
      <c r="AY73" s="2000"/>
      <c r="AZ73" s="2000"/>
      <c r="BA73" s="2000"/>
      <c r="BB73" s="2000"/>
      <c r="BC73" s="2001"/>
      <c r="BD73" s="1097"/>
      <c r="BE73" s="1101"/>
      <c r="CK73" s="1095"/>
      <c r="CL73" s="1095"/>
      <c r="CM73" s="1095"/>
      <c r="CN73" s="1095"/>
      <c r="CO73" s="1095"/>
      <c r="CP73" s="1095"/>
    </row>
    <row r="74" spans="1:94" ht="15.75" customHeight="1">
      <c r="A74" s="1097"/>
      <c r="B74" s="2005"/>
      <c r="C74" s="1955"/>
      <c r="D74" s="1955"/>
      <c r="E74" s="1955"/>
      <c r="F74" s="1955"/>
      <c r="G74" s="1955"/>
      <c r="H74" s="1955"/>
      <c r="I74" s="1955"/>
      <c r="J74" s="1955"/>
      <c r="K74" s="1955"/>
      <c r="L74" s="1955"/>
      <c r="M74" s="1955"/>
      <c r="N74" s="1955"/>
      <c r="O74" s="1989"/>
      <c r="P74" s="1989"/>
      <c r="Q74" s="1989"/>
      <c r="R74" s="1989"/>
      <c r="S74" s="1989"/>
      <c r="T74" s="1989"/>
      <c r="U74" s="1989"/>
      <c r="V74" s="1989"/>
      <c r="W74" s="1989"/>
      <c r="X74" s="1989"/>
      <c r="Y74" s="1989"/>
      <c r="Z74" s="1989"/>
      <c r="AA74" s="1990"/>
      <c r="AB74" s="1097"/>
      <c r="AC74" s="1999"/>
      <c r="AD74" s="2000"/>
      <c r="AE74" s="2000"/>
      <c r="AF74" s="2000"/>
      <c r="AG74" s="2000"/>
      <c r="AH74" s="2000"/>
      <c r="AI74" s="2000"/>
      <c r="AJ74" s="2000"/>
      <c r="AK74" s="2000"/>
      <c r="AL74" s="2000"/>
      <c r="AM74" s="2000"/>
      <c r="AN74" s="2000"/>
      <c r="AO74" s="2000"/>
      <c r="AP74" s="2000"/>
      <c r="AQ74" s="2000"/>
      <c r="AR74" s="2000"/>
      <c r="AS74" s="2000"/>
      <c r="AT74" s="2000"/>
      <c r="AU74" s="2000"/>
      <c r="AV74" s="2000"/>
      <c r="AW74" s="2000"/>
      <c r="AX74" s="2000"/>
      <c r="AY74" s="2000"/>
      <c r="AZ74" s="2000"/>
      <c r="BA74" s="2000"/>
      <c r="BB74" s="2000"/>
      <c r="BC74" s="2001"/>
      <c r="BD74" s="1097"/>
      <c r="BE74" s="1101"/>
      <c r="CK74" s="1095"/>
      <c r="CL74" s="1095"/>
      <c r="CM74" s="1095"/>
      <c r="CN74" s="1095"/>
      <c r="CO74" s="1095"/>
      <c r="CP74" s="1095"/>
    </row>
    <row r="75" spans="1:94" ht="15.75" customHeight="1" thickBot="1">
      <c r="A75" s="1097"/>
      <c r="B75" s="2006" t="s">
        <v>1471</v>
      </c>
      <c r="C75" s="2007"/>
      <c r="D75" s="2007"/>
      <c r="E75" s="2007"/>
      <c r="F75" s="2007"/>
      <c r="G75" s="2007"/>
      <c r="H75" s="2007"/>
      <c r="I75" s="2007"/>
      <c r="J75" s="2007"/>
      <c r="K75" s="2007"/>
      <c r="L75" s="2007"/>
      <c r="M75" s="2007"/>
      <c r="N75" s="2007"/>
      <c r="O75" s="2008">
        <f>SUM(O70:AA74)</f>
        <v>0</v>
      </c>
      <c r="P75" s="2008"/>
      <c r="Q75" s="2008"/>
      <c r="R75" s="2008"/>
      <c r="S75" s="2008"/>
      <c r="T75" s="2008"/>
      <c r="U75" s="2008"/>
      <c r="V75" s="2008"/>
      <c r="W75" s="2008"/>
      <c r="X75" s="2008"/>
      <c r="Y75" s="2008"/>
      <c r="Z75" s="2008"/>
      <c r="AA75" s="2009"/>
      <c r="AB75" s="1097"/>
      <c r="AC75" s="1999"/>
      <c r="AD75" s="2000"/>
      <c r="AE75" s="2000"/>
      <c r="AF75" s="2000"/>
      <c r="AG75" s="2000"/>
      <c r="AH75" s="2000"/>
      <c r="AI75" s="2000"/>
      <c r="AJ75" s="2000"/>
      <c r="AK75" s="2000"/>
      <c r="AL75" s="2000"/>
      <c r="AM75" s="2000"/>
      <c r="AN75" s="2000"/>
      <c r="AO75" s="2000"/>
      <c r="AP75" s="2000"/>
      <c r="AQ75" s="2000"/>
      <c r="AR75" s="2000"/>
      <c r="AS75" s="2000"/>
      <c r="AT75" s="2000"/>
      <c r="AU75" s="2000"/>
      <c r="AV75" s="2000"/>
      <c r="AW75" s="2000"/>
      <c r="AX75" s="2000"/>
      <c r="AY75" s="2000"/>
      <c r="AZ75" s="2000"/>
      <c r="BA75" s="2000"/>
      <c r="BB75" s="2000"/>
      <c r="BC75" s="2001"/>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99"/>
      <c r="AD76" s="2000"/>
      <c r="AE76" s="2000"/>
      <c r="AF76" s="2000"/>
      <c r="AG76" s="2000"/>
      <c r="AH76" s="2000"/>
      <c r="AI76" s="2000"/>
      <c r="AJ76" s="2000"/>
      <c r="AK76" s="2000"/>
      <c r="AL76" s="2000"/>
      <c r="AM76" s="2000"/>
      <c r="AN76" s="2000"/>
      <c r="AO76" s="2000"/>
      <c r="AP76" s="2000"/>
      <c r="AQ76" s="2000"/>
      <c r="AR76" s="2000"/>
      <c r="AS76" s="2000"/>
      <c r="AT76" s="2000"/>
      <c r="AU76" s="2000"/>
      <c r="AV76" s="2000"/>
      <c r="AW76" s="2000"/>
      <c r="AX76" s="2000"/>
      <c r="AY76" s="2000"/>
      <c r="AZ76" s="2000"/>
      <c r="BA76" s="2000"/>
      <c r="BB76" s="2000"/>
      <c r="BC76" s="2001"/>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2002"/>
      <c r="AD77" s="2003"/>
      <c r="AE77" s="2003"/>
      <c r="AF77" s="2003"/>
      <c r="AG77" s="2003"/>
      <c r="AH77" s="2003"/>
      <c r="AI77" s="2003"/>
      <c r="AJ77" s="2003"/>
      <c r="AK77" s="2003"/>
      <c r="AL77" s="2003"/>
      <c r="AM77" s="2003"/>
      <c r="AN77" s="2003"/>
      <c r="AO77" s="2003"/>
      <c r="AP77" s="2003"/>
      <c r="AQ77" s="2003"/>
      <c r="AR77" s="2003"/>
      <c r="AS77" s="2003"/>
      <c r="AT77" s="2003"/>
      <c r="AU77" s="2003"/>
      <c r="AV77" s="2003"/>
      <c r="AW77" s="2003"/>
      <c r="AX77" s="2003"/>
      <c r="AY77" s="2003"/>
      <c r="AZ77" s="2003"/>
      <c r="BA77" s="2003"/>
      <c r="BB77" s="2003"/>
      <c r="BC77" s="2004"/>
      <c r="BD77" s="1097"/>
      <c r="BE77" s="1101"/>
      <c r="CK77" s="1095"/>
      <c r="CL77" s="1095"/>
      <c r="CM77" s="1095"/>
      <c r="CN77" s="1095"/>
      <c r="CO77" s="1095"/>
      <c r="CP77" s="1095"/>
    </row>
    <row r="78" spans="1:94" ht="15.75" customHeight="1" thickBot="1">
      <c r="A78" s="1097"/>
      <c r="B78" s="1110" t="s">
        <v>1965</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1966</v>
      </c>
      <c r="C79" s="1114"/>
      <c r="D79" s="1114"/>
      <c r="E79" s="1115"/>
      <c r="F79" s="2010"/>
      <c r="G79" s="2011"/>
      <c r="H79" s="2011"/>
      <c r="I79" s="2011"/>
      <c r="J79" s="2011"/>
      <c r="K79" s="2011"/>
      <c r="L79" s="2011"/>
      <c r="M79" s="2011"/>
      <c r="N79" s="2011"/>
      <c r="O79" s="2011"/>
      <c r="P79" s="2011"/>
      <c r="Q79" s="2011"/>
      <c r="R79" s="2011"/>
      <c r="S79" s="2011"/>
      <c r="T79" s="2012"/>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13" t="s">
        <v>1967</v>
      </c>
      <c r="C81" s="2014"/>
      <c r="D81" s="2014"/>
      <c r="E81" s="2014"/>
      <c r="F81" s="2014"/>
      <c r="G81" s="2014"/>
      <c r="H81" s="2014"/>
      <c r="I81" s="2014"/>
      <c r="J81" s="2014"/>
      <c r="K81" s="2014"/>
      <c r="L81" s="2014"/>
      <c r="M81" s="2014"/>
      <c r="N81" s="2014"/>
      <c r="O81" s="2014"/>
      <c r="P81" s="2014"/>
      <c r="Q81" s="2014"/>
      <c r="R81" s="2014"/>
      <c r="S81" s="2014"/>
      <c r="T81" s="2014"/>
      <c r="U81" s="2014"/>
      <c r="V81" s="2014"/>
      <c r="W81" s="2014"/>
      <c r="X81" s="2014"/>
      <c r="Y81" s="2014"/>
      <c r="Z81" s="2014"/>
      <c r="AA81" s="2014"/>
      <c r="AB81" s="2014"/>
      <c r="AC81" s="2014"/>
      <c r="AD81" s="2014"/>
      <c r="AE81" s="2014"/>
      <c r="AF81" s="2014"/>
      <c r="AG81" s="2014"/>
      <c r="AH81" s="2015"/>
      <c r="AI81" s="1097"/>
      <c r="AJ81" s="2016" t="s">
        <v>1968</v>
      </c>
      <c r="AK81" s="2017"/>
      <c r="AL81" s="2017"/>
      <c r="AM81" s="2017"/>
      <c r="AN81" s="2017"/>
      <c r="AO81" s="2017"/>
      <c r="AP81" s="2017"/>
      <c r="AQ81" s="2017"/>
      <c r="AR81" s="2017"/>
      <c r="AS81" s="2017"/>
      <c r="AT81" s="2017"/>
      <c r="AU81" s="2017"/>
      <c r="AV81" s="2017"/>
      <c r="AW81" s="2017"/>
      <c r="AX81" s="2017"/>
      <c r="AY81" s="2020" t="s">
        <v>860</v>
      </c>
      <c r="AZ81" s="2020"/>
      <c r="BA81" s="2020"/>
      <c r="BB81" s="2021"/>
      <c r="BC81" s="1097"/>
      <c r="BD81" s="1097"/>
      <c r="BE81" s="1101"/>
      <c r="CK81" s="1095"/>
      <c r="CL81" s="1095"/>
      <c r="CM81" s="1095"/>
      <c r="CN81" s="1095"/>
      <c r="CO81" s="1095"/>
      <c r="CP81" s="1095"/>
    </row>
    <row r="82" spans="1:94" ht="15.75" customHeight="1">
      <c r="A82" s="1097"/>
      <c r="B82" s="1951"/>
      <c r="C82" s="1952"/>
      <c r="D82" s="1952"/>
      <c r="E82" s="1952"/>
      <c r="F82" s="1952"/>
      <c r="G82" s="1952"/>
      <c r="H82" s="1952"/>
      <c r="I82" s="1952" t="s">
        <v>1969</v>
      </c>
      <c r="J82" s="1952"/>
      <c r="K82" s="1952"/>
      <c r="L82" s="1952"/>
      <c r="M82" s="1952"/>
      <c r="N82" s="1952"/>
      <c r="O82" s="1952" t="s">
        <v>1970</v>
      </c>
      <c r="P82" s="1952"/>
      <c r="Q82" s="1952"/>
      <c r="R82" s="1952"/>
      <c r="S82" s="1952"/>
      <c r="T82" s="1952"/>
      <c r="U82" s="1952"/>
      <c r="V82" s="2024" t="s">
        <v>1971</v>
      </c>
      <c r="W82" s="2024"/>
      <c r="X82" s="2024"/>
      <c r="Y82" s="2024"/>
      <c r="Z82" s="2024"/>
      <c r="AA82" s="2024"/>
      <c r="AB82" s="2025" t="s">
        <v>1972</v>
      </c>
      <c r="AC82" s="2025"/>
      <c r="AD82" s="2025"/>
      <c r="AE82" s="2025"/>
      <c r="AF82" s="2025"/>
      <c r="AG82" s="2025"/>
      <c r="AH82" s="2026"/>
      <c r="AI82" s="1097"/>
      <c r="AJ82" s="2018"/>
      <c r="AK82" s="2019"/>
      <c r="AL82" s="2019"/>
      <c r="AM82" s="2019"/>
      <c r="AN82" s="2019"/>
      <c r="AO82" s="2019"/>
      <c r="AP82" s="2019"/>
      <c r="AQ82" s="2019"/>
      <c r="AR82" s="2019"/>
      <c r="AS82" s="2019"/>
      <c r="AT82" s="2019"/>
      <c r="AU82" s="2019"/>
      <c r="AV82" s="2019"/>
      <c r="AW82" s="2019"/>
      <c r="AX82" s="2019"/>
      <c r="AY82" s="2022"/>
      <c r="AZ82" s="2022"/>
      <c r="BA82" s="2022"/>
      <c r="BB82" s="2023"/>
      <c r="BC82" s="1097"/>
      <c r="BD82" s="1097"/>
      <c r="BE82" s="1101"/>
      <c r="CK82" s="1095"/>
      <c r="CL82" s="1095"/>
      <c r="CM82" s="1095"/>
      <c r="CN82" s="1095"/>
      <c r="CO82" s="1095"/>
      <c r="CP82" s="1095"/>
    </row>
    <row r="83" spans="1:94" ht="15.75" customHeight="1">
      <c r="A83" s="1097"/>
      <c r="B83" s="1951"/>
      <c r="C83" s="1952"/>
      <c r="D83" s="1952"/>
      <c r="E83" s="1952"/>
      <c r="F83" s="1952"/>
      <c r="G83" s="1952"/>
      <c r="H83" s="1952"/>
      <c r="I83" s="1952"/>
      <c r="J83" s="1952"/>
      <c r="K83" s="1952"/>
      <c r="L83" s="1952"/>
      <c r="M83" s="1952"/>
      <c r="N83" s="1952"/>
      <c r="O83" s="1952"/>
      <c r="P83" s="1952"/>
      <c r="Q83" s="1952"/>
      <c r="R83" s="1952"/>
      <c r="S83" s="1952"/>
      <c r="T83" s="1952"/>
      <c r="U83" s="1952"/>
      <c r="V83" s="2024"/>
      <c r="W83" s="2024"/>
      <c r="X83" s="2024"/>
      <c r="Y83" s="2024"/>
      <c r="Z83" s="2024"/>
      <c r="AA83" s="2024"/>
      <c r="AB83" s="2025"/>
      <c r="AC83" s="2025"/>
      <c r="AD83" s="2025"/>
      <c r="AE83" s="2025"/>
      <c r="AF83" s="2025"/>
      <c r="AG83" s="2025"/>
      <c r="AH83" s="2026"/>
      <c r="AI83" s="1097"/>
      <c r="AJ83" s="2018"/>
      <c r="AK83" s="2019"/>
      <c r="AL83" s="2019"/>
      <c r="AM83" s="2019"/>
      <c r="AN83" s="2019"/>
      <c r="AO83" s="2019"/>
      <c r="AP83" s="2019"/>
      <c r="AQ83" s="2019"/>
      <c r="AR83" s="2019"/>
      <c r="AS83" s="2019"/>
      <c r="AT83" s="2019"/>
      <c r="AU83" s="2019"/>
      <c r="AV83" s="2019"/>
      <c r="AW83" s="2019"/>
      <c r="AX83" s="2019"/>
      <c r="AY83" s="2022"/>
      <c r="AZ83" s="2022"/>
      <c r="BA83" s="2022"/>
      <c r="BB83" s="2023"/>
      <c r="BC83" s="1097"/>
      <c r="BD83" s="1097"/>
      <c r="BE83" s="1101"/>
      <c r="CK83" s="1095"/>
      <c r="CL83" s="1095"/>
      <c r="CM83" s="1095"/>
      <c r="CN83" s="1095"/>
      <c r="CO83" s="1095"/>
      <c r="CP83" s="1095"/>
    </row>
    <row r="84" spans="1:94" ht="15.75" customHeight="1">
      <c r="A84" s="1097"/>
      <c r="B84" s="1951" t="s">
        <v>1973</v>
      </c>
      <c r="C84" s="1952"/>
      <c r="D84" s="1952"/>
      <c r="E84" s="1952"/>
      <c r="F84" s="1952"/>
      <c r="G84" s="1952"/>
      <c r="H84" s="1952"/>
      <c r="I84" s="2029">
        <v>0</v>
      </c>
      <c r="J84" s="2029"/>
      <c r="K84" s="2029"/>
      <c r="L84" s="2029"/>
      <c r="M84" s="2029"/>
      <c r="N84" s="2029"/>
      <c r="O84" s="2029">
        <v>0</v>
      </c>
      <c r="P84" s="2029"/>
      <c r="Q84" s="2029"/>
      <c r="R84" s="2029"/>
      <c r="S84" s="2029"/>
      <c r="T84" s="2029"/>
      <c r="U84" s="2029"/>
      <c r="V84" s="2029">
        <v>0</v>
      </c>
      <c r="W84" s="2029"/>
      <c r="X84" s="2029"/>
      <c r="Y84" s="2029"/>
      <c r="Z84" s="2029"/>
      <c r="AA84" s="2029"/>
      <c r="AB84" s="2029">
        <v>0</v>
      </c>
      <c r="AC84" s="2029"/>
      <c r="AD84" s="2029"/>
      <c r="AE84" s="2029"/>
      <c r="AF84" s="2029"/>
      <c r="AG84" s="2029"/>
      <c r="AH84" s="2030"/>
      <c r="AI84" s="1097"/>
      <c r="AJ84" s="2018"/>
      <c r="AK84" s="2019"/>
      <c r="AL84" s="2019"/>
      <c r="AM84" s="2019"/>
      <c r="AN84" s="2019"/>
      <c r="AO84" s="2019"/>
      <c r="AP84" s="2019"/>
      <c r="AQ84" s="2019"/>
      <c r="AR84" s="2019"/>
      <c r="AS84" s="2019"/>
      <c r="AT84" s="2019"/>
      <c r="AU84" s="2019"/>
      <c r="AV84" s="2019"/>
      <c r="AW84" s="2019"/>
      <c r="AX84" s="2019"/>
      <c r="AY84" s="2022"/>
      <c r="AZ84" s="2022"/>
      <c r="BA84" s="2022"/>
      <c r="BB84" s="2023"/>
      <c r="BC84" s="1097"/>
      <c r="BD84" s="1097"/>
      <c r="BE84" s="1101"/>
      <c r="CK84" s="1095"/>
      <c r="CL84" s="1095"/>
      <c r="CM84" s="1095"/>
      <c r="CN84" s="1095"/>
      <c r="CO84" s="1095"/>
      <c r="CP84" s="1095"/>
    </row>
    <row r="85" spans="1:94" ht="15.75" customHeight="1">
      <c r="A85" s="1097"/>
      <c r="B85" s="1951" t="s">
        <v>1974</v>
      </c>
      <c r="C85" s="1952"/>
      <c r="D85" s="1952"/>
      <c r="E85" s="1952"/>
      <c r="F85" s="1952"/>
      <c r="G85" s="1952"/>
      <c r="H85" s="1952"/>
      <c r="I85" s="2029">
        <v>0</v>
      </c>
      <c r="J85" s="2029"/>
      <c r="K85" s="2029"/>
      <c r="L85" s="2029"/>
      <c r="M85" s="2029"/>
      <c r="N85" s="2029"/>
      <c r="O85" s="2029">
        <v>0</v>
      </c>
      <c r="P85" s="2029"/>
      <c r="Q85" s="2029"/>
      <c r="R85" s="2029"/>
      <c r="S85" s="2029"/>
      <c r="T85" s="2029"/>
      <c r="U85" s="2029"/>
      <c r="V85" s="2029">
        <v>0</v>
      </c>
      <c r="W85" s="2029"/>
      <c r="X85" s="2029"/>
      <c r="Y85" s="2029"/>
      <c r="Z85" s="2029"/>
      <c r="AA85" s="2029"/>
      <c r="AB85" s="2029">
        <v>0</v>
      </c>
      <c r="AC85" s="2029"/>
      <c r="AD85" s="2029"/>
      <c r="AE85" s="2029"/>
      <c r="AF85" s="2029"/>
      <c r="AG85" s="2029"/>
      <c r="AH85" s="2030"/>
      <c r="AI85" s="1097"/>
      <c r="AJ85" s="1999" t="s">
        <v>1975</v>
      </c>
      <c r="AK85" s="2000"/>
      <c r="AL85" s="2000"/>
      <c r="AM85" s="2000"/>
      <c r="AN85" s="2000"/>
      <c r="AO85" s="2000"/>
      <c r="AP85" s="2000"/>
      <c r="AQ85" s="2000"/>
      <c r="AR85" s="2000"/>
      <c r="AS85" s="2000"/>
      <c r="AT85" s="2000"/>
      <c r="AU85" s="2000"/>
      <c r="AV85" s="2000"/>
      <c r="AW85" s="2000"/>
      <c r="AX85" s="2000"/>
      <c r="AY85" s="2000"/>
      <c r="AZ85" s="2000"/>
      <c r="BA85" s="2000"/>
      <c r="BB85" s="2001"/>
      <c r="BC85" s="1097"/>
      <c r="BD85" s="1097"/>
      <c r="BE85" s="1101"/>
      <c r="CK85" s="1095"/>
      <c r="CL85" s="1095"/>
      <c r="CM85" s="1095"/>
      <c r="CN85" s="1095"/>
      <c r="CO85" s="1095"/>
      <c r="CP85" s="1095"/>
    </row>
    <row r="86" spans="1:94" ht="15.75" customHeight="1" thickBot="1">
      <c r="A86" s="1097"/>
      <c r="B86" s="1969" t="s">
        <v>1976</v>
      </c>
      <c r="C86" s="1970"/>
      <c r="D86" s="1970"/>
      <c r="E86" s="1970"/>
      <c r="F86" s="1970"/>
      <c r="G86" s="1970"/>
      <c r="H86" s="1970"/>
      <c r="I86" s="2027">
        <v>0</v>
      </c>
      <c r="J86" s="2027"/>
      <c r="K86" s="2027"/>
      <c r="L86" s="2027"/>
      <c r="M86" s="2027"/>
      <c r="N86" s="2027"/>
      <c r="O86" s="2027">
        <v>0</v>
      </c>
      <c r="P86" s="2027"/>
      <c r="Q86" s="2027"/>
      <c r="R86" s="2027"/>
      <c r="S86" s="2027"/>
      <c r="T86" s="2027"/>
      <c r="U86" s="2027"/>
      <c r="V86" s="2027">
        <v>0</v>
      </c>
      <c r="W86" s="2027"/>
      <c r="X86" s="2027"/>
      <c r="Y86" s="2027"/>
      <c r="Z86" s="2027"/>
      <c r="AA86" s="2027"/>
      <c r="AB86" s="2027">
        <v>0</v>
      </c>
      <c r="AC86" s="2027"/>
      <c r="AD86" s="2027"/>
      <c r="AE86" s="2027"/>
      <c r="AF86" s="2027"/>
      <c r="AG86" s="2027"/>
      <c r="AH86" s="2028"/>
      <c r="AI86" s="1097"/>
      <c r="AJ86" s="2002"/>
      <c r="AK86" s="2003"/>
      <c r="AL86" s="2003"/>
      <c r="AM86" s="2003"/>
      <c r="AN86" s="2003"/>
      <c r="AO86" s="2003"/>
      <c r="AP86" s="2003"/>
      <c r="AQ86" s="2003"/>
      <c r="AR86" s="2003"/>
      <c r="AS86" s="2003"/>
      <c r="AT86" s="2003"/>
      <c r="AU86" s="2003"/>
      <c r="AV86" s="2003"/>
      <c r="AW86" s="2003"/>
      <c r="AX86" s="2003"/>
      <c r="AY86" s="2003"/>
      <c r="AZ86" s="2003"/>
      <c r="BA86" s="2003"/>
      <c r="BB86" s="2004"/>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1977</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1966</v>
      </c>
      <c r="C90" s="1120"/>
      <c r="D90" s="1121"/>
      <c r="E90" s="1122"/>
      <c r="F90" s="2010"/>
      <c r="G90" s="2011"/>
      <c r="H90" s="2011"/>
      <c r="I90" s="2011"/>
      <c r="J90" s="2011"/>
      <c r="K90" s="2011"/>
      <c r="L90" s="2011"/>
      <c r="M90" s="2011"/>
      <c r="N90" s="2011"/>
      <c r="O90" s="2011"/>
      <c r="P90" s="2011"/>
      <c r="Q90" s="2011"/>
      <c r="R90" s="2011"/>
      <c r="S90" s="2011"/>
      <c r="T90" s="2012"/>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13" t="s">
        <v>1978</v>
      </c>
      <c r="C92" s="2014"/>
      <c r="D92" s="2014"/>
      <c r="E92" s="2014"/>
      <c r="F92" s="2014"/>
      <c r="G92" s="2014"/>
      <c r="H92" s="2014"/>
      <c r="I92" s="2014"/>
      <c r="J92" s="2014"/>
      <c r="K92" s="2014"/>
      <c r="L92" s="2014"/>
      <c r="M92" s="2014"/>
      <c r="N92" s="2014"/>
      <c r="O92" s="2014"/>
      <c r="P92" s="2014"/>
      <c r="Q92" s="2014"/>
      <c r="R92" s="2014"/>
      <c r="S92" s="2014"/>
      <c r="T92" s="2014"/>
      <c r="U92" s="2014"/>
      <c r="V92" s="2014"/>
      <c r="W92" s="2014"/>
      <c r="X92" s="2014"/>
      <c r="Y92" s="2014"/>
      <c r="Z92" s="2014"/>
      <c r="AA92" s="2014"/>
      <c r="AB92" s="2014"/>
      <c r="AC92" s="2014"/>
      <c r="AD92" s="2014"/>
      <c r="AE92" s="2014"/>
      <c r="AF92" s="2014"/>
      <c r="AG92" s="2014"/>
      <c r="AH92" s="2015"/>
      <c r="AI92" s="1097"/>
      <c r="AJ92" s="2016" t="s">
        <v>1979</v>
      </c>
      <c r="AK92" s="2017"/>
      <c r="AL92" s="2017"/>
      <c r="AM92" s="2017"/>
      <c r="AN92" s="2017"/>
      <c r="AO92" s="2017"/>
      <c r="AP92" s="2017"/>
      <c r="AQ92" s="2017"/>
      <c r="AR92" s="2017"/>
      <c r="AS92" s="2017"/>
      <c r="AT92" s="2017"/>
      <c r="AU92" s="2017"/>
      <c r="AV92" s="2017"/>
      <c r="AW92" s="2017"/>
      <c r="AX92" s="2017"/>
      <c r="AY92" s="2020" t="s">
        <v>860</v>
      </c>
      <c r="AZ92" s="2020"/>
      <c r="BA92" s="2020"/>
      <c r="BB92" s="2021"/>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51"/>
      <c r="C93" s="1952"/>
      <c r="D93" s="1952"/>
      <c r="E93" s="1952"/>
      <c r="F93" s="1952"/>
      <c r="G93" s="1952"/>
      <c r="H93" s="1952"/>
      <c r="I93" s="1952" t="s">
        <v>1969</v>
      </c>
      <c r="J93" s="1952"/>
      <c r="K93" s="1952"/>
      <c r="L93" s="1952"/>
      <c r="M93" s="1952"/>
      <c r="N93" s="1952"/>
      <c r="O93" s="1952" t="s">
        <v>1970</v>
      </c>
      <c r="P93" s="1952"/>
      <c r="Q93" s="1952"/>
      <c r="R93" s="1952"/>
      <c r="S93" s="1952"/>
      <c r="T93" s="1952"/>
      <c r="U93" s="1952"/>
      <c r="V93" s="2024" t="s">
        <v>1971</v>
      </c>
      <c r="W93" s="2024"/>
      <c r="X93" s="2024"/>
      <c r="Y93" s="2024"/>
      <c r="Z93" s="2024"/>
      <c r="AA93" s="2024"/>
      <c r="AB93" s="2025" t="s">
        <v>1972</v>
      </c>
      <c r="AC93" s="2025"/>
      <c r="AD93" s="2025"/>
      <c r="AE93" s="2025"/>
      <c r="AF93" s="2025"/>
      <c r="AG93" s="2025"/>
      <c r="AH93" s="2026"/>
      <c r="AI93" s="1097"/>
      <c r="AJ93" s="2018"/>
      <c r="AK93" s="2019"/>
      <c r="AL93" s="2019"/>
      <c r="AM93" s="2019"/>
      <c r="AN93" s="2019"/>
      <c r="AO93" s="2019"/>
      <c r="AP93" s="2019"/>
      <c r="AQ93" s="2019"/>
      <c r="AR93" s="2019"/>
      <c r="AS93" s="2019"/>
      <c r="AT93" s="2019"/>
      <c r="AU93" s="2019"/>
      <c r="AV93" s="2019"/>
      <c r="AW93" s="2019"/>
      <c r="AX93" s="2019"/>
      <c r="AY93" s="2022"/>
      <c r="AZ93" s="2022"/>
      <c r="BA93" s="2022"/>
      <c r="BB93" s="2023"/>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51"/>
      <c r="C94" s="1952"/>
      <c r="D94" s="1952"/>
      <c r="E94" s="1952"/>
      <c r="F94" s="1952"/>
      <c r="G94" s="1952"/>
      <c r="H94" s="1952"/>
      <c r="I94" s="1952"/>
      <c r="J94" s="1952"/>
      <c r="K94" s="1952"/>
      <c r="L94" s="1952"/>
      <c r="M94" s="1952"/>
      <c r="N94" s="1952"/>
      <c r="O94" s="1952"/>
      <c r="P94" s="1952"/>
      <c r="Q94" s="1952"/>
      <c r="R94" s="1952"/>
      <c r="S94" s="1952"/>
      <c r="T94" s="1952"/>
      <c r="U94" s="1952"/>
      <c r="V94" s="2024"/>
      <c r="W94" s="2024"/>
      <c r="X94" s="2024"/>
      <c r="Y94" s="2024"/>
      <c r="Z94" s="2024"/>
      <c r="AA94" s="2024"/>
      <c r="AB94" s="2025"/>
      <c r="AC94" s="2025"/>
      <c r="AD94" s="2025"/>
      <c r="AE94" s="2025"/>
      <c r="AF94" s="2025"/>
      <c r="AG94" s="2025"/>
      <c r="AH94" s="2026"/>
      <c r="AI94" s="1097"/>
      <c r="AJ94" s="2018"/>
      <c r="AK94" s="2019"/>
      <c r="AL94" s="2019"/>
      <c r="AM94" s="2019"/>
      <c r="AN94" s="2019"/>
      <c r="AO94" s="2019"/>
      <c r="AP94" s="2019"/>
      <c r="AQ94" s="2019"/>
      <c r="AR94" s="2019"/>
      <c r="AS94" s="2019"/>
      <c r="AT94" s="2019"/>
      <c r="AU94" s="2019"/>
      <c r="AV94" s="2019"/>
      <c r="AW94" s="2019"/>
      <c r="AX94" s="2019"/>
      <c r="AY94" s="2022"/>
      <c r="AZ94" s="2022"/>
      <c r="BA94" s="2022"/>
      <c r="BB94" s="2023"/>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51" t="s">
        <v>1973</v>
      </c>
      <c r="C95" s="1952"/>
      <c r="D95" s="1952"/>
      <c r="E95" s="1952"/>
      <c r="F95" s="1952"/>
      <c r="G95" s="1952"/>
      <c r="H95" s="1952"/>
      <c r="I95" s="2029">
        <v>0</v>
      </c>
      <c r="J95" s="2029"/>
      <c r="K95" s="2029"/>
      <c r="L95" s="2029"/>
      <c r="M95" s="2029"/>
      <c r="N95" s="2029"/>
      <c r="O95" s="2029">
        <v>0</v>
      </c>
      <c r="P95" s="2029"/>
      <c r="Q95" s="2029"/>
      <c r="R95" s="2029"/>
      <c r="S95" s="2029"/>
      <c r="T95" s="2029"/>
      <c r="U95" s="2029"/>
      <c r="V95" s="2029">
        <v>0</v>
      </c>
      <c r="W95" s="2029"/>
      <c r="X95" s="2029"/>
      <c r="Y95" s="2029"/>
      <c r="Z95" s="2029"/>
      <c r="AA95" s="2029"/>
      <c r="AB95" s="2029">
        <v>0</v>
      </c>
      <c r="AC95" s="2029"/>
      <c r="AD95" s="2029"/>
      <c r="AE95" s="2029"/>
      <c r="AF95" s="2029"/>
      <c r="AG95" s="2029"/>
      <c r="AH95" s="2030"/>
      <c r="AI95" s="1097"/>
      <c r="AJ95" s="2018"/>
      <c r="AK95" s="2019"/>
      <c r="AL95" s="2019"/>
      <c r="AM95" s="2019"/>
      <c r="AN95" s="2019"/>
      <c r="AO95" s="2019"/>
      <c r="AP95" s="2019"/>
      <c r="AQ95" s="2019"/>
      <c r="AR95" s="2019"/>
      <c r="AS95" s="2019"/>
      <c r="AT95" s="2019"/>
      <c r="AU95" s="2019"/>
      <c r="AV95" s="2019"/>
      <c r="AW95" s="2019"/>
      <c r="AX95" s="2019"/>
      <c r="AY95" s="2022"/>
      <c r="AZ95" s="2022"/>
      <c r="BA95" s="2022"/>
      <c r="BB95" s="2023"/>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51" t="s">
        <v>1974</v>
      </c>
      <c r="C96" s="1952"/>
      <c r="D96" s="1952"/>
      <c r="E96" s="1952"/>
      <c r="F96" s="1952"/>
      <c r="G96" s="1952"/>
      <c r="H96" s="1952"/>
      <c r="I96" s="2029">
        <v>0</v>
      </c>
      <c r="J96" s="2029"/>
      <c r="K96" s="2029"/>
      <c r="L96" s="2029"/>
      <c r="M96" s="2029"/>
      <c r="N96" s="2029"/>
      <c r="O96" s="2029">
        <v>0</v>
      </c>
      <c r="P96" s="2029"/>
      <c r="Q96" s="2029"/>
      <c r="R96" s="2029"/>
      <c r="S96" s="2029"/>
      <c r="T96" s="2029"/>
      <c r="U96" s="2029"/>
      <c r="V96" s="2029">
        <v>0</v>
      </c>
      <c r="W96" s="2029"/>
      <c r="X96" s="2029"/>
      <c r="Y96" s="2029"/>
      <c r="Z96" s="2029"/>
      <c r="AA96" s="2029"/>
      <c r="AB96" s="2029">
        <v>0</v>
      </c>
      <c r="AC96" s="2029"/>
      <c r="AD96" s="2029"/>
      <c r="AE96" s="2029"/>
      <c r="AF96" s="2029"/>
      <c r="AG96" s="2029"/>
      <c r="AH96" s="2030"/>
      <c r="AI96" s="1097"/>
      <c r="AJ96" s="1999" t="s">
        <v>1975</v>
      </c>
      <c r="AK96" s="2000"/>
      <c r="AL96" s="2000"/>
      <c r="AM96" s="2000"/>
      <c r="AN96" s="2000"/>
      <c r="AO96" s="2000"/>
      <c r="AP96" s="2000"/>
      <c r="AQ96" s="2000"/>
      <c r="AR96" s="2000"/>
      <c r="AS96" s="2000"/>
      <c r="AT96" s="2000"/>
      <c r="AU96" s="2000"/>
      <c r="AV96" s="2000"/>
      <c r="AW96" s="2000"/>
      <c r="AX96" s="2000"/>
      <c r="AY96" s="2000"/>
      <c r="AZ96" s="2000"/>
      <c r="BA96" s="2000"/>
      <c r="BB96" s="2001"/>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69" t="s">
        <v>1976</v>
      </c>
      <c r="C97" s="1970"/>
      <c r="D97" s="1970"/>
      <c r="E97" s="1970"/>
      <c r="F97" s="1970"/>
      <c r="G97" s="1970"/>
      <c r="H97" s="1970"/>
      <c r="I97" s="2027">
        <v>0</v>
      </c>
      <c r="J97" s="2027"/>
      <c r="K97" s="2027"/>
      <c r="L97" s="2027"/>
      <c r="M97" s="2027"/>
      <c r="N97" s="2027"/>
      <c r="O97" s="2027">
        <v>0</v>
      </c>
      <c r="P97" s="2027"/>
      <c r="Q97" s="2027"/>
      <c r="R97" s="2027"/>
      <c r="S97" s="2027"/>
      <c r="T97" s="2027"/>
      <c r="U97" s="2027"/>
      <c r="V97" s="2027">
        <v>0</v>
      </c>
      <c r="W97" s="2027"/>
      <c r="X97" s="2027"/>
      <c r="Y97" s="2027"/>
      <c r="Z97" s="2027"/>
      <c r="AA97" s="2027"/>
      <c r="AB97" s="2027">
        <v>0</v>
      </c>
      <c r="AC97" s="2027"/>
      <c r="AD97" s="2027"/>
      <c r="AE97" s="2027"/>
      <c r="AF97" s="2027"/>
      <c r="AG97" s="2027"/>
      <c r="AH97" s="2028"/>
      <c r="AI97" s="1097"/>
      <c r="AJ97" s="2002"/>
      <c r="AK97" s="2003"/>
      <c r="AL97" s="2003"/>
      <c r="AM97" s="2003"/>
      <c r="AN97" s="2003"/>
      <c r="AO97" s="2003"/>
      <c r="AP97" s="2003"/>
      <c r="AQ97" s="2003"/>
      <c r="AR97" s="2003"/>
      <c r="AS97" s="2003"/>
      <c r="AT97" s="2003"/>
      <c r="AU97" s="2003"/>
      <c r="AV97" s="2003"/>
      <c r="AW97" s="2003"/>
      <c r="AX97" s="2003"/>
      <c r="AY97" s="2003"/>
      <c r="AZ97" s="2003"/>
      <c r="BA97" s="2003"/>
      <c r="BB97" s="2004"/>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1980</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1966</v>
      </c>
      <c r="C100" s="1120"/>
      <c r="D100" s="1127"/>
      <c r="E100" s="1128"/>
      <c r="F100" s="2031"/>
      <c r="G100" s="2032"/>
      <c r="H100" s="2032"/>
      <c r="I100" s="2032"/>
      <c r="J100" s="2032"/>
      <c r="K100" s="2032"/>
      <c r="L100" s="2032"/>
      <c r="M100" s="2032"/>
      <c r="N100" s="2032"/>
      <c r="O100" s="2032"/>
      <c r="P100" s="2032"/>
      <c r="Q100" s="2032"/>
      <c r="R100" s="2033"/>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95" t="s">
        <v>1981</v>
      </c>
      <c r="C102" s="1996"/>
      <c r="D102" s="1996"/>
      <c r="E102" s="1996"/>
      <c r="F102" s="1996"/>
      <c r="G102" s="1996"/>
      <c r="H102" s="1996"/>
      <c r="I102" s="1996"/>
      <c r="J102" s="1996"/>
      <c r="K102" s="1996"/>
      <c r="L102" s="1996"/>
      <c r="M102" s="1996"/>
      <c r="N102" s="1996"/>
      <c r="O102" s="1996"/>
      <c r="P102" s="1996"/>
      <c r="Q102" s="1996"/>
      <c r="R102" s="1996"/>
      <c r="S102" s="1996"/>
      <c r="T102" s="1996"/>
      <c r="U102" s="1996"/>
      <c r="V102" s="1996"/>
      <c r="W102" s="1996"/>
      <c r="X102" s="1996"/>
      <c r="Y102" s="1996"/>
      <c r="Z102" s="1996"/>
      <c r="AA102" s="1996"/>
      <c r="AB102" s="1996"/>
      <c r="AC102" s="1996"/>
      <c r="AD102" s="1996"/>
      <c r="AE102" s="1996"/>
      <c r="AF102" s="1996"/>
      <c r="AG102" s="1996"/>
      <c r="AH102" s="2034"/>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51"/>
      <c r="C103" s="1952"/>
      <c r="D103" s="1952"/>
      <c r="E103" s="1952"/>
      <c r="F103" s="1952"/>
      <c r="G103" s="1952"/>
      <c r="H103" s="1952"/>
      <c r="I103" s="1952" t="s">
        <v>1969</v>
      </c>
      <c r="J103" s="1952"/>
      <c r="K103" s="1952"/>
      <c r="L103" s="1952"/>
      <c r="M103" s="1952"/>
      <c r="N103" s="1952"/>
      <c r="O103" s="1952" t="s">
        <v>1970</v>
      </c>
      <c r="P103" s="1952"/>
      <c r="Q103" s="1952"/>
      <c r="R103" s="1952"/>
      <c r="S103" s="1952"/>
      <c r="T103" s="1952"/>
      <c r="U103" s="1952"/>
      <c r="V103" s="2024" t="s">
        <v>1971</v>
      </c>
      <c r="W103" s="2024"/>
      <c r="X103" s="2024"/>
      <c r="Y103" s="2024"/>
      <c r="Z103" s="2024"/>
      <c r="AA103" s="2024"/>
      <c r="AB103" s="2025" t="s">
        <v>1972</v>
      </c>
      <c r="AC103" s="2025"/>
      <c r="AD103" s="2025"/>
      <c r="AE103" s="2025"/>
      <c r="AF103" s="2025"/>
      <c r="AG103" s="2025"/>
      <c r="AH103" s="2026"/>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51"/>
      <c r="C104" s="1952"/>
      <c r="D104" s="1952"/>
      <c r="E104" s="1952"/>
      <c r="F104" s="1952"/>
      <c r="G104" s="1952"/>
      <c r="H104" s="1952"/>
      <c r="I104" s="1952"/>
      <c r="J104" s="1952"/>
      <c r="K104" s="1952"/>
      <c r="L104" s="1952"/>
      <c r="M104" s="1952"/>
      <c r="N104" s="1952"/>
      <c r="O104" s="1952"/>
      <c r="P104" s="1952"/>
      <c r="Q104" s="1952"/>
      <c r="R104" s="1952"/>
      <c r="S104" s="1952"/>
      <c r="T104" s="1952"/>
      <c r="U104" s="1952"/>
      <c r="V104" s="2024"/>
      <c r="W104" s="2024"/>
      <c r="X104" s="2024"/>
      <c r="Y104" s="2024"/>
      <c r="Z104" s="2024"/>
      <c r="AA104" s="2024"/>
      <c r="AB104" s="2025"/>
      <c r="AC104" s="2025"/>
      <c r="AD104" s="2025"/>
      <c r="AE104" s="2025"/>
      <c r="AF104" s="2025"/>
      <c r="AG104" s="2025"/>
      <c r="AH104" s="2026"/>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51" t="s">
        <v>1973</v>
      </c>
      <c r="C105" s="1952"/>
      <c r="D105" s="1952"/>
      <c r="E105" s="1952"/>
      <c r="F105" s="1952"/>
      <c r="G105" s="1952"/>
      <c r="H105" s="1952"/>
      <c r="I105" s="2029">
        <v>0</v>
      </c>
      <c r="J105" s="2029"/>
      <c r="K105" s="2029"/>
      <c r="L105" s="2029"/>
      <c r="M105" s="2029"/>
      <c r="N105" s="2029"/>
      <c r="O105" s="2029">
        <v>0</v>
      </c>
      <c r="P105" s="2029"/>
      <c r="Q105" s="2029"/>
      <c r="R105" s="2029"/>
      <c r="S105" s="2029"/>
      <c r="T105" s="2029"/>
      <c r="U105" s="2029"/>
      <c r="V105" s="2029">
        <v>0</v>
      </c>
      <c r="W105" s="2029"/>
      <c r="X105" s="2029"/>
      <c r="Y105" s="2029"/>
      <c r="Z105" s="2029"/>
      <c r="AA105" s="2029"/>
      <c r="AB105" s="2029">
        <v>0</v>
      </c>
      <c r="AC105" s="2029"/>
      <c r="AD105" s="2029"/>
      <c r="AE105" s="2029"/>
      <c r="AF105" s="2029"/>
      <c r="AG105" s="2029"/>
      <c r="AH105" s="2030"/>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51" t="s">
        <v>1974</v>
      </c>
      <c r="C106" s="1952"/>
      <c r="D106" s="1952"/>
      <c r="E106" s="1952"/>
      <c r="F106" s="1952"/>
      <c r="G106" s="1952"/>
      <c r="H106" s="1952"/>
      <c r="I106" s="2029">
        <v>0</v>
      </c>
      <c r="J106" s="2029"/>
      <c r="K106" s="2029"/>
      <c r="L106" s="2029"/>
      <c r="M106" s="2029"/>
      <c r="N106" s="2029"/>
      <c r="O106" s="2029">
        <v>0</v>
      </c>
      <c r="P106" s="2029"/>
      <c r="Q106" s="2029"/>
      <c r="R106" s="2029"/>
      <c r="S106" s="2029"/>
      <c r="T106" s="2029"/>
      <c r="U106" s="2029"/>
      <c r="V106" s="2029">
        <v>0</v>
      </c>
      <c r="W106" s="2029"/>
      <c r="X106" s="2029"/>
      <c r="Y106" s="2029"/>
      <c r="Z106" s="2029"/>
      <c r="AA106" s="2029"/>
      <c r="AB106" s="2029">
        <v>0</v>
      </c>
      <c r="AC106" s="2029"/>
      <c r="AD106" s="2029"/>
      <c r="AE106" s="2029"/>
      <c r="AF106" s="2029"/>
      <c r="AG106" s="2029"/>
      <c r="AH106" s="2030"/>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69" t="s">
        <v>1976</v>
      </c>
      <c r="C107" s="1970"/>
      <c r="D107" s="1970"/>
      <c r="E107" s="1970"/>
      <c r="F107" s="1970"/>
      <c r="G107" s="1970"/>
      <c r="H107" s="1970"/>
      <c r="I107" s="2027">
        <v>0</v>
      </c>
      <c r="J107" s="2027"/>
      <c r="K107" s="2027"/>
      <c r="L107" s="2027"/>
      <c r="M107" s="2027"/>
      <c r="N107" s="2027"/>
      <c r="O107" s="2027">
        <v>0</v>
      </c>
      <c r="P107" s="2027"/>
      <c r="Q107" s="2027"/>
      <c r="R107" s="2027"/>
      <c r="S107" s="2027"/>
      <c r="T107" s="2027"/>
      <c r="U107" s="2027"/>
      <c r="V107" s="2027">
        <v>0</v>
      </c>
      <c r="W107" s="2027"/>
      <c r="X107" s="2027"/>
      <c r="Y107" s="2027"/>
      <c r="Z107" s="2027"/>
      <c r="AA107" s="2027"/>
      <c r="AB107" s="2027">
        <v>0</v>
      </c>
      <c r="AC107" s="2027"/>
      <c r="AD107" s="2027"/>
      <c r="AE107" s="2027"/>
      <c r="AF107" s="2027"/>
      <c r="AG107" s="2027"/>
      <c r="AH107" s="2028"/>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1982</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1966</v>
      </c>
      <c r="C110" s="1120"/>
      <c r="D110" s="1127"/>
      <c r="E110" s="1128"/>
      <c r="F110" s="2031"/>
      <c r="G110" s="2032"/>
      <c r="H110" s="2032"/>
      <c r="I110" s="2032"/>
      <c r="J110" s="2032"/>
      <c r="K110" s="2032"/>
      <c r="L110" s="2032"/>
      <c r="M110" s="2032"/>
      <c r="N110" s="2032"/>
      <c r="O110" s="2032"/>
      <c r="P110" s="2032"/>
      <c r="Q110" s="2032"/>
      <c r="R110" s="2033"/>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5" t="s">
        <v>1983</v>
      </c>
      <c r="C112" s="2036"/>
      <c r="D112" s="2036"/>
      <c r="E112" s="2036"/>
      <c r="F112" s="2036"/>
      <c r="G112" s="2036"/>
      <c r="H112" s="2036"/>
      <c r="I112" s="2036"/>
      <c r="J112" s="2036"/>
      <c r="K112" s="2036"/>
      <c r="L112" s="2036"/>
      <c r="M112" s="2036"/>
      <c r="N112" s="2036"/>
      <c r="O112" s="2036"/>
      <c r="P112" s="2036"/>
      <c r="Q112" s="2036"/>
      <c r="R112" s="2036"/>
      <c r="S112" s="2036"/>
      <c r="T112" s="2036"/>
      <c r="U112" s="2039" t="s">
        <v>860</v>
      </c>
      <c r="V112" s="2039"/>
      <c r="W112" s="2039"/>
      <c r="X112" s="2040"/>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37"/>
      <c r="C113" s="2038"/>
      <c r="D113" s="2038"/>
      <c r="E113" s="2038"/>
      <c r="F113" s="2038"/>
      <c r="G113" s="2038"/>
      <c r="H113" s="2038"/>
      <c r="I113" s="2038"/>
      <c r="J113" s="2038"/>
      <c r="K113" s="2038"/>
      <c r="L113" s="2038"/>
      <c r="M113" s="2038"/>
      <c r="N113" s="2038"/>
      <c r="O113" s="2038"/>
      <c r="P113" s="2038"/>
      <c r="Q113" s="2038"/>
      <c r="R113" s="2038"/>
      <c r="S113" s="2038"/>
      <c r="T113" s="2038"/>
      <c r="U113" s="2041"/>
      <c r="V113" s="2041"/>
      <c r="W113" s="2041"/>
      <c r="X113" s="2042"/>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37"/>
      <c r="C114" s="2038"/>
      <c r="D114" s="2038"/>
      <c r="E114" s="2038"/>
      <c r="F114" s="2038"/>
      <c r="G114" s="2038"/>
      <c r="H114" s="2038"/>
      <c r="I114" s="2038"/>
      <c r="J114" s="2038"/>
      <c r="K114" s="2038"/>
      <c r="L114" s="2038"/>
      <c r="M114" s="2038"/>
      <c r="N114" s="2038"/>
      <c r="O114" s="2038"/>
      <c r="P114" s="2038"/>
      <c r="Q114" s="2038"/>
      <c r="R114" s="2038"/>
      <c r="S114" s="2038"/>
      <c r="T114" s="2038"/>
      <c r="U114" s="2041"/>
      <c r="V114" s="2041"/>
      <c r="W114" s="2041"/>
      <c r="X114" s="2042"/>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37"/>
      <c r="C115" s="2038"/>
      <c r="D115" s="2038"/>
      <c r="E115" s="2038"/>
      <c r="F115" s="2038"/>
      <c r="G115" s="2038"/>
      <c r="H115" s="2038"/>
      <c r="I115" s="2038"/>
      <c r="J115" s="2038"/>
      <c r="K115" s="2038"/>
      <c r="L115" s="2038"/>
      <c r="M115" s="2038"/>
      <c r="N115" s="2038"/>
      <c r="O115" s="2038"/>
      <c r="P115" s="2038"/>
      <c r="Q115" s="2038"/>
      <c r="R115" s="2038"/>
      <c r="S115" s="2038"/>
      <c r="T115" s="2038"/>
      <c r="U115" s="2041"/>
      <c r="V115" s="2041"/>
      <c r="W115" s="2041"/>
      <c r="X115" s="2042"/>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3" t="s">
        <v>1983</v>
      </c>
      <c r="C116" s="2044"/>
      <c r="D116" s="2044"/>
      <c r="E116" s="2044"/>
      <c r="F116" s="2044"/>
      <c r="G116" s="2044"/>
      <c r="H116" s="2044"/>
      <c r="I116" s="2044"/>
      <c r="J116" s="2044"/>
      <c r="K116" s="2044"/>
      <c r="L116" s="2044"/>
      <c r="M116" s="2044"/>
      <c r="N116" s="2044"/>
      <c r="O116" s="2044"/>
      <c r="P116" s="2044"/>
      <c r="Q116" s="2044"/>
      <c r="R116" s="2044"/>
      <c r="S116" s="2044"/>
      <c r="T116" s="2044"/>
      <c r="U116" s="2047" t="s">
        <v>860</v>
      </c>
      <c r="V116" s="2047"/>
      <c r="W116" s="2047"/>
      <c r="X116" s="2048"/>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5"/>
      <c r="C117" s="2046"/>
      <c r="D117" s="2046"/>
      <c r="E117" s="2046"/>
      <c r="F117" s="2046"/>
      <c r="G117" s="2046"/>
      <c r="H117" s="2046"/>
      <c r="I117" s="2046"/>
      <c r="J117" s="2046"/>
      <c r="K117" s="2046"/>
      <c r="L117" s="2046"/>
      <c r="M117" s="2046"/>
      <c r="N117" s="2046"/>
      <c r="O117" s="2046"/>
      <c r="P117" s="2046"/>
      <c r="Q117" s="2046"/>
      <c r="R117" s="2046"/>
      <c r="S117" s="2046"/>
      <c r="T117" s="2046"/>
      <c r="U117" s="2049"/>
      <c r="V117" s="2049"/>
      <c r="W117" s="2049"/>
      <c r="X117" s="2050"/>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1984</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16" t="s">
        <v>1985</v>
      </c>
      <c r="Y120" s="2017"/>
      <c r="Z120" s="2017"/>
      <c r="AA120" s="2017"/>
      <c r="AB120" s="2017"/>
      <c r="AC120" s="2017"/>
      <c r="AD120" s="2017"/>
      <c r="AE120" s="2017"/>
      <c r="AF120" s="2017"/>
      <c r="AG120" s="2017"/>
      <c r="AH120" s="2017"/>
      <c r="AI120" s="2017"/>
      <c r="AJ120" s="2017"/>
      <c r="AK120" s="2017"/>
      <c r="AL120" s="2017"/>
      <c r="AM120" s="2017"/>
      <c r="AN120" s="2017"/>
      <c r="AO120" s="2017"/>
      <c r="AP120" s="2017"/>
      <c r="AQ120" s="2017"/>
      <c r="AR120" s="2017"/>
      <c r="AS120" s="2017"/>
      <c r="AT120" s="2017"/>
      <c r="AU120" s="2017"/>
      <c r="AV120" s="2017"/>
      <c r="AW120" s="2017"/>
      <c r="AX120" s="2017"/>
      <c r="AY120" s="2017"/>
      <c r="AZ120" s="2017"/>
      <c r="BA120" s="2017"/>
      <c r="BB120" s="2017"/>
      <c r="BC120" s="2017"/>
      <c r="BD120" s="2057"/>
      <c r="BE120" s="1101"/>
    </row>
    <row r="121" spans="1:57" ht="15.75" customHeight="1">
      <c r="A121" s="1097"/>
      <c r="B121" s="2059" t="s">
        <v>1986</v>
      </c>
      <c r="C121" s="2060"/>
      <c r="D121" s="2060"/>
      <c r="E121" s="2060"/>
      <c r="F121" s="2060"/>
      <c r="G121" s="2060"/>
      <c r="H121" s="2060"/>
      <c r="I121" s="2060"/>
      <c r="J121" s="2060"/>
      <c r="K121" s="2060"/>
      <c r="L121" s="2060"/>
      <c r="M121" s="2060"/>
      <c r="N121" s="2060"/>
      <c r="O121" s="2060"/>
      <c r="P121" s="2060"/>
      <c r="Q121" s="2060"/>
      <c r="R121" s="2060"/>
      <c r="S121" s="2060"/>
      <c r="T121" s="2060"/>
      <c r="U121" s="2061"/>
      <c r="V121" s="1097"/>
      <c r="W121" s="1097"/>
      <c r="X121" s="2018"/>
      <c r="Y121" s="2019"/>
      <c r="Z121" s="2019"/>
      <c r="AA121" s="2019"/>
      <c r="AB121" s="2019"/>
      <c r="AC121" s="2019"/>
      <c r="AD121" s="2019"/>
      <c r="AE121" s="2019"/>
      <c r="AF121" s="2019"/>
      <c r="AG121" s="2019"/>
      <c r="AH121" s="2019"/>
      <c r="AI121" s="2019"/>
      <c r="AJ121" s="2019"/>
      <c r="AK121" s="2019"/>
      <c r="AL121" s="2019"/>
      <c r="AM121" s="2019"/>
      <c r="AN121" s="2019"/>
      <c r="AO121" s="2019"/>
      <c r="AP121" s="2019"/>
      <c r="AQ121" s="2019"/>
      <c r="AR121" s="2019"/>
      <c r="AS121" s="2019"/>
      <c r="AT121" s="2019"/>
      <c r="AU121" s="2019"/>
      <c r="AV121" s="2019"/>
      <c r="AW121" s="2019"/>
      <c r="AX121" s="2019"/>
      <c r="AY121" s="2019"/>
      <c r="AZ121" s="2019"/>
      <c r="BA121" s="2019"/>
      <c r="BB121" s="2019"/>
      <c r="BC121" s="2019"/>
      <c r="BD121" s="2058"/>
      <c r="BE121" s="1101"/>
    </row>
    <row r="122" spans="1:57" ht="15.75" customHeight="1">
      <c r="A122" s="1097"/>
      <c r="B122" s="2077"/>
      <c r="C122" s="2078"/>
      <c r="D122" s="2078"/>
      <c r="E122" s="2078"/>
      <c r="F122" s="2078"/>
      <c r="G122" s="2078"/>
      <c r="H122" s="2078"/>
      <c r="I122" s="1952" t="s">
        <v>1987</v>
      </c>
      <c r="J122" s="1952"/>
      <c r="K122" s="1952"/>
      <c r="L122" s="1952"/>
      <c r="M122" s="1952"/>
      <c r="N122" s="1952"/>
      <c r="O122" s="2081" t="s">
        <v>1988</v>
      </c>
      <c r="P122" s="2081"/>
      <c r="Q122" s="2081"/>
      <c r="R122" s="2081"/>
      <c r="S122" s="2081"/>
      <c r="T122" s="2081"/>
      <c r="U122" s="2082"/>
      <c r="V122" s="1097"/>
      <c r="W122" s="1097"/>
      <c r="X122" s="1999" t="s">
        <v>1964</v>
      </c>
      <c r="Y122" s="2000"/>
      <c r="Z122" s="2000"/>
      <c r="AA122" s="2000"/>
      <c r="AB122" s="2000"/>
      <c r="AC122" s="2000"/>
      <c r="AD122" s="2000"/>
      <c r="AE122" s="2000"/>
      <c r="AF122" s="2000"/>
      <c r="AG122" s="2000"/>
      <c r="AH122" s="2000"/>
      <c r="AI122" s="2000"/>
      <c r="AJ122" s="2000"/>
      <c r="AK122" s="2000"/>
      <c r="AL122" s="2000"/>
      <c r="AM122" s="2000"/>
      <c r="AN122" s="2000"/>
      <c r="AO122" s="2000"/>
      <c r="AP122" s="2000"/>
      <c r="AQ122" s="2000"/>
      <c r="AR122" s="2000"/>
      <c r="AS122" s="2000"/>
      <c r="AT122" s="2000"/>
      <c r="AU122" s="2000"/>
      <c r="AV122" s="2000"/>
      <c r="AW122" s="2000"/>
      <c r="AX122" s="2000"/>
      <c r="AY122" s="2000"/>
      <c r="AZ122" s="2000"/>
      <c r="BA122" s="2000"/>
      <c r="BB122" s="2000"/>
      <c r="BC122" s="2000"/>
      <c r="BD122" s="2001"/>
      <c r="BE122" s="1101"/>
    </row>
    <row r="123" spans="1:57" ht="15.75" customHeight="1">
      <c r="A123" s="1097"/>
      <c r="B123" s="2051" t="s">
        <v>1989</v>
      </c>
      <c r="C123" s="2052"/>
      <c r="D123" s="2052"/>
      <c r="E123" s="2052"/>
      <c r="F123" s="2052"/>
      <c r="G123" s="2052"/>
      <c r="H123" s="2052"/>
      <c r="I123" s="2029">
        <v>0</v>
      </c>
      <c r="J123" s="2029"/>
      <c r="K123" s="2029"/>
      <c r="L123" s="2029"/>
      <c r="M123" s="2029"/>
      <c r="N123" s="2029"/>
      <c r="O123" s="2029">
        <v>0</v>
      </c>
      <c r="P123" s="2029"/>
      <c r="Q123" s="2029"/>
      <c r="R123" s="2029"/>
      <c r="S123" s="2029"/>
      <c r="T123" s="2029"/>
      <c r="U123" s="2030"/>
      <c r="V123" s="1097"/>
      <c r="W123" s="1097"/>
      <c r="X123" s="1999"/>
      <c r="Y123" s="2000"/>
      <c r="Z123" s="2000"/>
      <c r="AA123" s="2000"/>
      <c r="AB123" s="2000"/>
      <c r="AC123" s="2000"/>
      <c r="AD123" s="2000"/>
      <c r="AE123" s="2000"/>
      <c r="AF123" s="2000"/>
      <c r="AG123" s="2000"/>
      <c r="AH123" s="2000"/>
      <c r="AI123" s="2000"/>
      <c r="AJ123" s="2000"/>
      <c r="AK123" s="2000"/>
      <c r="AL123" s="2000"/>
      <c r="AM123" s="2000"/>
      <c r="AN123" s="2000"/>
      <c r="AO123" s="2000"/>
      <c r="AP123" s="2000"/>
      <c r="AQ123" s="2000"/>
      <c r="AR123" s="2000"/>
      <c r="AS123" s="2000"/>
      <c r="AT123" s="2000"/>
      <c r="AU123" s="2000"/>
      <c r="AV123" s="2000"/>
      <c r="AW123" s="2000"/>
      <c r="AX123" s="2000"/>
      <c r="AY123" s="2000"/>
      <c r="AZ123" s="2000"/>
      <c r="BA123" s="2000"/>
      <c r="BB123" s="2000"/>
      <c r="BC123" s="2000"/>
      <c r="BD123" s="2001"/>
      <c r="BE123" s="1101"/>
    </row>
    <row r="124" spans="1:57" ht="15.75" customHeight="1" thickBot="1">
      <c r="A124" s="1097"/>
      <c r="B124" s="2053" t="s">
        <v>1990</v>
      </c>
      <c r="C124" s="2054"/>
      <c r="D124" s="2054"/>
      <c r="E124" s="2054"/>
      <c r="F124" s="2054"/>
      <c r="G124" s="2054"/>
      <c r="H124" s="2054"/>
      <c r="I124" s="2027">
        <v>0</v>
      </c>
      <c r="J124" s="2027"/>
      <c r="K124" s="2027"/>
      <c r="L124" s="2027"/>
      <c r="M124" s="2027"/>
      <c r="N124" s="2027"/>
      <c r="O124" s="2055"/>
      <c r="P124" s="2055"/>
      <c r="Q124" s="2055"/>
      <c r="R124" s="2055"/>
      <c r="S124" s="2055"/>
      <c r="T124" s="2055"/>
      <c r="U124" s="2056"/>
      <c r="V124" s="1097"/>
      <c r="W124" s="1097"/>
      <c r="X124" s="1999"/>
      <c r="Y124" s="2000"/>
      <c r="Z124" s="2000"/>
      <c r="AA124" s="2000"/>
      <c r="AB124" s="2000"/>
      <c r="AC124" s="2000"/>
      <c r="AD124" s="2000"/>
      <c r="AE124" s="2000"/>
      <c r="AF124" s="2000"/>
      <c r="AG124" s="2000"/>
      <c r="AH124" s="2000"/>
      <c r="AI124" s="2000"/>
      <c r="AJ124" s="2000"/>
      <c r="AK124" s="2000"/>
      <c r="AL124" s="2000"/>
      <c r="AM124" s="2000"/>
      <c r="AN124" s="2000"/>
      <c r="AO124" s="2000"/>
      <c r="AP124" s="2000"/>
      <c r="AQ124" s="2000"/>
      <c r="AR124" s="2000"/>
      <c r="AS124" s="2000"/>
      <c r="AT124" s="2000"/>
      <c r="AU124" s="2000"/>
      <c r="AV124" s="2000"/>
      <c r="AW124" s="2000"/>
      <c r="AX124" s="2000"/>
      <c r="AY124" s="2000"/>
      <c r="AZ124" s="2000"/>
      <c r="BA124" s="2000"/>
      <c r="BB124" s="2000"/>
      <c r="BC124" s="2000"/>
      <c r="BD124" s="2001"/>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99"/>
      <c r="Y125" s="2000"/>
      <c r="Z125" s="2000"/>
      <c r="AA125" s="2000"/>
      <c r="AB125" s="2000"/>
      <c r="AC125" s="2000"/>
      <c r="AD125" s="2000"/>
      <c r="AE125" s="2000"/>
      <c r="AF125" s="2000"/>
      <c r="AG125" s="2000"/>
      <c r="AH125" s="2000"/>
      <c r="AI125" s="2000"/>
      <c r="AJ125" s="2000"/>
      <c r="AK125" s="2000"/>
      <c r="AL125" s="2000"/>
      <c r="AM125" s="2000"/>
      <c r="AN125" s="2000"/>
      <c r="AO125" s="2000"/>
      <c r="AP125" s="2000"/>
      <c r="AQ125" s="2000"/>
      <c r="AR125" s="2000"/>
      <c r="AS125" s="2000"/>
      <c r="AT125" s="2000"/>
      <c r="AU125" s="2000"/>
      <c r="AV125" s="2000"/>
      <c r="AW125" s="2000"/>
      <c r="AX125" s="2000"/>
      <c r="AY125" s="2000"/>
      <c r="AZ125" s="2000"/>
      <c r="BA125" s="2000"/>
      <c r="BB125" s="2000"/>
      <c r="BC125" s="2000"/>
      <c r="BD125" s="2001"/>
      <c r="BE125" s="1101"/>
    </row>
    <row r="126" spans="1:57" ht="15.75" customHeight="1" thickBot="1">
      <c r="A126" s="1097"/>
      <c r="B126" s="1117" t="s">
        <v>1991</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99"/>
      <c r="Y126" s="2000"/>
      <c r="Z126" s="2000"/>
      <c r="AA126" s="2000"/>
      <c r="AB126" s="2000"/>
      <c r="AC126" s="2000"/>
      <c r="AD126" s="2000"/>
      <c r="AE126" s="2000"/>
      <c r="AF126" s="2000"/>
      <c r="AG126" s="2000"/>
      <c r="AH126" s="2000"/>
      <c r="AI126" s="2000"/>
      <c r="AJ126" s="2000"/>
      <c r="AK126" s="2000"/>
      <c r="AL126" s="2000"/>
      <c r="AM126" s="2000"/>
      <c r="AN126" s="2000"/>
      <c r="AO126" s="2000"/>
      <c r="AP126" s="2000"/>
      <c r="AQ126" s="2000"/>
      <c r="AR126" s="2000"/>
      <c r="AS126" s="2000"/>
      <c r="AT126" s="2000"/>
      <c r="AU126" s="2000"/>
      <c r="AV126" s="2000"/>
      <c r="AW126" s="2000"/>
      <c r="AX126" s="2000"/>
      <c r="AY126" s="2000"/>
      <c r="AZ126" s="2000"/>
      <c r="BA126" s="2000"/>
      <c r="BB126" s="2000"/>
      <c r="BC126" s="2000"/>
      <c r="BD126" s="2001"/>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99"/>
      <c r="Y127" s="2000"/>
      <c r="Z127" s="2000"/>
      <c r="AA127" s="2000"/>
      <c r="AB127" s="2000"/>
      <c r="AC127" s="2000"/>
      <c r="AD127" s="2000"/>
      <c r="AE127" s="2000"/>
      <c r="AF127" s="2000"/>
      <c r="AG127" s="2000"/>
      <c r="AH127" s="2000"/>
      <c r="AI127" s="2000"/>
      <c r="AJ127" s="2000"/>
      <c r="AK127" s="2000"/>
      <c r="AL127" s="2000"/>
      <c r="AM127" s="2000"/>
      <c r="AN127" s="2000"/>
      <c r="AO127" s="2000"/>
      <c r="AP127" s="2000"/>
      <c r="AQ127" s="2000"/>
      <c r="AR127" s="2000"/>
      <c r="AS127" s="2000"/>
      <c r="AT127" s="2000"/>
      <c r="AU127" s="2000"/>
      <c r="AV127" s="2000"/>
      <c r="AW127" s="2000"/>
      <c r="AX127" s="2000"/>
      <c r="AY127" s="2000"/>
      <c r="AZ127" s="2000"/>
      <c r="BA127" s="2000"/>
      <c r="BB127" s="2000"/>
      <c r="BC127" s="2000"/>
      <c r="BD127" s="2001"/>
      <c r="BE127" s="1101"/>
    </row>
    <row r="128" spans="1:57" ht="15.75" customHeight="1">
      <c r="A128" s="1097"/>
      <c r="B128" s="1853" t="s">
        <v>1992</v>
      </c>
      <c r="C128" s="1854"/>
      <c r="D128" s="1854"/>
      <c r="E128" s="1854"/>
      <c r="F128" s="1854"/>
      <c r="G128" s="1854"/>
      <c r="H128" s="1854"/>
      <c r="I128" s="1854"/>
      <c r="J128" s="1854"/>
      <c r="K128" s="1854"/>
      <c r="L128" s="1854"/>
      <c r="M128" s="1854"/>
      <c r="N128" s="1854"/>
      <c r="O128" s="1854"/>
      <c r="P128" s="1854"/>
      <c r="Q128" s="1854"/>
      <c r="R128" s="1854"/>
      <c r="S128" s="1854"/>
      <c r="T128" s="1854"/>
      <c r="U128" s="1855"/>
      <c r="V128" s="1097"/>
      <c r="W128" s="1097"/>
      <c r="X128" s="1999"/>
      <c r="Y128" s="2000"/>
      <c r="Z128" s="2000"/>
      <c r="AA128" s="2000"/>
      <c r="AB128" s="2000"/>
      <c r="AC128" s="2000"/>
      <c r="AD128" s="2000"/>
      <c r="AE128" s="2000"/>
      <c r="AF128" s="2000"/>
      <c r="AG128" s="2000"/>
      <c r="AH128" s="2000"/>
      <c r="AI128" s="2000"/>
      <c r="AJ128" s="2000"/>
      <c r="AK128" s="2000"/>
      <c r="AL128" s="2000"/>
      <c r="AM128" s="2000"/>
      <c r="AN128" s="2000"/>
      <c r="AO128" s="2000"/>
      <c r="AP128" s="2000"/>
      <c r="AQ128" s="2000"/>
      <c r="AR128" s="2000"/>
      <c r="AS128" s="2000"/>
      <c r="AT128" s="2000"/>
      <c r="AU128" s="2000"/>
      <c r="AV128" s="2000"/>
      <c r="AW128" s="2000"/>
      <c r="AX128" s="2000"/>
      <c r="AY128" s="2000"/>
      <c r="AZ128" s="2000"/>
      <c r="BA128" s="2000"/>
      <c r="BB128" s="2000"/>
      <c r="BC128" s="2000"/>
      <c r="BD128" s="2001"/>
      <c r="BE128" s="1101"/>
    </row>
    <row r="129" spans="1:57" ht="15.75" customHeight="1">
      <c r="A129" s="1097"/>
      <c r="B129" s="2077"/>
      <c r="C129" s="2078"/>
      <c r="D129" s="2078"/>
      <c r="E129" s="2078"/>
      <c r="F129" s="2078"/>
      <c r="G129" s="2078"/>
      <c r="H129" s="2078"/>
      <c r="I129" s="2079" t="s">
        <v>1970</v>
      </c>
      <c r="J129" s="2079"/>
      <c r="K129" s="2079"/>
      <c r="L129" s="2079"/>
      <c r="M129" s="2079"/>
      <c r="N129" s="2079"/>
      <c r="O129" s="2079"/>
      <c r="P129" s="2079" t="s">
        <v>1971</v>
      </c>
      <c r="Q129" s="2079"/>
      <c r="R129" s="2079"/>
      <c r="S129" s="2079"/>
      <c r="T129" s="2079"/>
      <c r="U129" s="2080"/>
      <c r="V129" s="1097"/>
      <c r="W129" s="1097"/>
      <c r="X129" s="1999"/>
      <c r="Y129" s="2000"/>
      <c r="Z129" s="2000"/>
      <c r="AA129" s="2000"/>
      <c r="AB129" s="2000"/>
      <c r="AC129" s="2000"/>
      <c r="AD129" s="2000"/>
      <c r="AE129" s="2000"/>
      <c r="AF129" s="2000"/>
      <c r="AG129" s="2000"/>
      <c r="AH129" s="2000"/>
      <c r="AI129" s="2000"/>
      <c r="AJ129" s="2000"/>
      <c r="AK129" s="2000"/>
      <c r="AL129" s="2000"/>
      <c r="AM129" s="2000"/>
      <c r="AN129" s="2000"/>
      <c r="AO129" s="2000"/>
      <c r="AP129" s="2000"/>
      <c r="AQ129" s="2000"/>
      <c r="AR129" s="2000"/>
      <c r="AS129" s="2000"/>
      <c r="AT129" s="2000"/>
      <c r="AU129" s="2000"/>
      <c r="AV129" s="2000"/>
      <c r="AW129" s="2000"/>
      <c r="AX129" s="2000"/>
      <c r="AY129" s="2000"/>
      <c r="AZ129" s="2000"/>
      <c r="BA129" s="2000"/>
      <c r="BB129" s="2000"/>
      <c r="BC129" s="2000"/>
      <c r="BD129" s="2001"/>
      <c r="BE129" s="1101"/>
    </row>
    <row r="130" spans="1:57" ht="15.75" customHeight="1">
      <c r="A130" s="1097"/>
      <c r="B130" s="2077"/>
      <c r="C130" s="2078"/>
      <c r="D130" s="2078"/>
      <c r="E130" s="2078"/>
      <c r="F130" s="2078"/>
      <c r="G130" s="2078"/>
      <c r="H130" s="2078"/>
      <c r="I130" s="2079"/>
      <c r="J130" s="2079"/>
      <c r="K130" s="2079"/>
      <c r="L130" s="2079"/>
      <c r="M130" s="2079"/>
      <c r="N130" s="2079"/>
      <c r="O130" s="2079"/>
      <c r="P130" s="2079"/>
      <c r="Q130" s="2079"/>
      <c r="R130" s="2079"/>
      <c r="S130" s="2079"/>
      <c r="T130" s="2079"/>
      <c r="U130" s="2080"/>
      <c r="V130" s="1097"/>
      <c r="W130" s="1097"/>
      <c r="X130" s="1999"/>
      <c r="Y130" s="2000"/>
      <c r="Z130" s="2000"/>
      <c r="AA130" s="2000"/>
      <c r="AB130" s="2000"/>
      <c r="AC130" s="2000"/>
      <c r="AD130" s="2000"/>
      <c r="AE130" s="2000"/>
      <c r="AF130" s="2000"/>
      <c r="AG130" s="2000"/>
      <c r="AH130" s="2000"/>
      <c r="AI130" s="2000"/>
      <c r="AJ130" s="2000"/>
      <c r="AK130" s="2000"/>
      <c r="AL130" s="2000"/>
      <c r="AM130" s="2000"/>
      <c r="AN130" s="2000"/>
      <c r="AO130" s="2000"/>
      <c r="AP130" s="2000"/>
      <c r="AQ130" s="2000"/>
      <c r="AR130" s="2000"/>
      <c r="AS130" s="2000"/>
      <c r="AT130" s="2000"/>
      <c r="AU130" s="2000"/>
      <c r="AV130" s="2000"/>
      <c r="AW130" s="2000"/>
      <c r="AX130" s="2000"/>
      <c r="AY130" s="2000"/>
      <c r="AZ130" s="2000"/>
      <c r="BA130" s="2000"/>
      <c r="BB130" s="2000"/>
      <c r="BC130" s="2000"/>
      <c r="BD130" s="2001"/>
      <c r="BE130" s="1101"/>
    </row>
    <row r="131" spans="1:57" ht="15.75" customHeight="1">
      <c r="A131" s="1097"/>
      <c r="B131" s="2051" t="s">
        <v>1989</v>
      </c>
      <c r="C131" s="2052"/>
      <c r="D131" s="2052"/>
      <c r="E131" s="2052"/>
      <c r="F131" s="2052"/>
      <c r="G131" s="2052"/>
      <c r="H131" s="2052"/>
      <c r="I131" s="2029">
        <v>0</v>
      </c>
      <c r="J131" s="2029"/>
      <c r="K131" s="2029"/>
      <c r="L131" s="2029"/>
      <c r="M131" s="2029"/>
      <c r="N131" s="2029"/>
      <c r="O131" s="2029"/>
      <c r="P131" s="2029">
        <v>0</v>
      </c>
      <c r="Q131" s="2029"/>
      <c r="R131" s="2029"/>
      <c r="S131" s="2029"/>
      <c r="T131" s="2029"/>
      <c r="U131" s="2030"/>
      <c r="V131" s="1097"/>
      <c r="W131" s="1097"/>
      <c r="X131" s="1999"/>
      <c r="Y131" s="2000"/>
      <c r="Z131" s="2000"/>
      <c r="AA131" s="2000"/>
      <c r="AB131" s="2000"/>
      <c r="AC131" s="2000"/>
      <c r="AD131" s="2000"/>
      <c r="AE131" s="2000"/>
      <c r="AF131" s="2000"/>
      <c r="AG131" s="2000"/>
      <c r="AH131" s="2000"/>
      <c r="AI131" s="2000"/>
      <c r="AJ131" s="2000"/>
      <c r="AK131" s="2000"/>
      <c r="AL131" s="2000"/>
      <c r="AM131" s="2000"/>
      <c r="AN131" s="2000"/>
      <c r="AO131" s="2000"/>
      <c r="AP131" s="2000"/>
      <c r="AQ131" s="2000"/>
      <c r="AR131" s="2000"/>
      <c r="AS131" s="2000"/>
      <c r="AT131" s="2000"/>
      <c r="AU131" s="2000"/>
      <c r="AV131" s="2000"/>
      <c r="AW131" s="2000"/>
      <c r="AX131" s="2000"/>
      <c r="AY131" s="2000"/>
      <c r="AZ131" s="2000"/>
      <c r="BA131" s="2000"/>
      <c r="BB131" s="2000"/>
      <c r="BC131" s="2000"/>
      <c r="BD131" s="2001"/>
      <c r="BE131" s="1101"/>
    </row>
    <row r="132" spans="1:57" ht="15.75" customHeight="1" thickBot="1">
      <c r="A132" s="1097"/>
      <c r="B132" s="2053" t="s">
        <v>1990</v>
      </c>
      <c r="C132" s="2054"/>
      <c r="D132" s="2054"/>
      <c r="E132" s="2054"/>
      <c r="F132" s="2054"/>
      <c r="G132" s="2054"/>
      <c r="H132" s="2054"/>
      <c r="I132" s="2027">
        <v>0</v>
      </c>
      <c r="J132" s="2027"/>
      <c r="K132" s="2027"/>
      <c r="L132" s="2027"/>
      <c r="M132" s="2027"/>
      <c r="N132" s="2027"/>
      <c r="O132" s="2027"/>
      <c r="P132" s="2027">
        <v>0</v>
      </c>
      <c r="Q132" s="2027"/>
      <c r="R132" s="2027"/>
      <c r="S132" s="2027"/>
      <c r="T132" s="2027"/>
      <c r="U132" s="2028"/>
      <c r="V132" s="1097"/>
      <c r="W132" s="1097"/>
      <c r="X132" s="2002"/>
      <c r="Y132" s="2003"/>
      <c r="Z132" s="2003"/>
      <c r="AA132" s="2003"/>
      <c r="AB132" s="2003"/>
      <c r="AC132" s="2003"/>
      <c r="AD132" s="2003"/>
      <c r="AE132" s="2003"/>
      <c r="AF132" s="2003"/>
      <c r="AG132" s="2003"/>
      <c r="AH132" s="2003"/>
      <c r="AI132" s="2003"/>
      <c r="AJ132" s="2003"/>
      <c r="AK132" s="2003"/>
      <c r="AL132" s="2003"/>
      <c r="AM132" s="2003"/>
      <c r="AN132" s="2003"/>
      <c r="AO132" s="2003"/>
      <c r="AP132" s="2003"/>
      <c r="AQ132" s="2003"/>
      <c r="AR132" s="2003"/>
      <c r="AS132" s="2003"/>
      <c r="AT132" s="2003"/>
      <c r="AU132" s="2003"/>
      <c r="AV132" s="2003"/>
      <c r="AW132" s="2003"/>
      <c r="AX132" s="2003"/>
      <c r="AY132" s="2003"/>
      <c r="AZ132" s="2003"/>
      <c r="BA132" s="2003"/>
      <c r="BB132" s="2003"/>
      <c r="BC132" s="2003"/>
      <c r="BD132" s="2004"/>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75" t="s">
        <v>1993</v>
      </c>
      <c r="C134" s="2076"/>
      <c r="D134" s="2076"/>
      <c r="E134" s="2076"/>
      <c r="F134" s="2076"/>
      <c r="G134" s="2076"/>
      <c r="H134" s="2076"/>
      <c r="I134" s="2076"/>
      <c r="J134" s="2076"/>
      <c r="K134" s="2076"/>
      <c r="L134" s="2076"/>
      <c r="M134" s="2076"/>
      <c r="N134" s="2076"/>
      <c r="O134" s="2076"/>
      <c r="P134" s="2076"/>
      <c r="Q134" s="2076"/>
      <c r="R134" s="2076"/>
      <c r="S134" s="2076"/>
      <c r="T134" s="2076"/>
      <c r="U134" s="2076"/>
      <c r="V134" s="2076"/>
      <c r="W134" s="2076"/>
      <c r="X134" s="2076"/>
      <c r="Y134" s="2076"/>
      <c r="Z134" s="2076"/>
      <c r="AA134" s="2076"/>
      <c r="AB134" s="2076"/>
      <c r="AC134" s="2076"/>
      <c r="AD134" s="2076"/>
      <c r="AE134" s="2076"/>
      <c r="AF134" s="2076"/>
      <c r="AG134" s="2076"/>
      <c r="AH134" s="1976" t="s">
        <v>860</v>
      </c>
      <c r="AI134" s="1976"/>
      <c r="AJ134" s="1976"/>
      <c r="AK134" s="1976"/>
      <c r="AL134" s="1976"/>
      <c r="AM134" s="1976"/>
      <c r="AN134" s="1976"/>
      <c r="AO134" s="1976"/>
      <c r="AP134" s="1976"/>
      <c r="AQ134" s="1976"/>
      <c r="AR134" s="1976"/>
      <c r="AS134" s="1976"/>
      <c r="AT134" s="1976"/>
      <c r="AU134" s="1976"/>
      <c r="AV134" s="1976"/>
      <c r="AW134" s="1976"/>
      <c r="AX134" s="1977"/>
      <c r="AY134" s="1097"/>
      <c r="AZ134" s="1097"/>
      <c r="BA134" s="1097"/>
      <c r="BB134" s="1097"/>
      <c r="BC134" s="1097"/>
      <c r="BD134" s="1097"/>
      <c r="BE134" s="1101"/>
    </row>
    <row r="135" spans="1:57" ht="15.75" customHeight="1" thickBot="1">
      <c r="A135" s="1097"/>
      <c r="B135" s="2062" t="s">
        <v>1994</v>
      </c>
      <c r="C135" s="2063"/>
      <c r="D135" s="2063"/>
      <c r="E135" s="2063"/>
      <c r="F135" s="2063"/>
      <c r="G135" s="2063"/>
      <c r="H135" s="2063"/>
      <c r="I135" s="2063"/>
      <c r="J135" s="2063"/>
      <c r="K135" s="2063"/>
      <c r="L135" s="2063"/>
      <c r="M135" s="2063"/>
      <c r="N135" s="2063"/>
      <c r="O135" s="2063"/>
      <c r="P135" s="2063"/>
      <c r="Q135" s="2063"/>
      <c r="R135" s="2063"/>
      <c r="S135" s="2063"/>
      <c r="T135" s="2063"/>
      <c r="U135" s="2063"/>
      <c r="V135" s="2063"/>
      <c r="W135" s="2063"/>
      <c r="X135" s="2063"/>
      <c r="Y135" s="2063"/>
      <c r="Z135" s="2063"/>
      <c r="AA135" s="2063"/>
      <c r="AB135" s="2063"/>
      <c r="AC135" s="2063"/>
      <c r="AD135" s="2063"/>
      <c r="AE135" s="2063"/>
      <c r="AF135" s="2063"/>
      <c r="AG135" s="2064"/>
      <c r="AH135" s="2031"/>
      <c r="AI135" s="2032"/>
      <c r="AJ135" s="2032"/>
      <c r="AK135" s="2032"/>
      <c r="AL135" s="2032"/>
      <c r="AM135" s="2032"/>
      <c r="AN135" s="2032"/>
      <c r="AO135" s="2032"/>
      <c r="AP135" s="2032"/>
      <c r="AQ135" s="2032"/>
      <c r="AR135" s="2032"/>
      <c r="AS135" s="2032"/>
      <c r="AT135" s="2032"/>
      <c r="AU135" s="2032"/>
      <c r="AV135" s="2032"/>
      <c r="AW135" s="2032"/>
      <c r="AX135" s="2033"/>
      <c r="AY135" s="1097"/>
      <c r="AZ135" s="1097"/>
      <c r="BA135" s="1097"/>
      <c r="BB135" s="1097"/>
      <c r="BC135" s="1097"/>
      <c r="BD135" s="1097"/>
      <c r="BE135" s="1101"/>
    </row>
    <row r="136" spans="1:57" ht="15.75" customHeight="1">
      <c r="A136" s="1097"/>
      <c r="B136" s="2062" t="s">
        <v>1995</v>
      </c>
      <c r="C136" s="2063"/>
      <c r="D136" s="2063"/>
      <c r="E136" s="2063"/>
      <c r="F136" s="2063"/>
      <c r="G136" s="2063"/>
      <c r="H136" s="2063"/>
      <c r="I136" s="2063"/>
      <c r="J136" s="2063"/>
      <c r="K136" s="2063"/>
      <c r="L136" s="2063"/>
      <c r="M136" s="2063"/>
      <c r="N136" s="2063"/>
      <c r="O136" s="2063"/>
      <c r="P136" s="2063"/>
      <c r="Q136" s="2063"/>
      <c r="R136" s="2063"/>
      <c r="S136" s="2063"/>
      <c r="T136" s="2063"/>
      <c r="U136" s="2063"/>
      <c r="V136" s="2063"/>
      <c r="W136" s="2063"/>
      <c r="X136" s="2063"/>
      <c r="Y136" s="2063"/>
      <c r="Z136" s="2063"/>
      <c r="AA136" s="2063"/>
      <c r="AB136" s="2063"/>
      <c r="AC136" s="2063"/>
      <c r="AD136" s="2063"/>
      <c r="AE136" s="2063"/>
      <c r="AF136" s="2063"/>
      <c r="AG136" s="2064"/>
      <c r="AH136" s="1976" t="s">
        <v>860</v>
      </c>
      <c r="AI136" s="1976"/>
      <c r="AJ136" s="1976"/>
      <c r="AK136" s="1976"/>
      <c r="AL136" s="1976"/>
      <c r="AM136" s="1976"/>
      <c r="AN136" s="1976"/>
      <c r="AO136" s="1976"/>
      <c r="AP136" s="1976"/>
      <c r="AQ136" s="1976"/>
      <c r="AR136" s="1976"/>
      <c r="AS136" s="1976"/>
      <c r="AT136" s="1976"/>
      <c r="AU136" s="1976"/>
      <c r="AV136" s="1976"/>
      <c r="AW136" s="1976"/>
      <c r="AX136" s="1977"/>
      <c r="AY136" s="1097"/>
      <c r="AZ136" s="1097"/>
      <c r="BA136" s="1097"/>
      <c r="BB136" s="1097"/>
      <c r="BC136" s="1097"/>
      <c r="BD136" s="1097"/>
      <c r="BE136" s="1101"/>
    </row>
    <row r="137" spans="1:57" ht="15.75" customHeight="1">
      <c r="A137" s="1097"/>
      <c r="B137" s="2065" t="s">
        <v>1996</v>
      </c>
      <c r="C137" s="2066"/>
      <c r="D137" s="2066"/>
      <c r="E137" s="2066"/>
      <c r="F137" s="2066"/>
      <c r="G137" s="2066"/>
      <c r="H137" s="2066"/>
      <c r="I137" s="2066"/>
      <c r="J137" s="2066"/>
      <c r="K137" s="2066"/>
      <c r="L137" s="2066"/>
      <c r="M137" s="2066"/>
      <c r="N137" s="2066"/>
      <c r="O137" s="2066"/>
      <c r="P137" s="2066"/>
      <c r="Q137" s="2066"/>
      <c r="R137" s="2067" t="s">
        <v>1997</v>
      </c>
      <c r="S137" s="2067"/>
      <c r="T137" s="2067"/>
      <c r="U137" s="2067"/>
      <c r="V137" s="2067"/>
      <c r="W137" s="2067"/>
      <c r="X137" s="2067"/>
      <c r="Y137" s="2067"/>
      <c r="Z137" s="2067"/>
      <c r="AA137" s="2067"/>
      <c r="AB137" s="2067"/>
      <c r="AC137" s="2067"/>
      <c r="AD137" s="2067"/>
      <c r="AE137" s="2067"/>
      <c r="AF137" s="2067"/>
      <c r="AG137" s="2067"/>
      <c r="AH137" s="2067"/>
      <c r="AI137" s="2067"/>
      <c r="AJ137" s="2067"/>
      <c r="AK137" s="2067"/>
      <c r="AL137" s="2067"/>
      <c r="AM137" s="2067"/>
      <c r="AN137" s="2067"/>
      <c r="AO137" s="2067"/>
      <c r="AP137" s="2067"/>
      <c r="AQ137" s="2067"/>
      <c r="AR137" s="2067"/>
      <c r="AS137" s="2067"/>
      <c r="AT137" s="2067"/>
      <c r="AU137" s="2067"/>
      <c r="AV137" s="2067"/>
      <c r="AW137" s="2067"/>
      <c r="AX137" s="2068"/>
      <c r="AY137" s="1097"/>
      <c r="AZ137" s="1097"/>
      <c r="BA137" s="1097"/>
      <c r="BB137" s="1097"/>
      <c r="BC137" s="1097" t="s">
        <v>254</v>
      </c>
      <c r="BD137" s="1097"/>
      <c r="BE137" s="1101"/>
    </row>
    <row r="138" spans="1:57" ht="15.75" customHeight="1">
      <c r="A138" s="1097"/>
      <c r="B138" s="2069" t="s">
        <v>1998</v>
      </c>
      <c r="C138" s="2070"/>
      <c r="D138" s="2070"/>
      <c r="E138" s="2070"/>
      <c r="F138" s="2070"/>
      <c r="G138" s="2070"/>
      <c r="H138" s="2070"/>
      <c r="I138" s="2070"/>
      <c r="J138" s="2070"/>
      <c r="K138" s="2070"/>
      <c r="L138" s="2070"/>
      <c r="M138" s="2070"/>
      <c r="N138" s="2070"/>
      <c r="O138" s="2070"/>
      <c r="P138" s="2070"/>
      <c r="Q138" s="2070"/>
      <c r="R138" s="2070"/>
      <c r="S138" s="2070"/>
      <c r="T138" s="2070"/>
      <c r="U138" s="2070"/>
      <c r="V138" s="2070"/>
      <c r="W138" s="2070"/>
      <c r="X138" s="2070"/>
      <c r="Y138" s="2070"/>
      <c r="Z138" s="2070"/>
      <c r="AA138" s="2070"/>
      <c r="AB138" s="2070"/>
      <c r="AC138" s="2070"/>
      <c r="AD138" s="2070"/>
      <c r="AE138" s="2070"/>
      <c r="AF138" s="2070"/>
      <c r="AG138" s="2070"/>
      <c r="AH138" s="2070"/>
      <c r="AI138" s="2070"/>
      <c r="AJ138" s="2070"/>
      <c r="AK138" s="2070"/>
      <c r="AL138" s="2070"/>
      <c r="AM138" s="2070"/>
      <c r="AN138" s="2070"/>
      <c r="AO138" s="2070"/>
      <c r="AP138" s="2070"/>
      <c r="AQ138" s="2070"/>
      <c r="AR138" s="2070"/>
      <c r="AS138" s="2070"/>
      <c r="AT138" s="2070"/>
      <c r="AU138" s="2070"/>
      <c r="AV138" s="2070"/>
      <c r="AW138" s="2070"/>
      <c r="AX138" s="2071"/>
      <c r="AY138" s="1097"/>
      <c r="AZ138" s="1097"/>
      <c r="BA138" s="1097"/>
      <c r="BB138" s="1097"/>
      <c r="BC138" s="1097"/>
      <c r="BD138" s="1097"/>
      <c r="BE138" s="1101"/>
    </row>
    <row r="139" spans="1:57" ht="15.75" customHeight="1">
      <c r="A139" s="1097"/>
      <c r="B139" s="2069"/>
      <c r="C139" s="2070"/>
      <c r="D139" s="2070"/>
      <c r="E139" s="2070"/>
      <c r="F139" s="2070"/>
      <c r="G139" s="2070"/>
      <c r="H139" s="2070"/>
      <c r="I139" s="2070"/>
      <c r="J139" s="2070"/>
      <c r="K139" s="2070"/>
      <c r="L139" s="2070"/>
      <c r="M139" s="2070"/>
      <c r="N139" s="2070"/>
      <c r="O139" s="2070"/>
      <c r="P139" s="2070"/>
      <c r="Q139" s="2070"/>
      <c r="R139" s="2070"/>
      <c r="S139" s="2070"/>
      <c r="T139" s="2070"/>
      <c r="U139" s="2070"/>
      <c r="V139" s="2070"/>
      <c r="W139" s="2070"/>
      <c r="X139" s="2070"/>
      <c r="Y139" s="2070"/>
      <c r="Z139" s="2070"/>
      <c r="AA139" s="2070"/>
      <c r="AB139" s="2070"/>
      <c r="AC139" s="2070"/>
      <c r="AD139" s="2070"/>
      <c r="AE139" s="2070"/>
      <c r="AF139" s="2070"/>
      <c r="AG139" s="2070"/>
      <c r="AH139" s="2070"/>
      <c r="AI139" s="2070"/>
      <c r="AJ139" s="2070"/>
      <c r="AK139" s="2070"/>
      <c r="AL139" s="2070"/>
      <c r="AM139" s="2070"/>
      <c r="AN139" s="2070"/>
      <c r="AO139" s="2070"/>
      <c r="AP139" s="2070"/>
      <c r="AQ139" s="2070"/>
      <c r="AR139" s="2070"/>
      <c r="AS139" s="2070"/>
      <c r="AT139" s="2070"/>
      <c r="AU139" s="2070"/>
      <c r="AV139" s="2070"/>
      <c r="AW139" s="2070"/>
      <c r="AX139" s="2071"/>
      <c r="AY139" s="1097"/>
      <c r="AZ139" s="1097"/>
      <c r="BA139" s="1097"/>
      <c r="BB139" s="1097"/>
      <c r="BC139" s="1097"/>
      <c r="BD139" s="1097"/>
      <c r="BE139" s="1101"/>
    </row>
    <row r="140" spans="1:57" ht="15.75" customHeight="1">
      <c r="A140" s="1097"/>
      <c r="B140" s="2069"/>
      <c r="C140" s="2070"/>
      <c r="D140" s="2070"/>
      <c r="E140" s="2070"/>
      <c r="F140" s="2070"/>
      <c r="G140" s="2070"/>
      <c r="H140" s="2070"/>
      <c r="I140" s="2070"/>
      <c r="J140" s="2070"/>
      <c r="K140" s="2070"/>
      <c r="L140" s="2070"/>
      <c r="M140" s="2070"/>
      <c r="N140" s="2070"/>
      <c r="O140" s="2070"/>
      <c r="P140" s="2070"/>
      <c r="Q140" s="2070"/>
      <c r="R140" s="2070"/>
      <c r="S140" s="2070"/>
      <c r="T140" s="2070"/>
      <c r="U140" s="2070"/>
      <c r="V140" s="2070"/>
      <c r="W140" s="2070"/>
      <c r="X140" s="2070"/>
      <c r="Y140" s="2070"/>
      <c r="Z140" s="2070"/>
      <c r="AA140" s="2070"/>
      <c r="AB140" s="2070"/>
      <c r="AC140" s="2070"/>
      <c r="AD140" s="2070"/>
      <c r="AE140" s="2070"/>
      <c r="AF140" s="2070"/>
      <c r="AG140" s="2070"/>
      <c r="AH140" s="2070"/>
      <c r="AI140" s="2070"/>
      <c r="AJ140" s="2070"/>
      <c r="AK140" s="2070"/>
      <c r="AL140" s="2070"/>
      <c r="AM140" s="2070"/>
      <c r="AN140" s="2070"/>
      <c r="AO140" s="2070"/>
      <c r="AP140" s="2070"/>
      <c r="AQ140" s="2070"/>
      <c r="AR140" s="2070"/>
      <c r="AS140" s="2070"/>
      <c r="AT140" s="2070"/>
      <c r="AU140" s="2070"/>
      <c r="AV140" s="2070"/>
      <c r="AW140" s="2070"/>
      <c r="AX140" s="2071"/>
      <c r="AY140" s="1097"/>
      <c r="AZ140" s="1097"/>
      <c r="BA140" s="1097"/>
      <c r="BB140" s="1097"/>
      <c r="BC140" s="1097"/>
      <c r="BD140" s="1097"/>
      <c r="BE140" s="1101"/>
    </row>
    <row r="141" spans="1:57" ht="15.75" customHeight="1">
      <c r="A141" s="1097"/>
      <c r="B141" s="2069"/>
      <c r="C141" s="2070"/>
      <c r="D141" s="2070"/>
      <c r="E141" s="2070"/>
      <c r="F141" s="2070"/>
      <c r="G141" s="2070"/>
      <c r="H141" s="2070"/>
      <c r="I141" s="2070"/>
      <c r="J141" s="2070"/>
      <c r="K141" s="2070"/>
      <c r="L141" s="2070"/>
      <c r="M141" s="2070"/>
      <c r="N141" s="2070"/>
      <c r="O141" s="2070"/>
      <c r="P141" s="2070"/>
      <c r="Q141" s="2070"/>
      <c r="R141" s="2070"/>
      <c r="S141" s="2070"/>
      <c r="T141" s="2070"/>
      <c r="U141" s="2070"/>
      <c r="V141" s="2070"/>
      <c r="W141" s="2070"/>
      <c r="X141" s="2070"/>
      <c r="Y141" s="2070"/>
      <c r="Z141" s="2070"/>
      <c r="AA141" s="2070"/>
      <c r="AB141" s="2070"/>
      <c r="AC141" s="2070"/>
      <c r="AD141" s="2070"/>
      <c r="AE141" s="2070"/>
      <c r="AF141" s="2070"/>
      <c r="AG141" s="2070"/>
      <c r="AH141" s="2070"/>
      <c r="AI141" s="2070"/>
      <c r="AJ141" s="2070"/>
      <c r="AK141" s="2070"/>
      <c r="AL141" s="2070"/>
      <c r="AM141" s="2070"/>
      <c r="AN141" s="2070"/>
      <c r="AO141" s="2070"/>
      <c r="AP141" s="2070"/>
      <c r="AQ141" s="2070"/>
      <c r="AR141" s="2070"/>
      <c r="AS141" s="2070"/>
      <c r="AT141" s="2070"/>
      <c r="AU141" s="2070"/>
      <c r="AV141" s="2070"/>
      <c r="AW141" s="2070"/>
      <c r="AX141" s="2071"/>
      <c r="AY141" s="1097"/>
      <c r="AZ141" s="1097"/>
      <c r="BA141" s="1097"/>
      <c r="BB141" s="1097"/>
      <c r="BC141" s="1097"/>
      <c r="BD141" s="1097"/>
      <c r="BE141" s="1101"/>
    </row>
    <row r="142" spans="1:57" ht="15.75" customHeight="1">
      <c r="A142" s="1097"/>
      <c r="B142" s="2069"/>
      <c r="C142" s="2070"/>
      <c r="D142" s="2070"/>
      <c r="E142" s="2070"/>
      <c r="F142" s="2070"/>
      <c r="G142" s="2070"/>
      <c r="H142" s="2070"/>
      <c r="I142" s="2070"/>
      <c r="J142" s="2070"/>
      <c r="K142" s="2070"/>
      <c r="L142" s="2070"/>
      <c r="M142" s="2070"/>
      <c r="N142" s="2070"/>
      <c r="O142" s="2070"/>
      <c r="P142" s="2070"/>
      <c r="Q142" s="2070"/>
      <c r="R142" s="2070"/>
      <c r="S142" s="2070"/>
      <c r="T142" s="2070"/>
      <c r="U142" s="2070"/>
      <c r="V142" s="2070"/>
      <c r="W142" s="2070"/>
      <c r="X142" s="2070"/>
      <c r="Y142" s="2070"/>
      <c r="Z142" s="2070"/>
      <c r="AA142" s="2070"/>
      <c r="AB142" s="2070"/>
      <c r="AC142" s="2070"/>
      <c r="AD142" s="2070"/>
      <c r="AE142" s="2070"/>
      <c r="AF142" s="2070"/>
      <c r="AG142" s="2070"/>
      <c r="AH142" s="2070"/>
      <c r="AI142" s="2070"/>
      <c r="AJ142" s="2070"/>
      <c r="AK142" s="2070"/>
      <c r="AL142" s="2070"/>
      <c r="AM142" s="2070"/>
      <c r="AN142" s="2070"/>
      <c r="AO142" s="2070"/>
      <c r="AP142" s="2070"/>
      <c r="AQ142" s="2070"/>
      <c r="AR142" s="2070"/>
      <c r="AS142" s="2070"/>
      <c r="AT142" s="2070"/>
      <c r="AU142" s="2070"/>
      <c r="AV142" s="2070"/>
      <c r="AW142" s="2070"/>
      <c r="AX142" s="2071"/>
      <c r="AY142" s="1097"/>
      <c r="AZ142" s="1097"/>
      <c r="BA142" s="1097"/>
      <c r="BB142" s="1097"/>
      <c r="BC142" s="1097"/>
      <c r="BD142" s="1097"/>
      <c r="BE142" s="1101"/>
    </row>
    <row r="143" spans="1:57" ht="15.75" customHeight="1">
      <c r="A143" s="1097"/>
      <c r="B143" s="2069"/>
      <c r="C143" s="2070"/>
      <c r="D143" s="2070"/>
      <c r="E143" s="2070"/>
      <c r="F143" s="2070"/>
      <c r="G143" s="2070"/>
      <c r="H143" s="2070"/>
      <c r="I143" s="2070"/>
      <c r="J143" s="2070"/>
      <c r="K143" s="2070"/>
      <c r="L143" s="2070"/>
      <c r="M143" s="2070"/>
      <c r="N143" s="2070"/>
      <c r="O143" s="2070"/>
      <c r="P143" s="2070"/>
      <c r="Q143" s="2070"/>
      <c r="R143" s="2070"/>
      <c r="S143" s="2070"/>
      <c r="T143" s="2070"/>
      <c r="U143" s="2070"/>
      <c r="V143" s="2070"/>
      <c r="W143" s="2070"/>
      <c r="X143" s="2070"/>
      <c r="Y143" s="2070"/>
      <c r="Z143" s="2070"/>
      <c r="AA143" s="2070"/>
      <c r="AB143" s="2070"/>
      <c r="AC143" s="2070"/>
      <c r="AD143" s="2070"/>
      <c r="AE143" s="2070"/>
      <c r="AF143" s="2070"/>
      <c r="AG143" s="2070"/>
      <c r="AH143" s="2070"/>
      <c r="AI143" s="2070"/>
      <c r="AJ143" s="2070"/>
      <c r="AK143" s="2070"/>
      <c r="AL143" s="2070"/>
      <c r="AM143" s="2070"/>
      <c r="AN143" s="2070"/>
      <c r="AO143" s="2070"/>
      <c r="AP143" s="2070"/>
      <c r="AQ143" s="2070"/>
      <c r="AR143" s="2070"/>
      <c r="AS143" s="2070"/>
      <c r="AT143" s="2070"/>
      <c r="AU143" s="2070"/>
      <c r="AV143" s="2070"/>
      <c r="AW143" s="2070"/>
      <c r="AX143" s="2071"/>
      <c r="AY143" s="1097"/>
      <c r="AZ143" s="1097"/>
      <c r="BA143" s="1097"/>
      <c r="BB143" s="1097"/>
      <c r="BC143" s="1097"/>
      <c r="BD143" s="1097"/>
      <c r="BE143" s="1101"/>
    </row>
    <row r="144" spans="1:57" ht="15.75" customHeight="1">
      <c r="A144" s="1097"/>
      <c r="B144" s="2069"/>
      <c r="C144" s="2070"/>
      <c r="D144" s="2070"/>
      <c r="E144" s="2070"/>
      <c r="F144" s="2070"/>
      <c r="G144" s="2070"/>
      <c r="H144" s="2070"/>
      <c r="I144" s="2070"/>
      <c r="J144" s="2070"/>
      <c r="K144" s="2070"/>
      <c r="L144" s="2070"/>
      <c r="M144" s="2070"/>
      <c r="N144" s="2070"/>
      <c r="O144" s="2070"/>
      <c r="P144" s="2070"/>
      <c r="Q144" s="2070"/>
      <c r="R144" s="2070"/>
      <c r="S144" s="2070"/>
      <c r="T144" s="2070"/>
      <c r="U144" s="2070"/>
      <c r="V144" s="2070"/>
      <c r="W144" s="2070"/>
      <c r="X144" s="2070"/>
      <c r="Y144" s="2070"/>
      <c r="Z144" s="2070"/>
      <c r="AA144" s="2070"/>
      <c r="AB144" s="2070"/>
      <c r="AC144" s="2070"/>
      <c r="AD144" s="2070"/>
      <c r="AE144" s="2070"/>
      <c r="AF144" s="2070"/>
      <c r="AG144" s="2070"/>
      <c r="AH144" s="2070"/>
      <c r="AI144" s="2070"/>
      <c r="AJ144" s="2070"/>
      <c r="AK144" s="2070"/>
      <c r="AL144" s="2070"/>
      <c r="AM144" s="2070"/>
      <c r="AN144" s="2070"/>
      <c r="AO144" s="2070"/>
      <c r="AP144" s="2070"/>
      <c r="AQ144" s="2070"/>
      <c r="AR144" s="2070"/>
      <c r="AS144" s="2070"/>
      <c r="AT144" s="2070"/>
      <c r="AU144" s="2070"/>
      <c r="AV144" s="2070"/>
      <c r="AW144" s="2070"/>
      <c r="AX144" s="2071"/>
      <c r="AY144" s="1097"/>
      <c r="AZ144" s="1097"/>
      <c r="BA144" s="1097"/>
      <c r="BB144" s="1097"/>
      <c r="BC144" s="1097"/>
      <c r="BD144" s="1097"/>
      <c r="BE144" s="1101"/>
    </row>
    <row r="145" spans="1:57" ht="15.75" customHeight="1">
      <c r="A145" s="1097"/>
      <c r="B145" s="2069"/>
      <c r="C145" s="2070"/>
      <c r="D145" s="2070"/>
      <c r="E145" s="2070"/>
      <c r="F145" s="2070"/>
      <c r="G145" s="2070"/>
      <c r="H145" s="2070"/>
      <c r="I145" s="2070"/>
      <c r="J145" s="2070"/>
      <c r="K145" s="2070"/>
      <c r="L145" s="2070"/>
      <c r="M145" s="2070"/>
      <c r="N145" s="2070"/>
      <c r="O145" s="2070"/>
      <c r="P145" s="2070"/>
      <c r="Q145" s="2070"/>
      <c r="R145" s="2070"/>
      <c r="S145" s="2070"/>
      <c r="T145" s="2070"/>
      <c r="U145" s="2070"/>
      <c r="V145" s="2070"/>
      <c r="W145" s="2070"/>
      <c r="X145" s="2070"/>
      <c r="Y145" s="2070"/>
      <c r="Z145" s="2070"/>
      <c r="AA145" s="2070"/>
      <c r="AB145" s="2070"/>
      <c r="AC145" s="2070"/>
      <c r="AD145" s="2070"/>
      <c r="AE145" s="2070"/>
      <c r="AF145" s="2070"/>
      <c r="AG145" s="2070"/>
      <c r="AH145" s="2070"/>
      <c r="AI145" s="2070"/>
      <c r="AJ145" s="2070"/>
      <c r="AK145" s="2070"/>
      <c r="AL145" s="2070"/>
      <c r="AM145" s="2070"/>
      <c r="AN145" s="2070"/>
      <c r="AO145" s="2070"/>
      <c r="AP145" s="2070"/>
      <c r="AQ145" s="2070"/>
      <c r="AR145" s="2070"/>
      <c r="AS145" s="2070"/>
      <c r="AT145" s="2070"/>
      <c r="AU145" s="2070"/>
      <c r="AV145" s="2070"/>
      <c r="AW145" s="2070"/>
      <c r="AX145" s="2071"/>
      <c r="AY145" s="1097"/>
      <c r="AZ145" s="1097"/>
      <c r="BA145" s="1097"/>
      <c r="BB145" s="1097"/>
      <c r="BC145" s="1097"/>
      <c r="BD145" s="1097"/>
      <c r="BE145" s="1101"/>
    </row>
    <row r="146" spans="1:57" ht="15.75" customHeight="1">
      <c r="A146" s="1097"/>
      <c r="B146" s="2069"/>
      <c r="C146" s="2070"/>
      <c r="D146" s="2070"/>
      <c r="E146" s="2070"/>
      <c r="F146" s="2070"/>
      <c r="G146" s="2070"/>
      <c r="H146" s="2070"/>
      <c r="I146" s="2070"/>
      <c r="J146" s="2070"/>
      <c r="K146" s="2070"/>
      <c r="L146" s="2070"/>
      <c r="M146" s="2070"/>
      <c r="N146" s="2070"/>
      <c r="O146" s="2070"/>
      <c r="P146" s="2070"/>
      <c r="Q146" s="2070"/>
      <c r="R146" s="2070"/>
      <c r="S146" s="2070"/>
      <c r="T146" s="2070"/>
      <c r="U146" s="2070"/>
      <c r="V146" s="2070"/>
      <c r="W146" s="2070"/>
      <c r="X146" s="2070"/>
      <c r="Y146" s="2070"/>
      <c r="Z146" s="2070"/>
      <c r="AA146" s="2070"/>
      <c r="AB146" s="2070"/>
      <c r="AC146" s="2070"/>
      <c r="AD146" s="2070"/>
      <c r="AE146" s="2070"/>
      <c r="AF146" s="2070"/>
      <c r="AG146" s="2070"/>
      <c r="AH146" s="2070"/>
      <c r="AI146" s="2070"/>
      <c r="AJ146" s="2070"/>
      <c r="AK146" s="2070"/>
      <c r="AL146" s="2070"/>
      <c r="AM146" s="2070"/>
      <c r="AN146" s="2070"/>
      <c r="AO146" s="2070"/>
      <c r="AP146" s="2070"/>
      <c r="AQ146" s="2070"/>
      <c r="AR146" s="2070"/>
      <c r="AS146" s="2070"/>
      <c r="AT146" s="2070"/>
      <c r="AU146" s="2070"/>
      <c r="AV146" s="2070"/>
      <c r="AW146" s="2070"/>
      <c r="AX146" s="2071"/>
      <c r="AY146" s="1097"/>
      <c r="AZ146" s="1097"/>
      <c r="BA146" s="1097"/>
      <c r="BB146" s="1097"/>
      <c r="BC146" s="1097"/>
      <c r="BD146" s="1097"/>
      <c r="BE146" s="1101"/>
    </row>
    <row r="147" spans="1:57" ht="15.75" customHeight="1" thickBot="1">
      <c r="A147" s="1097"/>
      <c r="B147" s="2072"/>
      <c r="C147" s="2073"/>
      <c r="D147" s="2073"/>
      <c r="E147" s="2073"/>
      <c r="F147" s="2073"/>
      <c r="G147" s="2073"/>
      <c r="H147" s="2073"/>
      <c r="I147" s="2073"/>
      <c r="J147" s="2073"/>
      <c r="K147" s="2073"/>
      <c r="L147" s="2073"/>
      <c r="M147" s="2073"/>
      <c r="N147" s="2073"/>
      <c r="O147" s="2073"/>
      <c r="P147" s="2073"/>
      <c r="Q147" s="2073"/>
      <c r="R147" s="2073"/>
      <c r="S147" s="2073"/>
      <c r="T147" s="2073"/>
      <c r="U147" s="2073"/>
      <c r="V147" s="2073"/>
      <c r="W147" s="2073"/>
      <c r="X147" s="2073"/>
      <c r="Y147" s="2073"/>
      <c r="Z147" s="2073"/>
      <c r="AA147" s="2073"/>
      <c r="AB147" s="2073"/>
      <c r="AC147" s="2073"/>
      <c r="AD147" s="2073"/>
      <c r="AE147" s="2073"/>
      <c r="AF147" s="2073"/>
      <c r="AG147" s="2073"/>
      <c r="AH147" s="2073"/>
      <c r="AI147" s="2073"/>
      <c r="AJ147" s="2073"/>
      <c r="AK147" s="2073"/>
      <c r="AL147" s="2073"/>
      <c r="AM147" s="2073"/>
      <c r="AN147" s="2073"/>
      <c r="AO147" s="2073"/>
      <c r="AP147" s="2073"/>
      <c r="AQ147" s="2073"/>
      <c r="AR147" s="2073"/>
      <c r="AS147" s="2073"/>
      <c r="AT147" s="2073"/>
      <c r="AU147" s="2073"/>
      <c r="AV147" s="2073"/>
      <c r="AW147" s="2073"/>
      <c r="AX147" s="2074"/>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1999</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2000</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48" t="s">
        <v>2001</v>
      </c>
      <c r="C151" s="1949"/>
      <c r="D151" s="1949"/>
      <c r="E151" s="1949"/>
      <c r="F151" s="1949"/>
      <c r="G151" s="1949"/>
      <c r="H151" s="1949"/>
      <c r="I151" s="1949"/>
      <c r="J151" s="1949"/>
      <c r="K151" s="1949"/>
      <c r="L151" s="1949"/>
      <c r="M151" s="1949"/>
      <c r="N151" s="1949"/>
      <c r="O151" s="1949"/>
      <c r="P151" s="1949"/>
      <c r="Q151" s="1949"/>
      <c r="R151" s="1949"/>
      <c r="S151" s="1949"/>
      <c r="T151" s="1949"/>
      <c r="U151" s="1950"/>
      <c r="V151" s="1097"/>
      <c r="W151" s="1098"/>
      <c r="X151" s="1948" t="s">
        <v>2002</v>
      </c>
      <c r="Y151" s="1949"/>
      <c r="Z151" s="1949"/>
      <c r="AA151" s="1949"/>
      <c r="AB151" s="1949"/>
      <c r="AC151" s="1949"/>
      <c r="AD151" s="1949"/>
      <c r="AE151" s="1949"/>
      <c r="AF151" s="1949"/>
      <c r="AG151" s="1949"/>
      <c r="AH151" s="1949"/>
      <c r="AI151" s="1949"/>
      <c r="AJ151" s="1949"/>
      <c r="AK151" s="1949"/>
      <c r="AL151" s="1949"/>
      <c r="AM151" s="1949"/>
      <c r="AN151" s="1949"/>
      <c r="AO151" s="1949"/>
      <c r="AP151" s="1949"/>
      <c r="AQ151" s="1950"/>
      <c r="AR151" s="1097"/>
      <c r="AS151" s="1097"/>
      <c r="AT151" s="1097"/>
      <c r="AU151" s="1097"/>
      <c r="AV151" s="1097"/>
      <c r="AW151" s="1097"/>
      <c r="AX151" s="1097"/>
      <c r="AY151" s="1097"/>
      <c r="AZ151" s="1097"/>
      <c r="BA151" s="1097"/>
      <c r="BB151" s="1097"/>
      <c r="BC151" s="1097"/>
      <c r="BD151" s="1097"/>
      <c r="BE151" s="1101"/>
    </row>
    <row r="152" spans="1:57" ht="15.75" customHeight="1">
      <c r="A152" s="1097"/>
      <c r="B152" s="2077"/>
      <c r="C152" s="2078"/>
      <c r="D152" s="2078"/>
      <c r="E152" s="2078"/>
      <c r="F152" s="2078"/>
      <c r="G152" s="2078"/>
      <c r="H152" s="2078"/>
      <c r="I152" s="2079" t="s">
        <v>1970</v>
      </c>
      <c r="J152" s="2079"/>
      <c r="K152" s="2079"/>
      <c r="L152" s="2079"/>
      <c r="M152" s="2079"/>
      <c r="N152" s="2079"/>
      <c r="O152" s="2079"/>
      <c r="P152" s="2079" t="s">
        <v>2003</v>
      </c>
      <c r="Q152" s="2079"/>
      <c r="R152" s="2079"/>
      <c r="S152" s="2079"/>
      <c r="T152" s="2079"/>
      <c r="U152" s="2080"/>
      <c r="V152" s="1097"/>
      <c r="W152" s="1097"/>
      <c r="X152" s="2077"/>
      <c r="Y152" s="2078"/>
      <c r="Z152" s="2078"/>
      <c r="AA152" s="2078"/>
      <c r="AB152" s="2078"/>
      <c r="AC152" s="2078"/>
      <c r="AD152" s="2078"/>
      <c r="AE152" s="2079" t="s">
        <v>1970</v>
      </c>
      <c r="AF152" s="2079"/>
      <c r="AG152" s="2079"/>
      <c r="AH152" s="2079"/>
      <c r="AI152" s="2079"/>
      <c r="AJ152" s="2079"/>
      <c r="AK152" s="2079"/>
      <c r="AL152" s="2079" t="s">
        <v>1971</v>
      </c>
      <c r="AM152" s="2079"/>
      <c r="AN152" s="2079"/>
      <c r="AO152" s="2079"/>
      <c r="AP152" s="2079"/>
      <c r="AQ152" s="2080"/>
      <c r="AR152" s="1097"/>
      <c r="AS152" s="1097"/>
      <c r="AT152" s="1097"/>
      <c r="AU152" s="1097"/>
      <c r="AV152" s="1097"/>
      <c r="AW152" s="1097"/>
      <c r="AX152" s="1097"/>
      <c r="AY152" s="1097"/>
      <c r="AZ152" s="1097"/>
      <c r="BA152" s="1097"/>
      <c r="BB152" s="1097"/>
      <c r="BC152" s="1097"/>
      <c r="BD152" s="1097"/>
      <c r="BE152" s="1101"/>
    </row>
    <row r="153" spans="1:57" ht="15.75" customHeight="1">
      <c r="A153" s="1097"/>
      <c r="B153" s="2077"/>
      <c r="C153" s="2078"/>
      <c r="D153" s="2078"/>
      <c r="E153" s="2078"/>
      <c r="F153" s="2078"/>
      <c r="G153" s="2078"/>
      <c r="H153" s="2078"/>
      <c r="I153" s="2079"/>
      <c r="J153" s="2079"/>
      <c r="K153" s="2079"/>
      <c r="L153" s="2079"/>
      <c r="M153" s="2079"/>
      <c r="N153" s="2079"/>
      <c r="O153" s="2079"/>
      <c r="P153" s="2079"/>
      <c r="Q153" s="2079"/>
      <c r="R153" s="2079"/>
      <c r="S153" s="2079"/>
      <c r="T153" s="2079"/>
      <c r="U153" s="2080"/>
      <c r="V153" s="1097"/>
      <c r="W153" s="1097"/>
      <c r="X153" s="2077"/>
      <c r="Y153" s="2078"/>
      <c r="Z153" s="2078"/>
      <c r="AA153" s="2078"/>
      <c r="AB153" s="2078"/>
      <c r="AC153" s="2078"/>
      <c r="AD153" s="2078"/>
      <c r="AE153" s="2079"/>
      <c r="AF153" s="2079"/>
      <c r="AG153" s="2079"/>
      <c r="AH153" s="2079"/>
      <c r="AI153" s="2079"/>
      <c r="AJ153" s="2079"/>
      <c r="AK153" s="2079"/>
      <c r="AL153" s="2079"/>
      <c r="AM153" s="2079"/>
      <c r="AN153" s="2079"/>
      <c r="AO153" s="2079"/>
      <c r="AP153" s="2079"/>
      <c r="AQ153" s="2080"/>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51" t="s">
        <v>1989</v>
      </c>
      <c r="C154" s="2052"/>
      <c r="D154" s="2052"/>
      <c r="E154" s="2052"/>
      <c r="F154" s="2052"/>
      <c r="G154" s="2052"/>
      <c r="H154" s="2052"/>
      <c r="I154" s="2029">
        <v>0</v>
      </c>
      <c r="J154" s="2029"/>
      <c r="K154" s="2029"/>
      <c r="L154" s="2029"/>
      <c r="M154" s="2029"/>
      <c r="N154" s="2029"/>
      <c r="O154" s="2029"/>
      <c r="P154" s="2029">
        <v>0</v>
      </c>
      <c r="Q154" s="2029"/>
      <c r="R154" s="2029"/>
      <c r="S154" s="2029"/>
      <c r="T154" s="2029"/>
      <c r="U154" s="2030"/>
      <c r="V154" s="1097"/>
      <c r="W154" s="1097"/>
      <c r="X154" s="2053" t="s">
        <v>1989</v>
      </c>
      <c r="Y154" s="2054"/>
      <c r="Z154" s="2054"/>
      <c r="AA154" s="2054"/>
      <c r="AB154" s="2054"/>
      <c r="AC154" s="2054"/>
      <c r="AD154" s="2054"/>
      <c r="AE154" s="2027">
        <v>0</v>
      </c>
      <c r="AF154" s="2027"/>
      <c r="AG154" s="2027"/>
      <c r="AH154" s="2027"/>
      <c r="AI154" s="2027"/>
      <c r="AJ154" s="2027"/>
      <c r="AK154" s="2027"/>
      <c r="AL154" s="2027">
        <v>0</v>
      </c>
      <c r="AM154" s="2027"/>
      <c r="AN154" s="2027"/>
      <c r="AO154" s="2027"/>
      <c r="AP154" s="2027"/>
      <c r="AQ154" s="2028"/>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53" t="s">
        <v>1990</v>
      </c>
      <c r="C155" s="2054"/>
      <c r="D155" s="2054"/>
      <c r="E155" s="2054"/>
      <c r="F155" s="2054"/>
      <c r="G155" s="2054"/>
      <c r="H155" s="2054"/>
      <c r="I155" s="2027">
        <v>0</v>
      </c>
      <c r="J155" s="2027"/>
      <c r="K155" s="2027"/>
      <c r="L155" s="2027"/>
      <c r="M155" s="2027"/>
      <c r="N155" s="2027"/>
      <c r="O155" s="2027"/>
      <c r="P155" s="2027">
        <v>0</v>
      </c>
      <c r="Q155" s="2027"/>
      <c r="R155" s="2027"/>
      <c r="S155" s="2027"/>
      <c r="T155" s="2027"/>
      <c r="U155" s="2028"/>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48" t="s">
        <v>2004</v>
      </c>
      <c r="D157" s="1949"/>
      <c r="E157" s="1949"/>
      <c r="F157" s="1949"/>
      <c r="G157" s="1949"/>
      <c r="H157" s="1949"/>
      <c r="I157" s="1949"/>
      <c r="J157" s="1949"/>
      <c r="K157" s="1949"/>
      <c r="L157" s="1949"/>
      <c r="M157" s="1949"/>
      <c r="N157" s="1949"/>
      <c r="O157" s="1949"/>
      <c r="P157" s="1949"/>
      <c r="Q157" s="1949"/>
      <c r="R157" s="1949"/>
      <c r="S157" s="1949"/>
      <c r="T157" s="1949"/>
      <c r="U157" s="1949"/>
      <c r="V157" s="1949"/>
      <c r="W157" s="1949"/>
      <c r="X157" s="1949"/>
      <c r="Y157" s="1949"/>
      <c r="Z157" s="1949"/>
      <c r="AA157" s="1949"/>
      <c r="AB157" s="1949"/>
      <c r="AC157" s="1949"/>
      <c r="AD157" s="1949"/>
      <c r="AE157" s="1949"/>
      <c r="AF157" s="1949"/>
      <c r="AG157" s="1950"/>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77" t="s">
        <v>2005</v>
      </c>
      <c r="D158" s="2078"/>
      <c r="E158" s="2078"/>
      <c r="F158" s="2078"/>
      <c r="G158" s="2078"/>
      <c r="H158" s="2078"/>
      <c r="I158" s="2078"/>
      <c r="J158" s="2078"/>
      <c r="K158" s="2078"/>
      <c r="L158" s="2078"/>
      <c r="M158" s="2078"/>
      <c r="N158" s="2078"/>
      <c r="O158" s="2078"/>
      <c r="P158" s="2078"/>
      <c r="Q158" s="2078" t="s">
        <v>2006</v>
      </c>
      <c r="R158" s="2078"/>
      <c r="S158" s="2078"/>
      <c r="T158" s="2025" t="s">
        <v>2007</v>
      </c>
      <c r="U158" s="2025"/>
      <c r="V158" s="2025"/>
      <c r="W158" s="2025"/>
      <c r="X158" s="2025"/>
      <c r="Y158" s="2025"/>
      <c r="Z158" s="2025"/>
      <c r="AA158" s="2025"/>
      <c r="AB158" s="2078" t="s">
        <v>2008</v>
      </c>
      <c r="AC158" s="2078"/>
      <c r="AD158" s="2078"/>
      <c r="AE158" s="2078"/>
      <c r="AF158" s="2078"/>
      <c r="AG158" s="2088"/>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83" t="s">
        <v>2009</v>
      </c>
      <c r="D159" s="2084"/>
      <c r="E159" s="2084"/>
      <c r="F159" s="2084"/>
      <c r="G159" s="2084"/>
      <c r="H159" s="2084"/>
      <c r="I159" s="2084"/>
      <c r="J159" s="2084"/>
      <c r="K159" s="2084"/>
      <c r="L159" s="2084"/>
      <c r="M159" s="2084"/>
      <c r="N159" s="2084"/>
      <c r="O159" s="2084"/>
      <c r="P159" s="2084"/>
      <c r="Q159" s="2085">
        <v>55</v>
      </c>
      <c r="R159" s="2085"/>
      <c r="S159" s="2085"/>
      <c r="T159" s="2086"/>
      <c r="U159" s="2086"/>
      <c r="V159" s="2086"/>
      <c r="W159" s="2086"/>
      <c r="X159" s="2086"/>
      <c r="Y159" s="2086"/>
      <c r="Z159" s="2086"/>
      <c r="AA159" s="2086"/>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83" t="s">
        <v>2010</v>
      </c>
      <c r="D160" s="2084"/>
      <c r="E160" s="2084"/>
      <c r="F160" s="2084"/>
      <c r="G160" s="2084"/>
      <c r="H160" s="2084"/>
      <c r="I160" s="2084"/>
      <c r="J160" s="2084"/>
      <c r="K160" s="2084"/>
      <c r="L160" s="2084"/>
      <c r="M160" s="2084"/>
      <c r="N160" s="2084"/>
      <c r="O160" s="2084"/>
      <c r="P160" s="2084"/>
      <c r="Q160" s="2085">
        <v>55</v>
      </c>
      <c r="R160" s="2085"/>
      <c r="S160" s="2085"/>
      <c r="T160" s="2087"/>
      <c r="U160" s="2087"/>
      <c r="V160" s="2087"/>
      <c r="W160" s="2087"/>
      <c r="X160" s="2087"/>
      <c r="Y160" s="2087"/>
      <c r="Z160" s="2087"/>
      <c r="AA160" s="2087"/>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83" t="s">
        <v>2011</v>
      </c>
      <c r="D161" s="2084"/>
      <c r="E161" s="2084"/>
      <c r="F161" s="2084"/>
      <c r="G161" s="2084"/>
      <c r="H161" s="2084"/>
      <c r="I161" s="2084"/>
      <c r="J161" s="2084"/>
      <c r="K161" s="2084"/>
      <c r="L161" s="2084"/>
      <c r="M161" s="2084"/>
      <c r="N161" s="2084"/>
      <c r="O161" s="2084"/>
      <c r="P161" s="2084"/>
      <c r="Q161" s="2085">
        <v>55</v>
      </c>
      <c r="R161" s="2085"/>
      <c r="S161" s="2085"/>
      <c r="T161" s="2086"/>
      <c r="U161" s="2086"/>
      <c r="V161" s="2086"/>
      <c r="W161" s="2086"/>
      <c r="X161" s="2086"/>
      <c r="Y161" s="2086"/>
      <c r="Z161" s="2086"/>
      <c r="AA161" s="2086"/>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83" t="s">
        <v>1937</v>
      </c>
      <c r="D162" s="2084"/>
      <c r="E162" s="2084"/>
      <c r="F162" s="2084"/>
      <c r="G162" s="2084"/>
      <c r="H162" s="2084"/>
      <c r="I162" s="2084"/>
      <c r="J162" s="2084"/>
      <c r="K162" s="2084"/>
      <c r="L162" s="2084"/>
      <c r="M162" s="2084"/>
      <c r="N162" s="2084"/>
      <c r="O162" s="2084"/>
      <c r="P162" s="2084"/>
      <c r="Q162" s="2085">
        <v>55</v>
      </c>
      <c r="R162" s="2085"/>
      <c r="S162" s="2085"/>
      <c r="T162" s="2086"/>
      <c r="U162" s="2086"/>
      <c r="V162" s="2086"/>
      <c r="W162" s="2086"/>
      <c r="X162" s="2086"/>
      <c r="Y162" s="2086"/>
      <c r="Z162" s="2086"/>
      <c r="AA162" s="2086"/>
      <c r="AB162" s="2089">
        <v>0</v>
      </c>
      <c r="AC162" s="2089"/>
      <c r="AD162" s="2089"/>
      <c r="AE162" s="2089"/>
      <c r="AF162" s="2089"/>
      <c r="AG162" s="2090"/>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83" t="s">
        <v>233</v>
      </c>
      <c r="D163" s="2084"/>
      <c r="E163" s="2084"/>
      <c r="F163" s="2091" t="s">
        <v>2012</v>
      </c>
      <c r="G163" s="2091"/>
      <c r="H163" s="2091"/>
      <c r="I163" s="2091"/>
      <c r="J163" s="2091"/>
      <c r="K163" s="2091"/>
      <c r="L163" s="2091"/>
      <c r="M163" s="2091"/>
      <c r="N163" s="2091"/>
      <c r="O163" s="2091"/>
      <c r="P163" s="2091"/>
      <c r="Q163" s="2085">
        <v>55</v>
      </c>
      <c r="R163" s="2085"/>
      <c r="S163" s="2085"/>
      <c r="T163" s="2087"/>
      <c r="U163" s="2087"/>
      <c r="V163" s="2087"/>
      <c r="W163" s="2087"/>
      <c r="X163" s="2087"/>
      <c r="Y163" s="2087"/>
      <c r="Z163" s="2087"/>
      <c r="AA163" s="2087"/>
      <c r="AB163" s="2089">
        <v>0</v>
      </c>
      <c r="AC163" s="2089"/>
      <c r="AD163" s="2089"/>
      <c r="AE163" s="2089"/>
      <c r="AF163" s="2089"/>
      <c r="AG163" s="2090"/>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83" t="s">
        <v>233</v>
      </c>
      <c r="D164" s="2084"/>
      <c r="E164" s="2084"/>
      <c r="F164" s="2091" t="s">
        <v>2012</v>
      </c>
      <c r="G164" s="2091"/>
      <c r="H164" s="2091"/>
      <c r="I164" s="2091"/>
      <c r="J164" s="2091"/>
      <c r="K164" s="2091"/>
      <c r="L164" s="2091"/>
      <c r="M164" s="2091"/>
      <c r="N164" s="2091"/>
      <c r="O164" s="2091"/>
      <c r="P164" s="2091"/>
      <c r="Q164" s="2085">
        <v>55</v>
      </c>
      <c r="R164" s="2085"/>
      <c r="S164" s="2085"/>
      <c r="T164" s="2087"/>
      <c r="U164" s="2087"/>
      <c r="V164" s="2087"/>
      <c r="W164" s="2087"/>
      <c r="X164" s="2087"/>
      <c r="Y164" s="2087"/>
      <c r="Z164" s="2087"/>
      <c r="AA164" s="2087"/>
      <c r="AB164" s="2089">
        <v>0</v>
      </c>
      <c r="AC164" s="2089"/>
      <c r="AD164" s="2089"/>
      <c r="AE164" s="2089"/>
      <c r="AF164" s="2089"/>
      <c r="AG164" s="2090"/>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92" t="s">
        <v>233</v>
      </c>
      <c r="D165" s="2093"/>
      <c r="E165" s="2093"/>
      <c r="F165" s="2094" t="s">
        <v>2012</v>
      </c>
      <c r="G165" s="2094"/>
      <c r="H165" s="2094"/>
      <c r="I165" s="2094"/>
      <c r="J165" s="2094"/>
      <c r="K165" s="2094"/>
      <c r="L165" s="2094"/>
      <c r="M165" s="2094"/>
      <c r="N165" s="2094"/>
      <c r="O165" s="2094"/>
      <c r="P165" s="2094"/>
      <c r="Q165" s="2095">
        <v>55</v>
      </c>
      <c r="R165" s="2095"/>
      <c r="S165" s="2095"/>
      <c r="T165" s="2096"/>
      <c r="U165" s="2096"/>
      <c r="V165" s="2096"/>
      <c r="W165" s="2096"/>
      <c r="X165" s="2096"/>
      <c r="Y165" s="2096"/>
      <c r="Z165" s="2096"/>
      <c r="AA165" s="2096"/>
      <c r="AB165" s="2097">
        <v>0</v>
      </c>
      <c r="AC165" s="2097"/>
      <c r="AD165" s="2097"/>
      <c r="AE165" s="2097"/>
      <c r="AF165" s="2097"/>
      <c r="AG165" s="2098"/>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95" t="s">
        <v>2013</v>
      </c>
      <c r="D167" s="1996"/>
      <c r="E167" s="1996"/>
      <c r="F167" s="1996"/>
      <c r="G167" s="1996"/>
      <c r="H167" s="1996"/>
      <c r="I167" s="1996"/>
      <c r="J167" s="1996"/>
      <c r="K167" s="1996"/>
      <c r="L167" s="1996"/>
      <c r="M167" s="1996"/>
      <c r="N167" s="2034"/>
      <c r="O167" s="1097"/>
      <c r="P167" s="2099" t="s">
        <v>2014</v>
      </c>
      <c r="Q167" s="2100"/>
      <c r="R167" s="2100"/>
      <c r="S167" s="2100"/>
      <c r="T167" s="2100"/>
      <c r="U167" s="2100"/>
      <c r="V167" s="2100"/>
      <c r="W167" s="2100"/>
      <c r="X167" s="2100"/>
      <c r="Y167" s="2100"/>
      <c r="Z167" s="2100"/>
      <c r="AA167" s="2100"/>
      <c r="AB167" s="2100"/>
      <c r="AC167" s="2100"/>
      <c r="AD167" s="2100"/>
      <c r="AE167" s="2100"/>
      <c r="AF167" s="2100"/>
      <c r="AG167" s="2100"/>
      <c r="AH167" s="2100"/>
      <c r="AI167" s="2100"/>
      <c r="AJ167" s="2100"/>
      <c r="AK167" s="2100"/>
      <c r="AL167" s="2100"/>
      <c r="AM167" s="2100"/>
      <c r="AN167" s="2100"/>
      <c r="AO167" s="2101"/>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77" t="s">
        <v>2015</v>
      </c>
      <c r="D168" s="2078"/>
      <c r="E168" s="2078"/>
      <c r="F168" s="2078"/>
      <c r="G168" s="2078"/>
      <c r="H168" s="2078"/>
      <c r="I168" s="2078" t="s">
        <v>2016</v>
      </c>
      <c r="J168" s="2078"/>
      <c r="K168" s="2078"/>
      <c r="L168" s="2078"/>
      <c r="M168" s="2078"/>
      <c r="N168" s="2088"/>
      <c r="O168" s="1097"/>
      <c r="P168" s="1999" t="s">
        <v>1964</v>
      </c>
      <c r="Q168" s="2000"/>
      <c r="R168" s="2000"/>
      <c r="S168" s="2000"/>
      <c r="T168" s="2000"/>
      <c r="U168" s="2000"/>
      <c r="V168" s="2000"/>
      <c r="W168" s="2000"/>
      <c r="X168" s="2000"/>
      <c r="Y168" s="2000"/>
      <c r="Z168" s="2000"/>
      <c r="AA168" s="2000"/>
      <c r="AB168" s="2000"/>
      <c r="AC168" s="2000"/>
      <c r="AD168" s="2000"/>
      <c r="AE168" s="2000"/>
      <c r="AF168" s="2000"/>
      <c r="AG168" s="2000"/>
      <c r="AH168" s="2000"/>
      <c r="AI168" s="2000"/>
      <c r="AJ168" s="2000"/>
      <c r="AK168" s="2000"/>
      <c r="AL168" s="2000"/>
      <c r="AM168" s="2000"/>
      <c r="AN168" s="2000"/>
      <c r="AO168" s="2001"/>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2005"/>
      <c r="D169" s="1955"/>
      <c r="E169" s="1955"/>
      <c r="F169" s="1955"/>
      <c r="G169" s="1955"/>
      <c r="H169" s="1955"/>
      <c r="I169" s="2086"/>
      <c r="J169" s="2086"/>
      <c r="K169" s="2086"/>
      <c r="L169" s="2086"/>
      <c r="M169" s="2086"/>
      <c r="N169" s="2102"/>
      <c r="O169" s="1097"/>
      <c r="P169" s="1999"/>
      <c r="Q169" s="2000"/>
      <c r="R169" s="2000"/>
      <c r="S169" s="2000"/>
      <c r="T169" s="2000"/>
      <c r="U169" s="2000"/>
      <c r="V169" s="2000"/>
      <c r="W169" s="2000"/>
      <c r="X169" s="2000"/>
      <c r="Y169" s="2000"/>
      <c r="Z169" s="2000"/>
      <c r="AA169" s="2000"/>
      <c r="AB169" s="2000"/>
      <c r="AC169" s="2000"/>
      <c r="AD169" s="2000"/>
      <c r="AE169" s="2000"/>
      <c r="AF169" s="2000"/>
      <c r="AG169" s="2000"/>
      <c r="AH169" s="2000"/>
      <c r="AI169" s="2000"/>
      <c r="AJ169" s="2000"/>
      <c r="AK169" s="2000"/>
      <c r="AL169" s="2000"/>
      <c r="AM169" s="2000"/>
      <c r="AN169" s="2000"/>
      <c r="AO169" s="2001"/>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2005"/>
      <c r="D170" s="1955"/>
      <c r="E170" s="1955"/>
      <c r="F170" s="1955"/>
      <c r="G170" s="1955"/>
      <c r="H170" s="1955"/>
      <c r="I170" s="2086"/>
      <c r="J170" s="2086"/>
      <c r="K170" s="2086"/>
      <c r="L170" s="2086"/>
      <c r="M170" s="2086"/>
      <c r="N170" s="2102"/>
      <c r="O170" s="1097"/>
      <c r="P170" s="1999"/>
      <c r="Q170" s="2000"/>
      <c r="R170" s="2000"/>
      <c r="S170" s="2000"/>
      <c r="T170" s="2000"/>
      <c r="U170" s="2000"/>
      <c r="V170" s="2000"/>
      <c r="W170" s="2000"/>
      <c r="X170" s="2000"/>
      <c r="Y170" s="2000"/>
      <c r="Z170" s="2000"/>
      <c r="AA170" s="2000"/>
      <c r="AB170" s="2000"/>
      <c r="AC170" s="2000"/>
      <c r="AD170" s="2000"/>
      <c r="AE170" s="2000"/>
      <c r="AF170" s="2000"/>
      <c r="AG170" s="2000"/>
      <c r="AH170" s="2000"/>
      <c r="AI170" s="2000"/>
      <c r="AJ170" s="2000"/>
      <c r="AK170" s="2000"/>
      <c r="AL170" s="2000"/>
      <c r="AM170" s="2000"/>
      <c r="AN170" s="2000"/>
      <c r="AO170" s="2001"/>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2005"/>
      <c r="D171" s="1955"/>
      <c r="E171" s="1955"/>
      <c r="F171" s="1955"/>
      <c r="G171" s="1955"/>
      <c r="H171" s="1955"/>
      <c r="I171" s="2086"/>
      <c r="J171" s="2086"/>
      <c r="K171" s="2086"/>
      <c r="L171" s="2086"/>
      <c r="M171" s="2086"/>
      <c r="N171" s="2102"/>
      <c r="O171" s="1097"/>
      <c r="P171" s="1999"/>
      <c r="Q171" s="2000"/>
      <c r="R171" s="2000"/>
      <c r="S171" s="2000"/>
      <c r="T171" s="2000"/>
      <c r="U171" s="2000"/>
      <c r="V171" s="2000"/>
      <c r="W171" s="2000"/>
      <c r="X171" s="2000"/>
      <c r="Y171" s="2000"/>
      <c r="Z171" s="2000"/>
      <c r="AA171" s="2000"/>
      <c r="AB171" s="2000"/>
      <c r="AC171" s="2000"/>
      <c r="AD171" s="2000"/>
      <c r="AE171" s="2000"/>
      <c r="AF171" s="2000"/>
      <c r="AG171" s="2000"/>
      <c r="AH171" s="2000"/>
      <c r="AI171" s="2000"/>
      <c r="AJ171" s="2000"/>
      <c r="AK171" s="2000"/>
      <c r="AL171" s="2000"/>
      <c r="AM171" s="2000"/>
      <c r="AN171" s="2000"/>
      <c r="AO171" s="2001"/>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2005"/>
      <c r="D172" s="1955"/>
      <c r="E172" s="1955"/>
      <c r="F172" s="1955"/>
      <c r="G172" s="1955"/>
      <c r="H172" s="1955"/>
      <c r="I172" s="2086"/>
      <c r="J172" s="2086"/>
      <c r="K172" s="2086"/>
      <c r="L172" s="2086"/>
      <c r="M172" s="2086"/>
      <c r="N172" s="2102"/>
      <c r="O172" s="1097"/>
      <c r="P172" s="1999"/>
      <c r="Q172" s="2000"/>
      <c r="R172" s="2000"/>
      <c r="S172" s="2000"/>
      <c r="T172" s="2000"/>
      <c r="U172" s="2000"/>
      <c r="V172" s="2000"/>
      <c r="W172" s="2000"/>
      <c r="X172" s="2000"/>
      <c r="Y172" s="2000"/>
      <c r="Z172" s="2000"/>
      <c r="AA172" s="2000"/>
      <c r="AB172" s="2000"/>
      <c r="AC172" s="2000"/>
      <c r="AD172" s="2000"/>
      <c r="AE172" s="2000"/>
      <c r="AF172" s="2000"/>
      <c r="AG172" s="2000"/>
      <c r="AH172" s="2000"/>
      <c r="AI172" s="2000"/>
      <c r="AJ172" s="2000"/>
      <c r="AK172" s="2000"/>
      <c r="AL172" s="2000"/>
      <c r="AM172" s="2000"/>
      <c r="AN172" s="2000"/>
      <c r="AO172" s="2001"/>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2005"/>
      <c r="D173" s="1955"/>
      <c r="E173" s="1955"/>
      <c r="F173" s="1955"/>
      <c r="G173" s="1955"/>
      <c r="H173" s="1955"/>
      <c r="I173" s="2086"/>
      <c r="J173" s="2086"/>
      <c r="K173" s="2086"/>
      <c r="L173" s="2086"/>
      <c r="M173" s="2086"/>
      <c r="N173" s="2102"/>
      <c r="O173" s="1097"/>
      <c r="P173" s="1999"/>
      <c r="Q173" s="2000"/>
      <c r="R173" s="2000"/>
      <c r="S173" s="2000"/>
      <c r="T173" s="2000"/>
      <c r="U173" s="2000"/>
      <c r="V173" s="2000"/>
      <c r="W173" s="2000"/>
      <c r="X173" s="2000"/>
      <c r="Y173" s="2000"/>
      <c r="Z173" s="2000"/>
      <c r="AA173" s="2000"/>
      <c r="AB173" s="2000"/>
      <c r="AC173" s="2000"/>
      <c r="AD173" s="2000"/>
      <c r="AE173" s="2000"/>
      <c r="AF173" s="2000"/>
      <c r="AG173" s="2000"/>
      <c r="AH173" s="2000"/>
      <c r="AI173" s="2000"/>
      <c r="AJ173" s="2000"/>
      <c r="AK173" s="2000"/>
      <c r="AL173" s="2000"/>
      <c r="AM173" s="2000"/>
      <c r="AN173" s="2000"/>
      <c r="AO173" s="2001"/>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2005"/>
      <c r="D174" s="1955"/>
      <c r="E174" s="1955"/>
      <c r="F174" s="1955"/>
      <c r="G174" s="1955"/>
      <c r="H174" s="1955"/>
      <c r="I174" s="2086"/>
      <c r="J174" s="2086"/>
      <c r="K174" s="2086"/>
      <c r="L174" s="2086"/>
      <c r="M174" s="2086"/>
      <c r="N174" s="2102"/>
      <c r="O174" s="1097"/>
      <c r="P174" s="1999"/>
      <c r="Q174" s="2000"/>
      <c r="R174" s="2000"/>
      <c r="S174" s="2000"/>
      <c r="T174" s="2000"/>
      <c r="U174" s="2000"/>
      <c r="V174" s="2000"/>
      <c r="W174" s="2000"/>
      <c r="X174" s="2000"/>
      <c r="Y174" s="2000"/>
      <c r="Z174" s="2000"/>
      <c r="AA174" s="2000"/>
      <c r="AB174" s="2000"/>
      <c r="AC174" s="2000"/>
      <c r="AD174" s="2000"/>
      <c r="AE174" s="2000"/>
      <c r="AF174" s="2000"/>
      <c r="AG174" s="2000"/>
      <c r="AH174" s="2000"/>
      <c r="AI174" s="2000"/>
      <c r="AJ174" s="2000"/>
      <c r="AK174" s="2000"/>
      <c r="AL174" s="2000"/>
      <c r="AM174" s="2000"/>
      <c r="AN174" s="2000"/>
      <c r="AO174" s="2001"/>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103"/>
      <c r="D175" s="2104"/>
      <c r="E175" s="2104"/>
      <c r="F175" s="2104"/>
      <c r="G175" s="2104"/>
      <c r="H175" s="2104"/>
      <c r="I175" s="2105"/>
      <c r="J175" s="2105"/>
      <c r="K175" s="2105"/>
      <c r="L175" s="2105"/>
      <c r="M175" s="2105"/>
      <c r="N175" s="2106"/>
      <c r="O175" s="1097"/>
      <c r="P175" s="2002"/>
      <c r="Q175" s="2003"/>
      <c r="R175" s="2003"/>
      <c r="S175" s="2003"/>
      <c r="T175" s="2003"/>
      <c r="U175" s="2003"/>
      <c r="V175" s="2003"/>
      <c r="W175" s="2003"/>
      <c r="X175" s="2003"/>
      <c r="Y175" s="2003"/>
      <c r="Z175" s="2003"/>
      <c r="AA175" s="2003"/>
      <c r="AB175" s="2003"/>
      <c r="AC175" s="2003"/>
      <c r="AD175" s="2003"/>
      <c r="AE175" s="2003"/>
      <c r="AF175" s="2003"/>
      <c r="AG175" s="2003"/>
      <c r="AH175" s="2003"/>
      <c r="AI175" s="2003"/>
      <c r="AJ175" s="2003"/>
      <c r="AK175" s="2003"/>
      <c r="AL175" s="2003"/>
      <c r="AM175" s="2003"/>
      <c r="AN175" s="2003"/>
      <c r="AO175" s="2004"/>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110" t="s">
        <v>2017</v>
      </c>
      <c r="D177" s="2111"/>
      <c r="E177" s="2111"/>
      <c r="F177" s="2111"/>
      <c r="G177" s="2111"/>
      <c r="H177" s="2111"/>
      <c r="I177" s="2111"/>
      <c r="J177" s="2111"/>
      <c r="K177" s="2111"/>
      <c r="L177" s="2111"/>
      <c r="M177" s="2111"/>
      <c r="N177" s="2111"/>
      <c r="O177" s="2111"/>
      <c r="P177" s="2111"/>
      <c r="Q177" s="2111"/>
      <c r="R177" s="2111"/>
      <c r="S177" s="2111"/>
      <c r="T177" s="2111"/>
      <c r="U177" s="2111"/>
      <c r="V177" s="2111"/>
      <c r="W177" s="2111"/>
      <c r="X177" s="2111"/>
      <c r="Y177" s="2111"/>
      <c r="Z177" s="2111"/>
      <c r="AA177" s="2111"/>
      <c r="AB177" s="2111"/>
      <c r="AC177" s="2111"/>
      <c r="AD177" s="2111"/>
      <c r="AE177" s="2112"/>
      <c r="AF177" s="1097"/>
      <c r="AG177" s="1097"/>
      <c r="AH177" s="2120"/>
      <c r="AI177" s="2120"/>
      <c r="AJ177" s="2120"/>
      <c r="AK177" s="2120"/>
      <c r="AL177" s="2120"/>
      <c r="AM177" s="2120"/>
      <c r="AN177" s="2120"/>
      <c r="AO177" s="2120"/>
      <c r="AP177" s="2120"/>
      <c r="AQ177" s="2120"/>
      <c r="AR177" s="2120"/>
      <c r="AS177" s="2120"/>
      <c r="AT177" s="2120"/>
      <c r="AU177" s="2120"/>
      <c r="AV177" s="2120"/>
      <c r="AW177" s="2120"/>
      <c r="AX177" s="2120"/>
      <c r="AY177" s="2120"/>
      <c r="AZ177" s="2120"/>
      <c r="BA177" s="2120"/>
      <c r="BB177" s="2120"/>
      <c r="BC177" s="2120"/>
      <c r="BD177" s="2120"/>
      <c r="BE177" s="2120"/>
    </row>
    <row r="178" spans="1:57" ht="15.75" customHeight="1" thickBot="1">
      <c r="A178" s="1097"/>
      <c r="B178" s="1097"/>
      <c r="C178" s="2113"/>
      <c r="D178" s="2114"/>
      <c r="E178" s="2114"/>
      <c r="F178" s="2114"/>
      <c r="G178" s="2114"/>
      <c r="H178" s="2114"/>
      <c r="I178" s="2114"/>
      <c r="J178" s="2114"/>
      <c r="K178" s="2114"/>
      <c r="L178" s="2114"/>
      <c r="M178" s="2114"/>
      <c r="N178" s="2114"/>
      <c r="O178" s="2114"/>
      <c r="P178" s="2114"/>
      <c r="Q178" s="2114"/>
      <c r="R178" s="2114"/>
      <c r="S178" s="2114"/>
      <c r="T178" s="2114"/>
      <c r="U178" s="2114"/>
      <c r="V178" s="2114"/>
      <c r="W178" s="2114"/>
      <c r="X178" s="2114"/>
      <c r="Y178" s="2114"/>
      <c r="Z178" s="2114"/>
      <c r="AA178" s="2114"/>
      <c r="AB178" s="2114"/>
      <c r="AC178" s="2114"/>
      <c r="AD178" s="2114"/>
      <c r="AE178" s="2115"/>
      <c r="AF178" s="1097"/>
      <c r="AG178" s="1097"/>
      <c r="AH178" s="2120"/>
      <c r="AI178" s="2120"/>
      <c r="AJ178" s="2120"/>
      <c r="AK178" s="2120"/>
      <c r="AL178" s="2120"/>
      <c r="AM178" s="2120"/>
      <c r="AN178" s="2120"/>
      <c r="AO178" s="2120"/>
      <c r="AP178" s="2120"/>
      <c r="AQ178" s="2120"/>
      <c r="AR178" s="2120"/>
      <c r="AS178" s="2120"/>
      <c r="AT178" s="2120"/>
      <c r="AU178" s="2120"/>
      <c r="AV178" s="2120"/>
      <c r="AW178" s="2120"/>
      <c r="AX178" s="2120"/>
      <c r="AY178" s="2120"/>
      <c r="AZ178" s="2120"/>
      <c r="BA178" s="2120"/>
      <c r="BB178" s="2120"/>
      <c r="BC178" s="2120"/>
      <c r="BD178" s="2120"/>
      <c r="BE178" s="2120"/>
    </row>
    <row r="179" spans="1:57" ht="15.75" customHeight="1">
      <c r="A179" s="1097"/>
      <c r="B179" s="1097"/>
      <c r="C179" s="1995" t="s">
        <v>2005</v>
      </c>
      <c r="D179" s="1996"/>
      <c r="E179" s="1996"/>
      <c r="F179" s="1996"/>
      <c r="G179" s="1996"/>
      <c r="H179" s="1996"/>
      <c r="I179" s="1996"/>
      <c r="J179" s="1996"/>
      <c r="K179" s="1996"/>
      <c r="L179" s="1996"/>
      <c r="M179" s="1996"/>
      <c r="N179" s="1996" t="s">
        <v>2018</v>
      </c>
      <c r="O179" s="1996"/>
      <c r="P179" s="1996"/>
      <c r="Q179" s="1996"/>
      <c r="R179" s="1996"/>
      <c r="S179" s="1996"/>
      <c r="T179" s="1996"/>
      <c r="U179" s="1949" t="s">
        <v>2005</v>
      </c>
      <c r="V179" s="1949"/>
      <c r="W179" s="1949"/>
      <c r="X179" s="1949"/>
      <c r="Y179" s="1949"/>
      <c r="Z179" s="1949"/>
      <c r="AA179" s="1949"/>
      <c r="AB179" s="1949"/>
      <c r="AC179" s="1949"/>
      <c r="AD179" s="1949"/>
      <c r="AE179" s="1950"/>
      <c r="AF179" s="1097"/>
      <c r="AG179" s="1097"/>
      <c r="AH179" s="2120"/>
      <c r="AI179" s="2120"/>
      <c r="AJ179" s="2120"/>
      <c r="AK179" s="2120"/>
      <c r="AL179" s="2120"/>
      <c r="AM179" s="2120"/>
      <c r="AN179" s="2120"/>
      <c r="AO179" s="2120"/>
      <c r="AP179" s="2120"/>
      <c r="AQ179" s="2120"/>
      <c r="AR179" s="2120"/>
      <c r="AS179" s="2120"/>
      <c r="AT179" s="2120"/>
      <c r="AU179" s="2120"/>
      <c r="AV179" s="2120"/>
      <c r="AW179" s="2120"/>
      <c r="AX179" s="2120"/>
      <c r="AY179" s="2120"/>
      <c r="AZ179" s="2120"/>
      <c r="BA179" s="2120"/>
      <c r="BB179" s="2120"/>
      <c r="BC179" s="2120"/>
      <c r="BD179" s="2120"/>
      <c r="BE179" s="2120"/>
    </row>
    <row r="180" spans="1:57" ht="15.75" customHeight="1">
      <c r="A180" s="1097"/>
      <c r="B180" s="1097"/>
      <c r="C180" s="2107" t="s">
        <v>2019</v>
      </c>
      <c r="D180" s="2108"/>
      <c r="E180" s="2108"/>
      <c r="F180" s="2108"/>
      <c r="G180" s="2108"/>
      <c r="H180" s="2108"/>
      <c r="I180" s="2108"/>
      <c r="J180" s="2108"/>
      <c r="K180" s="2108"/>
      <c r="L180" s="2108"/>
      <c r="M180" s="2108"/>
      <c r="N180" s="2109">
        <f>'Sources and Uses Budget'!B105</f>
        <v>18560657</v>
      </c>
      <c r="O180" s="2109"/>
      <c r="P180" s="2109"/>
      <c r="Q180" s="2109"/>
      <c r="R180" s="2109"/>
      <c r="S180" s="2109"/>
      <c r="T180" s="2109"/>
      <c r="U180" s="2121"/>
      <c r="V180" s="2121"/>
      <c r="W180" s="2121"/>
      <c r="X180" s="2121"/>
      <c r="Y180" s="2121"/>
      <c r="Z180" s="2121"/>
      <c r="AA180" s="2121"/>
      <c r="AB180" s="2121"/>
      <c r="AC180" s="2121"/>
      <c r="AD180" s="2121"/>
      <c r="AE180" s="2122"/>
      <c r="AF180" s="1097"/>
      <c r="AG180" s="1097"/>
      <c r="AH180" s="2120"/>
      <c r="AI180" s="2120"/>
      <c r="AJ180" s="2120"/>
      <c r="AK180" s="2120"/>
      <c r="AL180" s="2120"/>
      <c r="AM180" s="2120"/>
      <c r="AN180" s="2120"/>
      <c r="AO180" s="2120"/>
      <c r="AP180" s="2120"/>
      <c r="AQ180" s="2120"/>
      <c r="AR180" s="2120"/>
      <c r="AS180" s="2120"/>
      <c r="AT180" s="2120"/>
      <c r="AU180" s="2120"/>
      <c r="AV180" s="2120"/>
      <c r="AW180" s="2120"/>
      <c r="AX180" s="2120"/>
      <c r="AY180" s="2120"/>
      <c r="AZ180" s="2120"/>
      <c r="BA180" s="2120"/>
      <c r="BB180" s="2120"/>
      <c r="BC180" s="2120"/>
      <c r="BD180" s="2120"/>
      <c r="BE180" s="2120"/>
    </row>
    <row r="181" spans="1:57" ht="15.75" customHeight="1">
      <c r="A181" s="1097"/>
      <c r="B181" s="1097"/>
      <c r="C181" s="2107" t="s">
        <v>2020</v>
      </c>
      <c r="D181" s="2108"/>
      <c r="E181" s="2108"/>
      <c r="F181" s="2108"/>
      <c r="G181" s="2108"/>
      <c r="H181" s="2108"/>
      <c r="I181" s="2108"/>
      <c r="J181" s="2108"/>
      <c r="K181" s="2108"/>
      <c r="L181" s="2108"/>
      <c r="M181" s="2108"/>
      <c r="N181" s="2109">
        <f>N180/J29</f>
        <v>515573.80555555556</v>
      </c>
      <c r="O181" s="2109"/>
      <c r="P181" s="2109"/>
      <c r="Q181" s="2109"/>
      <c r="R181" s="2109"/>
      <c r="S181" s="2109"/>
      <c r="T181" s="2109"/>
      <c r="U181" s="1134"/>
      <c r="V181" s="1134"/>
      <c r="W181" s="1134"/>
      <c r="X181" s="1134"/>
      <c r="Y181" s="1134"/>
      <c r="Z181" s="1134"/>
      <c r="AA181" s="1134"/>
      <c r="AB181" s="1134"/>
      <c r="AC181" s="1134"/>
      <c r="AD181" s="1134"/>
      <c r="AE181" s="1135"/>
      <c r="AF181" s="1097"/>
      <c r="AG181" s="1097"/>
      <c r="AH181" s="2120"/>
      <c r="AI181" s="2120"/>
      <c r="AJ181" s="2120"/>
      <c r="AK181" s="2120"/>
      <c r="AL181" s="2120"/>
      <c r="AM181" s="2120"/>
      <c r="AN181" s="2120"/>
      <c r="AO181" s="2120"/>
      <c r="AP181" s="2120"/>
      <c r="AQ181" s="2120"/>
      <c r="AR181" s="2120"/>
      <c r="AS181" s="2120"/>
      <c r="AT181" s="2120"/>
      <c r="AU181" s="2120"/>
      <c r="AV181" s="2120"/>
      <c r="AW181" s="2120"/>
      <c r="AX181" s="2120"/>
      <c r="AY181" s="2120"/>
      <c r="AZ181" s="2120"/>
      <c r="BA181" s="2120"/>
      <c r="BB181" s="2120"/>
      <c r="BC181" s="2120"/>
      <c r="BD181" s="2120"/>
      <c r="BE181" s="2120"/>
    </row>
    <row r="182" spans="1:57" ht="15.75" customHeight="1">
      <c r="A182" s="1097"/>
      <c r="B182" s="1097"/>
      <c r="C182" s="2123" t="s">
        <v>2021</v>
      </c>
      <c r="D182" s="2124"/>
      <c r="E182" s="2124"/>
      <c r="F182" s="2124"/>
      <c r="G182" s="2124"/>
      <c r="H182" s="2124"/>
      <c r="I182" s="2124"/>
      <c r="J182" s="2124"/>
      <c r="K182" s="2124"/>
      <c r="L182" s="2124"/>
      <c r="M182" s="2124"/>
      <c r="N182" s="1989">
        <v>0</v>
      </c>
      <c r="O182" s="1989"/>
      <c r="P182" s="1989"/>
      <c r="Q182" s="1989"/>
      <c r="R182" s="1989"/>
      <c r="S182" s="1989"/>
      <c r="T182" s="1989"/>
      <c r="U182" s="1967"/>
      <c r="V182" s="1967"/>
      <c r="W182" s="1967"/>
      <c r="X182" s="1967"/>
      <c r="Y182" s="1967"/>
      <c r="Z182" s="1967"/>
      <c r="AA182" s="1967"/>
      <c r="AB182" s="1967"/>
      <c r="AC182" s="1967"/>
      <c r="AD182" s="1967"/>
      <c r="AE182" s="1968"/>
      <c r="AF182" s="1097"/>
      <c r="AG182" s="1097"/>
      <c r="AH182" s="2120"/>
      <c r="AI182" s="2120"/>
      <c r="AJ182" s="2120"/>
      <c r="AK182" s="2120"/>
      <c r="AL182" s="2120"/>
      <c r="AM182" s="2120"/>
      <c r="AN182" s="2120"/>
      <c r="AO182" s="2120"/>
      <c r="AP182" s="2120"/>
      <c r="AQ182" s="2120"/>
      <c r="AR182" s="2120"/>
      <c r="AS182" s="2120"/>
      <c r="AT182" s="2120"/>
      <c r="AU182" s="2120"/>
      <c r="AV182" s="2120"/>
      <c r="AW182" s="2120"/>
      <c r="AX182" s="2120"/>
      <c r="AY182" s="2120"/>
      <c r="AZ182" s="2120"/>
      <c r="BA182" s="2120"/>
      <c r="BB182" s="2120"/>
      <c r="BC182" s="2120"/>
      <c r="BD182" s="2120"/>
      <c r="BE182" s="2120"/>
    </row>
    <row r="183" spans="1:57" ht="15.75" customHeight="1" thickBot="1">
      <c r="A183" s="1097"/>
      <c r="B183" s="1097"/>
      <c r="C183" s="2107" t="s">
        <v>2022</v>
      </c>
      <c r="D183" s="2108"/>
      <c r="E183" s="2108"/>
      <c r="F183" s="2108"/>
      <c r="G183" s="2108"/>
      <c r="H183" s="2108"/>
      <c r="I183" s="2108"/>
      <c r="J183" s="2108"/>
      <c r="K183" s="2108"/>
      <c r="L183" s="2108"/>
      <c r="M183" s="2108"/>
      <c r="N183" s="2125">
        <f>SUM('Sources and Uses Budget'!B85:B86)</f>
        <v>60000</v>
      </c>
      <c r="O183" s="2125"/>
      <c r="P183" s="2125"/>
      <c r="Q183" s="2125"/>
      <c r="R183" s="2125"/>
      <c r="S183" s="2125"/>
      <c r="T183" s="2125"/>
      <c r="U183" s="1967"/>
      <c r="V183" s="1967"/>
      <c r="W183" s="1967"/>
      <c r="X183" s="1967"/>
      <c r="Y183" s="1967"/>
      <c r="Z183" s="1967"/>
      <c r="AA183" s="1967"/>
      <c r="AB183" s="1967"/>
      <c r="AC183" s="1967"/>
      <c r="AD183" s="1967"/>
      <c r="AE183" s="1968"/>
      <c r="AF183" s="1097"/>
      <c r="AG183" s="1097"/>
      <c r="AH183" s="2120"/>
      <c r="AI183" s="2120"/>
      <c r="AJ183" s="2120"/>
      <c r="AK183" s="2120"/>
      <c r="AL183" s="2120"/>
      <c r="AM183" s="2120"/>
      <c r="AN183" s="2120"/>
      <c r="AO183" s="2120"/>
      <c r="AP183" s="2120"/>
      <c r="AQ183" s="2120"/>
      <c r="AR183" s="2120"/>
      <c r="AS183" s="2120"/>
      <c r="AT183" s="2120"/>
      <c r="AU183" s="2120"/>
      <c r="AV183" s="2120"/>
      <c r="AW183" s="2120"/>
      <c r="AX183" s="2120"/>
      <c r="AY183" s="2120"/>
      <c r="AZ183" s="2120"/>
      <c r="BA183" s="2120"/>
      <c r="BB183" s="2120"/>
      <c r="BC183" s="2120"/>
      <c r="BD183" s="2120"/>
      <c r="BE183" s="2120"/>
    </row>
    <row r="184" spans="1:57" ht="15.75" customHeight="1" thickBot="1">
      <c r="A184" s="1097"/>
      <c r="B184" s="1097"/>
      <c r="C184" s="2107" t="s">
        <v>2023</v>
      </c>
      <c r="D184" s="2108"/>
      <c r="E184" s="2108"/>
      <c r="F184" s="2108"/>
      <c r="G184" s="2108"/>
      <c r="H184" s="2108"/>
      <c r="I184" s="2108"/>
      <c r="J184" s="2108"/>
      <c r="K184" s="2108"/>
      <c r="L184" s="2108"/>
      <c r="M184" s="2108"/>
      <c r="N184" s="2125">
        <f>'Sources and Uses Budget'!B8</f>
        <v>560000</v>
      </c>
      <c r="O184" s="2125"/>
      <c r="P184" s="2125"/>
      <c r="Q184" s="2125"/>
      <c r="R184" s="2125"/>
      <c r="S184" s="2125"/>
      <c r="T184" s="2125"/>
      <c r="U184" s="1967"/>
      <c r="V184" s="1967"/>
      <c r="W184" s="1967"/>
      <c r="X184" s="1967"/>
      <c r="Y184" s="1967"/>
      <c r="Z184" s="1967"/>
      <c r="AA184" s="1967"/>
      <c r="AB184" s="1967"/>
      <c r="AC184" s="1967"/>
      <c r="AD184" s="1967"/>
      <c r="AE184" s="1968"/>
      <c r="AF184" s="1097"/>
      <c r="AG184" s="1097"/>
      <c r="AH184" s="2129" t="s">
        <v>1430</v>
      </c>
      <c r="AI184" s="2130"/>
      <c r="AJ184" s="2130"/>
      <c r="AK184" s="2130"/>
      <c r="AL184" s="2130"/>
      <c r="AM184" s="2130"/>
      <c r="AN184" s="2130"/>
      <c r="AO184" s="2130"/>
      <c r="AP184" s="2130"/>
      <c r="AQ184" s="2130"/>
      <c r="AR184" s="2130"/>
      <c r="AS184" s="2130"/>
      <c r="AT184" s="2130"/>
      <c r="AU184" s="2130"/>
      <c r="AV184" s="2130"/>
      <c r="AW184" s="2130"/>
      <c r="AX184" s="2130"/>
      <c r="AY184" s="2130"/>
      <c r="AZ184" s="2130"/>
      <c r="BA184" s="2130"/>
      <c r="BB184" s="2130"/>
      <c r="BC184" s="2130"/>
      <c r="BD184" s="2130"/>
      <c r="BE184" s="2131"/>
    </row>
    <row r="185" spans="1:57" ht="15.75" customHeight="1">
      <c r="A185" s="1097"/>
      <c r="B185" s="1097"/>
      <c r="C185" s="2107" t="s">
        <v>2024</v>
      </c>
      <c r="D185" s="2108"/>
      <c r="E185" s="2108"/>
      <c r="F185" s="2108"/>
      <c r="G185" s="2108"/>
      <c r="H185" s="2108"/>
      <c r="I185" s="2108"/>
      <c r="J185" s="2108"/>
      <c r="K185" s="2108"/>
      <c r="L185" s="2108"/>
      <c r="M185" s="2108"/>
      <c r="N185" s="2116">
        <v>0</v>
      </c>
      <c r="O185" s="2116"/>
      <c r="P185" s="2116"/>
      <c r="Q185" s="2116"/>
      <c r="R185" s="2116"/>
      <c r="S185" s="2116"/>
      <c r="T185" s="2116"/>
      <c r="U185" s="1967"/>
      <c r="V185" s="1967"/>
      <c r="W185" s="1967"/>
      <c r="X185" s="1967"/>
      <c r="Y185" s="1967"/>
      <c r="Z185" s="1967"/>
      <c r="AA185" s="1967"/>
      <c r="AB185" s="1967"/>
      <c r="AC185" s="1967"/>
      <c r="AD185" s="1967"/>
      <c r="AE185" s="1968"/>
      <c r="AF185" s="1097"/>
      <c r="AG185" s="1097"/>
      <c r="AH185" s="2132" t="s">
        <v>1430</v>
      </c>
      <c r="AI185" s="2133"/>
      <c r="AJ185" s="2133"/>
      <c r="AK185" s="2133"/>
      <c r="AL185" s="2133"/>
      <c r="AM185" s="2133"/>
      <c r="AN185" s="2133"/>
      <c r="AO185" s="2133"/>
      <c r="AP185" s="2133"/>
      <c r="AQ185" s="2133"/>
      <c r="AR185" s="2133"/>
      <c r="AS185" s="2133"/>
      <c r="AT185" s="2133"/>
      <c r="AU185" s="2134">
        <v>0</v>
      </c>
      <c r="AV185" s="2134"/>
      <c r="AW185" s="2134"/>
      <c r="AX185" s="2134"/>
      <c r="AY185" s="2134"/>
      <c r="AZ185" s="2134"/>
      <c r="BA185" s="2134"/>
      <c r="BB185" s="2134"/>
      <c r="BC185" s="2135"/>
      <c r="BD185" s="2136"/>
      <c r="BE185" s="2137"/>
    </row>
    <row r="186" spans="1:57" ht="15.75" customHeight="1">
      <c r="A186" s="1097"/>
      <c r="B186" s="1097"/>
      <c r="C186" s="2107" t="s">
        <v>2025</v>
      </c>
      <c r="D186" s="2108"/>
      <c r="E186" s="2108"/>
      <c r="F186" s="2108"/>
      <c r="G186" s="2108"/>
      <c r="H186" s="2108"/>
      <c r="I186" s="2108"/>
      <c r="J186" s="2108"/>
      <c r="K186" s="2108"/>
      <c r="L186" s="2108"/>
      <c r="M186" s="2108"/>
      <c r="N186" s="2116">
        <v>0</v>
      </c>
      <c r="O186" s="2116"/>
      <c r="P186" s="2116"/>
      <c r="Q186" s="2116"/>
      <c r="R186" s="2116"/>
      <c r="S186" s="2116"/>
      <c r="T186" s="2116"/>
      <c r="U186" s="1967"/>
      <c r="V186" s="1967"/>
      <c r="W186" s="1967"/>
      <c r="X186" s="1967"/>
      <c r="Y186" s="1967"/>
      <c r="Z186" s="1967"/>
      <c r="AA186" s="1967"/>
      <c r="AB186" s="1967"/>
      <c r="AC186" s="1967"/>
      <c r="AD186" s="1967"/>
      <c r="AE186" s="1968"/>
      <c r="AF186" s="1097"/>
      <c r="AG186" s="1097"/>
      <c r="AH186" s="2117" t="s">
        <v>2026</v>
      </c>
      <c r="AI186" s="2118"/>
      <c r="AJ186" s="2118"/>
      <c r="AK186" s="2118"/>
      <c r="AL186" s="2118"/>
      <c r="AM186" s="2118"/>
      <c r="AN186" s="2118"/>
      <c r="AO186" s="2118"/>
      <c r="AP186" s="2118"/>
      <c r="AQ186" s="2118"/>
      <c r="AR186" s="2118"/>
      <c r="AS186" s="2118"/>
      <c r="AT186" s="2118"/>
      <c r="AU186" s="2119"/>
      <c r="AV186" s="2119"/>
      <c r="AW186" s="2119"/>
      <c r="AX186" s="2119"/>
      <c r="AY186" s="2119"/>
      <c r="AZ186" s="2119"/>
      <c r="BA186" s="2119"/>
      <c r="BB186" s="2119"/>
      <c r="BC186" s="2126"/>
      <c r="BD186" s="2127"/>
      <c r="BE186" s="2128"/>
    </row>
    <row r="187" spans="1:57" ht="15.75" customHeight="1">
      <c r="A187" s="1097"/>
      <c r="B187" s="1097"/>
      <c r="C187" s="2142" t="s">
        <v>1068</v>
      </c>
      <c r="D187" s="2085"/>
      <c r="E187" s="2138" t="s">
        <v>2012</v>
      </c>
      <c r="F187" s="2138"/>
      <c r="G187" s="2138"/>
      <c r="H187" s="2138"/>
      <c r="I187" s="2138"/>
      <c r="J187" s="2138"/>
      <c r="K187" s="2138"/>
      <c r="L187" s="2138"/>
      <c r="M187" s="2138"/>
      <c r="N187" s="2116">
        <v>0</v>
      </c>
      <c r="O187" s="2116"/>
      <c r="P187" s="2116"/>
      <c r="Q187" s="2116"/>
      <c r="R187" s="2116"/>
      <c r="S187" s="2116"/>
      <c r="T187" s="2116"/>
      <c r="U187" s="1967"/>
      <c r="V187" s="1967"/>
      <c r="W187" s="1967"/>
      <c r="X187" s="1967"/>
      <c r="Y187" s="1967"/>
      <c r="Z187" s="1967"/>
      <c r="AA187" s="1967"/>
      <c r="AB187" s="1967"/>
      <c r="AC187" s="1967"/>
      <c r="AD187" s="1967"/>
      <c r="AE187" s="1968"/>
      <c r="AF187" s="1097"/>
      <c r="AG187" s="1097"/>
      <c r="AH187" s="2143" t="s">
        <v>2027</v>
      </c>
      <c r="AI187" s="2144"/>
      <c r="AJ187" s="2144"/>
      <c r="AK187" s="2144"/>
      <c r="AL187" s="2144"/>
      <c r="AM187" s="2144"/>
      <c r="AN187" s="2144"/>
      <c r="AO187" s="2144"/>
      <c r="AP187" s="2144"/>
      <c r="AQ187" s="2144"/>
      <c r="AR187" s="2144"/>
      <c r="AS187" s="2144"/>
      <c r="AT187" s="2144"/>
      <c r="AU187" s="2145">
        <f>SUM(AU185:BB186)</f>
        <v>0</v>
      </c>
      <c r="AV187" s="2145"/>
      <c r="AW187" s="2145"/>
      <c r="AX187" s="2145"/>
      <c r="AY187" s="2145"/>
      <c r="AZ187" s="2145"/>
      <c r="BA187" s="2145"/>
      <c r="BB187" s="2145"/>
      <c r="BC187" s="2126"/>
      <c r="BD187" s="2127"/>
      <c r="BE187" s="2128"/>
    </row>
    <row r="188" spans="1:57" ht="15.75" customHeight="1" thickBot="1">
      <c r="A188" s="1097"/>
      <c r="B188" s="1097"/>
      <c r="C188" s="2005" t="s">
        <v>1068</v>
      </c>
      <c r="D188" s="1955"/>
      <c r="E188" s="2138" t="s">
        <v>2012</v>
      </c>
      <c r="F188" s="2138"/>
      <c r="G188" s="2138"/>
      <c r="H188" s="2138"/>
      <c r="I188" s="2138"/>
      <c r="J188" s="2138"/>
      <c r="K188" s="2138"/>
      <c r="L188" s="2138"/>
      <c r="M188" s="2138"/>
      <c r="N188" s="2116">
        <v>0</v>
      </c>
      <c r="O188" s="2116"/>
      <c r="P188" s="2116"/>
      <c r="Q188" s="2116"/>
      <c r="R188" s="2116"/>
      <c r="S188" s="2116"/>
      <c r="T188" s="2116"/>
      <c r="U188" s="1967"/>
      <c r="V188" s="1967"/>
      <c r="W188" s="1967"/>
      <c r="X188" s="1967"/>
      <c r="Y188" s="1967"/>
      <c r="Z188" s="1967"/>
      <c r="AA188" s="1967"/>
      <c r="AB188" s="1967"/>
      <c r="AC188" s="1967"/>
      <c r="AD188" s="1967"/>
      <c r="AE188" s="1968"/>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39"/>
      <c r="BD188" s="2140"/>
      <c r="BE188" s="2141"/>
    </row>
    <row r="189" spans="1:57" ht="15.75" customHeight="1" thickBot="1">
      <c r="A189" s="1097"/>
      <c r="B189" s="1097"/>
      <c r="C189" s="2163" t="s">
        <v>1068</v>
      </c>
      <c r="D189" s="2164"/>
      <c r="E189" s="2165" t="s">
        <v>2012</v>
      </c>
      <c r="F189" s="2165"/>
      <c r="G189" s="2165"/>
      <c r="H189" s="2165"/>
      <c r="I189" s="2165"/>
      <c r="J189" s="2165"/>
      <c r="K189" s="2165"/>
      <c r="L189" s="2165"/>
      <c r="M189" s="2166"/>
      <c r="N189" s="2167">
        <v>0</v>
      </c>
      <c r="O189" s="2167"/>
      <c r="P189" s="2167"/>
      <c r="Q189" s="2167"/>
      <c r="R189" s="2167"/>
      <c r="S189" s="2167"/>
      <c r="T189" s="2168"/>
      <c r="U189" s="2169"/>
      <c r="V189" s="2170"/>
      <c r="W189" s="2170"/>
      <c r="X189" s="2170"/>
      <c r="Y189" s="2170"/>
      <c r="Z189" s="2170"/>
      <c r="AA189" s="2170"/>
      <c r="AB189" s="2170"/>
      <c r="AC189" s="2170"/>
      <c r="AD189" s="2170"/>
      <c r="AE189" s="2171"/>
      <c r="AF189" s="1097"/>
      <c r="AG189" s="1097"/>
      <c r="AH189" s="2172" t="s">
        <v>2028</v>
      </c>
      <c r="AI189" s="2173"/>
      <c r="AJ189" s="2173"/>
      <c r="AK189" s="2173"/>
      <c r="AL189" s="2173"/>
      <c r="AM189" s="2173"/>
      <c r="AN189" s="2173"/>
      <c r="AO189" s="2173"/>
      <c r="AP189" s="2173"/>
      <c r="AQ189" s="2173"/>
      <c r="AR189" s="2173"/>
      <c r="AS189" s="2173"/>
      <c r="AT189" s="2173"/>
      <c r="AU189" s="2174"/>
      <c r="AV189" s="2174"/>
      <c r="AW189" s="2174"/>
      <c r="AX189" s="2174"/>
      <c r="AY189" s="2174"/>
      <c r="AZ189" s="2174"/>
      <c r="BA189" s="2174"/>
      <c r="BB189" s="2174"/>
      <c r="BC189" s="1053"/>
      <c r="BD189" s="1053"/>
      <c r="BE189" s="1138"/>
    </row>
    <row r="190" spans="1:57" ht="15.75" customHeight="1">
      <c r="A190" s="1097"/>
      <c r="B190" s="1097"/>
      <c r="C190" s="2146" t="s">
        <v>2029</v>
      </c>
      <c r="D190" s="2147"/>
      <c r="E190" s="2147"/>
      <c r="F190" s="2147"/>
      <c r="G190" s="2147"/>
      <c r="H190" s="2147"/>
      <c r="I190" s="2147"/>
      <c r="J190" s="2147"/>
      <c r="K190" s="2147"/>
      <c r="L190" s="2147"/>
      <c r="M190" s="2147"/>
      <c r="N190" s="2148">
        <f>SUM(N182:T189)</f>
        <v>620000</v>
      </c>
      <c r="O190" s="2148"/>
      <c r="P190" s="2148"/>
      <c r="Q190" s="2148"/>
      <c r="R190" s="2148"/>
      <c r="S190" s="2148"/>
      <c r="T190" s="2149"/>
      <c r="U190" s="1097"/>
      <c r="V190" s="1097"/>
      <c r="W190" s="1097"/>
      <c r="X190" s="1097"/>
      <c r="Y190" s="1097"/>
      <c r="Z190" s="1097"/>
      <c r="AA190" s="1097"/>
      <c r="AB190" s="1097"/>
      <c r="AC190" s="1097"/>
      <c r="AD190" s="1097"/>
      <c r="AE190" s="1097"/>
      <c r="AF190" s="1097"/>
      <c r="AG190" s="1097"/>
      <c r="AH190" s="2150" t="s">
        <v>2030</v>
      </c>
      <c r="AI190" s="2151"/>
      <c r="AJ190" s="2151"/>
      <c r="AK190" s="2151"/>
      <c r="AL190" s="2151"/>
      <c r="AM190" s="2151"/>
      <c r="AN190" s="2151"/>
      <c r="AO190" s="2151"/>
      <c r="AP190" s="2151"/>
      <c r="AQ190" s="2151"/>
      <c r="AR190" s="2151"/>
      <c r="AS190" s="2151"/>
      <c r="AT190" s="2151"/>
      <c r="AU190" s="2151"/>
      <c r="AV190" s="2151"/>
      <c r="AW190" s="2151"/>
      <c r="AX190" s="2151"/>
      <c r="AY190" s="2151"/>
      <c r="AZ190" s="2151"/>
      <c r="BA190" s="2151"/>
      <c r="BB190" s="2151"/>
      <c r="BC190" s="2151"/>
      <c r="BD190" s="2151"/>
      <c r="BE190" s="2152"/>
    </row>
    <row r="191" spans="1:57" ht="15.75" customHeight="1" thickBot="1">
      <c r="A191" s="1097"/>
      <c r="B191" s="1097"/>
      <c r="C191" s="2156" t="s">
        <v>2031</v>
      </c>
      <c r="D191" s="2157"/>
      <c r="E191" s="2157"/>
      <c r="F191" s="2157"/>
      <c r="G191" s="2157"/>
      <c r="H191" s="2157"/>
      <c r="I191" s="2157"/>
      <c r="J191" s="2157"/>
      <c r="K191" s="2157"/>
      <c r="L191" s="2157"/>
      <c r="M191" s="2157"/>
      <c r="N191" s="2158">
        <f>(N180-N190)/J29</f>
        <v>498351.58333333331</v>
      </c>
      <c r="O191" s="2159"/>
      <c r="P191" s="2159"/>
      <c r="Q191" s="2159"/>
      <c r="R191" s="2159"/>
      <c r="S191" s="2159"/>
      <c r="T191" s="2160"/>
      <c r="U191" s="1102"/>
      <c r="V191" s="1097"/>
      <c r="W191" s="1097"/>
      <c r="X191" s="1097"/>
      <c r="Y191" s="1097"/>
      <c r="Z191" s="1097"/>
      <c r="AA191" s="1097"/>
      <c r="AB191" s="1097"/>
      <c r="AC191" s="1097"/>
      <c r="AD191" s="1097"/>
      <c r="AE191" s="1097"/>
      <c r="AF191" s="1097"/>
      <c r="AG191" s="1097"/>
      <c r="AH191" s="2153"/>
      <c r="AI191" s="2154"/>
      <c r="AJ191" s="2154"/>
      <c r="AK191" s="2154"/>
      <c r="AL191" s="2154"/>
      <c r="AM191" s="2154"/>
      <c r="AN191" s="2154"/>
      <c r="AO191" s="2154"/>
      <c r="AP191" s="2154"/>
      <c r="AQ191" s="2154"/>
      <c r="AR191" s="2154"/>
      <c r="AS191" s="2154"/>
      <c r="AT191" s="2154"/>
      <c r="AU191" s="2154"/>
      <c r="AV191" s="2154"/>
      <c r="AW191" s="2154"/>
      <c r="AX191" s="2154"/>
      <c r="AY191" s="2154"/>
      <c r="AZ191" s="2154"/>
      <c r="BA191" s="2154"/>
      <c r="BB191" s="2154"/>
      <c r="BC191" s="2154"/>
      <c r="BD191" s="2154"/>
      <c r="BE191" s="2155"/>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61"/>
      <c r="AI192" s="2161"/>
      <c r="AJ192" s="2161"/>
      <c r="AK192" s="2161"/>
      <c r="AL192" s="2161"/>
      <c r="AM192" s="2161"/>
      <c r="AN192" s="2161"/>
      <c r="AO192" s="2161"/>
      <c r="AP192" s="2161"/>
      <c r="AQ192" s="2161"/>
      <c r="AR192" s="2161"/>
      <c r="AS192" s="2162"/>
      <c r="AT192" s="2162"/>
      <c r="AU192" s="2162"/>
      <c r="AV192" s="2162"/>
      <c r="AW192" s="2162"/>
      <c r="AX192" s="2162"/>
      <c r="AY192" s="2162"/>
      <c r="AZ192" s="2162"/>
      <c r="BA192" s="2162"/>
      <c r="BB192" s="2162"/>
      <c r="BC192" s="2162"/>
      <c r="BD192" s="2162"/>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80" t="s">
        <v>2032</v>
      </c>
      <c r="D194" s="2181"/>
      <c r="E194" s="2181"/>
      <c r="F194" s="2181"/>
      <c r="G194" s="2181"/>
      <c r="H194" s="2181"/>
      <c r="I194" s="2181"/>
      <c r="J194" s="2181"/>
      <c r="K194" s="2181"/>
      <c r="L194" s="2181"/>
      <c r="M194" s="2181"/>
      <c r="N194" s="2181"/>
      <c r="O194" s="2181"/>
      <c r="P194" s="2181"/>
      <c r="Q194" s="2181"/>
      <c r="R194" s="2181"/>
      <c r="S194" s="2181"/>
      <c r="T194" s="2181"/>
      <c r="U194" s="2181"/>
      <c r="V194" s="2181"/>
      <c r="W194" s="2181"/>
      <c r="X194" s="2181"/>
      <c r="Y194" s="2181"/>
      <c r="Z194" s="2181"/>
      <c r="AA194" s="2181"/>
      <c r="AB194" s="2181"/>
      <c r="AC194" s="2181"/>
      <c r="AD194" s="2181"/>
      <c r="AE194" s="2182"/>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83" t="s">
        <v>2033</v>
      </c>
      <c r="D195" s="2183"/>
      <c r="E195" s="2183"/>
      <c r="F195" s="2183"/>
      <c r="G195" s="2183"/>
      <c r="H195" s="2183"/>
      <c r="I195" s="2183"/>
      <c r="J195" s="2183"/>
      <c r="K195" s="2183"/>
      <c r="L195" s="2183"/>
      <c r="M195" s="2183"/>
      <c r="N195" s="2183"/>
      <c r="O195" s="2184" t="s">
        <v>2034</v>
      </c>
      <c r="P195" s="2184"/>
      <c r="Q195" s="2184"/>
      <c r="R195" s="2184"/>
      <c r="S195" s="2184"/>
      <c r="T195" s="2184"/>
      <c r="U195" s="2184"/>
      <c r="V195" s="2184"/>
      <c r="W195" s="2184"/>
      <c r="X195" s="2184" t="s">
        <v>2035</v>
      </c>
      <c r="Y195" s="2184"/>
      <c r="Z195" s="2184"/>
      <c r="AA195" s="2184"/>
      <c r="AB195" s="2184"/>
      <c r="AC195" s="2184"/>
      <c r="AD195" s="2184"/>
      <c r="AE195" s="2184"/>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75" t="s">
        <v>2036</v>
      </c>
      <c r="D196" s="2175"/>
      <c r="E196" s="2175"/>
      <c r="F196" s="2175"/>
      <c r="G196" s="2175"/>
      <c r="H196" s="2175"/>
      <c r="I196" s="2175"/>
      <c r="J196" s="2175"/>
      <c r="K196" s="2175"/>
      <c r="L196" s="2175"/>
      <c r="M196" s="2175"/>
      <c r="N196" s="2175"/>
      <c r="O196" s="2176" t="s">
        <v>2037</v>
      </c>
      <c r="P196" s="2176"/>
      <c r="Q196" s="2176"/>
      <c r="R196" s="2176"/>
      <c r="S196" s="2176"/>
      <c r="T196" s="2176"/>
      <c r="U196" s="2176"/>
      <c r="V196" s="2176"/>
      <c r="W196" s="2176"/>
      <c r="X196" s="2177">
        <v>0.03</v>
      </c>
      <c r="Y196" s="2177"/>
      <c r="Z196" s="2177"/>
      <c r="AA196" s="2177"/>
      <c r="AB196" s="2177"/>
      <c r="AC196" s="2177"/>
      <c r="AD196" s="2177"/>
      <c r="AE196" s="2177"/>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75" t="s">
        <v>2038</v>
      </c>
      <c r="D197" s="2175"/>
      <c r="E197" s="2175"/>
      <c r="F197" s="2175"/>
      <c r="G197" s="2175"/>
      <c r="H197" s="2175"/>
      <c r="I197" s="2175"/>
      <c r="J197" s="2175"/>
      <c r="K197" s="2175"/>
      <c r="L197" s="2175"/>
      <c r="M197" s="2175"/>
      <c r="N197" s="2175"/>
      <c r="O197" s="2176" t="s">
        <v>2037</v>
      </c>
      <c r="P197" s="2176"/>
      <c r="Q197" s="2176"/>
      <c r="R197" s="2176"/>
      <c r="S197" s="2176"/>
      <c r="T197" s="2176"/>
      <c r="U197" s="2176"/>
      <c r="V197" s="2176"/>
      <c r="W197" s="2176"/>
      <c r="X197" s="2177">
        <v>0.03</v>
      </c>
      <c r="Y197" s="2177"/>
      <c r="Z197" s="2177"/>
      <c r="AA197" s="2177"/>
      <c r="AB197" s="2177"/>
      <c r="AC197" s="2177"/>
      <c r="AD197" s="2177"/>
      <c r="AE197" s="2177"/>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75" t="s">
        <v>2039</v>
      </c>
      <c r="D198" s="2175"/>
      <c r="E198" s="2175"/>
      <c r="F198" s="2175"/>
      <c r="G198" s="2175"/>
      <c r="H198" s="2175"/>
      <c r="I198" s="2175"/>
      <c r="J198" s="2175"/>
      <c r="K198" s="2175"/>
      <c r="L198" s="2175"/>
      <c r="M198" s="2175"/>
      <c r="N198" s="2175"/>
      <c r="O198" s="2178">
        <f>SUM(O196:W197)</f>
        <v>0</v>
      </c>
      <c r="P198" s="2179"/>
      <c r="Q198" s="2179"/>
      <c r="R198" s="2179"/>
      <c r="S198" s="2179"/>
      <c r="T198" s="2179"/>
      <c r="U198" s="2179"/>
      <c r="V198" s="2179"/>
      <c r="W198" s="2179"/>
      <c r="X198" s="2179" t="s">
        <v>2040</v>
      </c>
      <c r="Y198" s="2179"/>
      <c r="Z198" s="2179"/>
      <c r="AA198" s="2179"/>
      <c r="AB198" s="2179"/>
      <c r="AC198" s="2179"/>
      <c r="AD198" s="2179"/>
      <c r="AE198" s="2179"/>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85" t="s">
        <v>2041</v>
      </c>
      <c r="D199" s="2185"/>
      <c r="E199" s="2185"/>
      <c r="F199" s="2185"/>
      <c r="G199" s="2185"/>
      <c r="H199" s="2185"/>
      <c r="I199" s="2185"/>
      <c r="J199" s="2185"/>
      <c r="K199" s="2185"/>
      <c r="L199" s="2185"/>
      <c r="M199" s="2185"/>
      <c r="N199" s="2185"/>
      <c r="O199" s="2185"/>
      <c r="P199" s="2185"/>
      <c r="Q199" s="2185"/>
      <c r="R199" s="2185"/>
      <c r="S199" s="2185"/>
      <c r="T199" s="2185"/>
      <c r="U199" s="2185"/>
      <c r="V199" s="2185"/>
      <c r="W199" s="2185"/>
      <c r="X199" s="2185"/>
      <c r="Y199" s="2185"/>
      <c r="Z199" s="2185"/>
      <c r="AA199" s="2185"/>
      <c r="AB199" s="2185"/>
      <c r="AC199" s="2185"/>
      <c r="AD199" s="2185"/>
      <c r="AE199" s="2185"/>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86" t="s">
        <v>2042</v>
      </c>
      <c r="D201" s="2187"/>
      <c r="E201" s="2187"/>
      <c r="F201" s="2187"/>
      <c r="G201" s="2187"/>
      <c r="H201" s="2187"/>
      <c r="I201" s="2187"/>
      <c r="J201" s="2187"/>
      <c r="K201" s="2187"/>
      <c r="L201" s="2187"/>
      <c r="M201" s="2187"/>
      <c r="N201" s="2187"/>
      <c r="O201" s="2187"/>
      <c r="P201" s="2187"/>
      <c r="Q201" s="2187"/>
      <c r="R201" s="2187"/>
      <c r="S201" s="2187"/>
      <c r="T201" s="2187"/>
      <c r="U201" s="2187"/>
      <c r="V201" s="2187"/>
      <c r="W201" s="2187"/>
      <c r="X201" s="2187"/>
      <c r="Y201" s="2187"/>
      <c r="Z201" s="2187"/>
      <c r="AA201" s="2187"/>
      <c r="AB201" s="2187"/>
      <c r="AC201" s="2187"/>
      <c r="AD201" s="2187"/>
      <c r="AE201" s="2187"/>
      <c r="AF201" s="2187"/>
      <c r="AG201" s="2187"/>
      <c r="AH201" s="2187"/>
      <c r="AI201" s="2187"/>
      <c r="AJ201" s="2187"/>
      <c r="AK201" s="2188"/>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89" t="s">
        <v>2043</v>
      </c>
      <c r="D202" s="2190"/>
      <c r="E202" s="2190"/>
      <c r="F202" s="2191"/>
      <c r="G202" s="2195" t="s">
        <v>2044</v>
      </c>
      <c r="H202" s="2190"/>
      <c r="I202" s="2190"/>
      <c r="J202" s="2190"/>
      <c r="K202" s="2190"/>
      <c r="L202" s="2190"/>
      <c r="M202" s="2190"/>
      <c r="N202" s="2190"/>
      <c r="O202" s="2191"/>
      <c r="P202" s="2197" t="s">
        <v>2045</v>
      </c>
      <c r="Q202" s="2198"/>
      <c r="R202" s="2198"/>
      <c r="S202" s="2198"/>
      <c r="T202" s="2199"/>
      <c r="U202" s="2203" t="s">
        <v>2046</v>
      </c>
      <c r="V202" s="2204"/>
      <c r="W202" s="2204"/>
      <c r="X202" s="2205"/>
      <c r="Y202" s="2203" t="s">
        <v>2047</v>
      </c>
      <c r="Z202" s="2204"/>
      <c r="AA202" s="2204"/>
      <c r="AB202" s="2205"/>
      <c r="AC202" s="2203" t="s">
        <v>2048</v>
      </c>
      <c r="AD202" s="2204"/>
      <c r="AE202" s="2204"/>
      <c r="AF202" s="2205"/>
      <c r="AG202" s="2195" t="s">
        <v>2049</v>
      </c>
      <c r="AH202" s="2190"/>
      <c r="AI202" s="2190"/>
      <c r="AJ202" s="2190"/>
      <c r="AK202" s="2209"/>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92"/>
      <c r="D203" s="2193"/>
      <c r="E203" s="2193"/>
      <c r="F203" s="2194"/>
      <c r="G203" s="2196"/>
      <c r="H203" s="2193"/>
      <c r="I203" s="2193"/>
      <c r="J203" s="2193"/>
      <c r="K203" s="2193"/>
      <c r="L203" s="2193"/>
      <c r="M203" s="2193"/>
      <c r="N203" s="2193"/>
      <c r="O203" s="2194"/>
      <c r="P203" s="2200"/>
      <c r="Q203" s="2201"/>
      <c r="R203" s="2201"/>
      <c r="S203" s="2201"/>
      <c r="T203" s="2202"/>
      <c r="U203" s="2206"/>
      <c r="V203" s="2207"/>
      <c r="W203" s="2207"/>
      <c r="X203" s="2208"/>
      <c r="Y203" s="2206"/>
      <c r="Z203" s="2207"/>
      <c r="AA203" s="2207"/>
      <c r="AB203" s="2208"/>
      <c r="AC203" s="2206"/>
      <c r="AD203" s="2207"/>
      <c r="AE203" s="2207"/>
      <c r="AF203" s="2208"/>
      <c r="AG203" s="2196"/>
      <c r="AH203" s="2193"/>
      <c r="AI203" s="2193"/>
      <c r="AJ203" s="2193"/>
      <c r="AK203" s="2210"/>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214">
        <v>1</v>
      </c>
      <c r="D204" s="2215"/>
      <c r="E204" s="2215"/>
      <c r="F204" s="2215"/>
      <c r="G204" s="2216" t="s">
        <v>2050</v>
      </c>
      <c r="H204" s="2216"/>
      <c r="I204" s="2216"/>
      <c r="J204" s="2216"/>
      <c r="K204" s="2216"/>
      <c r="L204" s="2216"/>
      <c r="M204" s="2216"/>
      <c r="N204" s="2216"/>
      <c r="O204" s="2216"/>
      <c r="P204" s="2217"/>
      <c r="Q204" s="2220"/>
      <c r="R204" s="2220"/>
      <c r="S204" s="2220"/>
      <c r="T204" s="2220"/>
      <c r="U204" s="2218" t="s">
        <v>2050</v>
      </c>
      <c r="V204" s="2218"/>
      <c r="W204" s="2218"/>
      <c r="X204" s="2218"/>
      <c r="Y204" s="2218" t="s">
        <v>2050</v>
      </c>
      <c r="Z204" s="2218"/>
      <c r="AA204" s="2218"/>
      <c r="AB204" s="2218"/>
      <c r="AC204" s="2219" t="s">
        <v>2050</v>
      </c>
      <c r="AD204" s="2219"/>
      <c r="AE204" s="2219"/>
      <c r="AF204" s="2219"/>
      <c r="AG204" s="2211"/>
      <c r="AH204" s="2212"/>
      <c r="AI204" s="2212"/>
      <c r="AJ204" s="2212"/>
      <c r="AK204" s="2213"/>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214">
        <v>2</v>
      </c>
      <c r="D205" s="2215"/>
      <c r="E205" s="2215"/>
      <c r="F205" s="2215"/>
      <c r="G205" s="2216" t="s">
        <v>2050</v>
      </c>
      <c r="H205" s="2216"/>
      <c r="I205" s="2216"/>
      <c r="J205" s="2216"/>
      <c r="K205" s="2216"/>
      <c r="L205" s="2216"/>
      <c r="M205" s="2216"/>
      <c r="N205" s="2216"/>
      <c r="O205" s="2216"/>
      <c r="P205" s="2217"/>
      <c r="Q205" s="2217"/>
      <c r="R205" s="2217"/>
      <c r="S205" s="2217"/>
      <c r="T205" s="2217"/>
      <c r="U205" s="2218" t="s">
        <v>2050</v>
      </c>
      <c r="V205" s="2218"/>
      <c r="W205" s="2218"/>
      <c r="X205" s="2218"/>
      <c r="Y205" s="2218" t="s">
        <v>2050</v>
      </c>
      <c r="Z205" s="2218"/>
      <c r="AA205" s="2218"/>
      <c r="AB205" s="2218"/>
      <c r="AC205" s="2219" t="s">
        <v>2050</v>
      </c>
      <c r="AD205" s="2219"/>
      <c r="AE205" s="2219"/>
      <c r="AF205" s="2219"/>
      <c r="AG205" s="2211"/>
      <c r="AH205" s="2212"/>
      <c r="AI205" s="2212"/>
      <c r="AJ205" s="2212"/>
      <c r="AK205" s="2213"/>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214">
        <v>3</v>
      </c>
      <c r="D206" s="2215"/>
      <c r="E206" s="2215"/>
      <c r="F206" s="2215"/>
      <c r="G206" s="2216" t="s">
        <v>2050</v>
      </c>
      <c r="H206" s="2216"/>
      <c r="I206" s="2216"/>
      <c r="J206" s="2216"/>
      <c r="K206" s="2216"/>
      <c r="L206" s="2216"/>
      <c r="M206" s="2216"/>
      <c r="N206" s="2216"/>
      <c r="O206" s="2216"/>
      <c r="P206" s="2217"/>
      <c r="Q206" s="2217"/>
      <c r="R206" s="2217"/>
      <c r="S206" s="2217"/>
      <c r="T206" s="2217"/>
      <c r="U206" s="2218" t="s">
        <v>2050</v>
      </c>
      <c r="V206" s="2218"/>
      <c r="W206" s="2218"/>
      <c r="X206" s="2218"/>
      <c r="Y206" s="2218" t="s">
        <v>2050</v>
      </c>
      <c r="Z206" s="2218"/>
      <c r="AA206" s="2218"/>
      <c r="AB206" s="2218"/>
      <c r="AC206" s="2219" t="s">
        <v>2050</v>
      </c>
      <c r="AD206" s="2219"/>
      <c r="AE206" s="2219"/>
      <c r="AF206" s="2219"/>
      <c r="AG206" s="2211"/>
      <c r="AH206" s="2212"/>
      <c r="AI206" s="2212"/>
      <c r="AJ206" s="2212"/>
      <c r="AK206" s="2213"/>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214">
        <v>4</v>
      </c>
      <c r="D207" s="2215"/>
      <c r="E207" s="2215"/>
      <c r="F207" s="2215"/>
      <c r="G207" s="2216" t="s">
        <v>2050</v>
      </c>
      <c r="H207" s="2216"/>
      <c r="I207" s="2216"/>
      <c r="J207" s="2216"/>
      <c r="K207" s="2216"/>
      <c r="L207" s="2216"/>
      <c r="M207" s="2216"/>
      <c r="N207" s="2216"/>
      <c r="O207" s="2216"/>
      <c r="P207" s="2217"/>
      <c r="Q207" s="2217"/>
      <c r="R207" s="2217"/>
      <c r="S207" s="2217"/>
      <c r="T207" s="2217"/>
      <c r="U207" s="2218" t="s">
        <v>2050</v>
      </c>
      <c r="V207" s="2218"/>
      <c r="W207" s="2218"/>
      <c r="X207" s="2218"/>
      <c r="Y207" s="2218" t="s">
        <v>2050</v>
      </c>
      <c r="Z207" s="2218"/>
      <c r="AA207" s="2218"/>
      <c r="AB207" s="2218"/>
      <c r="AC207" s="2219" t="s">
        <v>2050</v>
      </c>
      <c r="AD207" s="2219"/>
      <c r="AE207" s="2219"/>
      <c r="AF207" s="2219"/>
      <c r="AG207" s="2211"/>
      <c r="AH207" s="2212"/>
      <c r="AI207" s="2212"/>
      <c r="AJ207" s="2212"/>
      <c r="AK207" s="2213"/>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214">
        <v>5</v>
      </c>
      <c r="D208" s="2215"/>
      <c r="E208" s="2215"/>
      <c r="F208" s="2215"/>
      <c r="G208" s="2216" t="s">
        <v>2050</v>
      </c>
      <c r="H208" s="2216"/>
      <c r="I208" s="2216"/>
      <c r="J208" s="2216"/>
      <c r="K208" s="2216"/>
      <c r="L208" s="2216"/>
      <c r="M208" s="2216"/>
      <c r="N208" s="2216"/>
      <c r="O208" s="2216"/>
      <c r="P208" s="2217"/>
      <c r="Q208" s="2217"/>
      <c r="R208" s="2217"/>
      <c r="S208" s="2217"/>
      <c r="T208" s="2217"/>
      <c r="U208" s="2218" t="s">
        <v>2050</v>
      </c>
      <c r="V208" s="2218"/>
      <c r="W208" s="2218"/>
      <c r="X208" s="2218"/>
      <c r="Y208" s="2218" t="s">
        <v>2050</v>
      </c>
      <c r="Z208" s="2218"/>
      <c r="AA208" s="2218"/>
      <c r="AB208" s="2218"/>
      <c r="AC208" s="2219" t="s">
        <v>2050</v>
      </c>
      <c r="AD208" s="2219"/>
      <c r="AE208" s="2219"/>
      <c r="AF208" s="2219"/>
      <c r="AG208" s="2211"/>
      <c r="AH208" s="2212"/>
      <c r="AI208" s="2212"/>
      <c r="AJ208" s="2212"/>
      <c r="AK208" s="2213"/>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214">
        <v>6</v>
      </c>
      <c r="D209" s="2215"/>
      <c r="E209" s="2215"/>
      <c r="F209" s="2215"/>
      <c r="G209" s="2216" t="s">
        <v>2050</v>
      </c>
      <c r="H209" s="2216"/>
      <c r="I209" s="2216"/>
      <c r="J209" s="2216"/>
      <c r="K209" s="2216"/>
      <c r="L209" s="2216"/>
      <c r="M209" s="2216"/>
      <c r="N209" s="2216"/>
      <c r="O209" s="2216"/>
      <c r="P209" s="2217"/>
      <c r="Q209" s="2217"/>
      <c r="R209" s="2217"/>
      <c r="S209" s="2217"/>
      <c r="T209" s="2217"/>
      <c r="U209" s="2218"/>
      <c r="V209" s="2218"/>
      <c r="W209" s="2218"/>
      <c r="X209" s="2218"/>
      <c r="Y209" s="2218"/>
      <c r="Z209" s="2218"/>
      <c r="AA209" s="2218"/>
      <c r="AB209" s="2218"/>
      <c r="AC209" s="2219" t="s">
        <v>2050</v>
      </c>
      <c r="AD209" s="2219"/>
      <c r="AE209" s="2219"/>
      <c r="AF209" s="2219"/>
      <c r="AG209" s="2211"/>
      <c r="AH209" s="2212"/>
      <c r="AI209" s="2212"/>
      <c r="AJ209" s="2212"/>
      <c r="AK209" s="2213"/>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214">
        <v>7</v>
      </c>
      <c r="D210" s="2215"/>
      <c r="E210" s="2215"/>
      <c r="F210" s="2215"/>
      <c r="G210" s="2216"/>
      <c r="H210" s="2216"/>
      <c r="I210" s="2216"/>
      <c r="J210" s="2216"/>
      <c r="K210" s="2216"/>
      <c r="L210" s="2216"/>
      <c r="M210" s="2216"/>
      <c r="N210" s="2216"/>
      <c r="O210" s="2216"/>
      <c r="P210" s="2217"/>
      <c r="Q210" s="2217"/>
      <c r="R210" s="2217"/>
      <c r="S210" s="2217"/>
      <c r="T210" s="2217"/>
      <c r="U210" s="2218"/>
      <c r="V210" s="2218"/>
      <c r="W210" s="2218"/>
      <c r="X210" s="2218"/>
      <c r="Y210" s="2218"/>
      <c r="Z210" s="2218"/>
      <c r="AA210" s="2218"/>
      <c r="AB210" s="2218"/>
      <c r="AC210" s="2219" t="s">
        <v>2050</v>
      </c>
      <c r="AD210" s="2219"/>
      <c r="AE210" s="2219"/>
      <c r="AF210" s="2219"/>
      <c r="AG210" s="2211"/>
      <c r="AH210" s="2212"/>
      <c r="AI210" s="2212"/>
      <c r="AJ210" s="2212"/>
      <c r="AK210" s="2213"/>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33" t="s">
        <v>2051</v>
      </c>
      <c r="D211" s="2234"/>
      <c r="E211" s="2234"/>
      <c r="F211" s="2234"/>
      <c r="G211" s="2234"/>
      <c r="H211" s="2234"/>
      <c r="I211" s="2234"/>
      <c r="J211" s="2234"/>
      <c r="K211" s="2234"/>
      <c r="L211" s="2234"/>
      <c r="M211" s="2234"/>
      <c r="N211" s="2234"/>
      <c r="O211" s="2234"/>
      <c r="P211" s="2235"/>
      <c r="Q211" s="2235"/>
      <c r="R211" s="2235"/>
      <c r="S211" s="2235"/>
      <c r="T211" s="2235"/>
      <c r="U211" s="2236">
        <f>-SUM(U204:U210)</f>
        <v>0</v>
      </c>
      <c r="V211" s="2236"/>
      <c r="W211" s="2236"/>
      <c r="X211" s="2236"/>
      <c r="Y211" s="2236">
        <f>-SUM(Y204:Y210)</f>
        <v>0</v>
      </c>
      <c r="Z211" s="2236"/>
      <c r="AA211" s="2236"/>
      <c r="AB211" s="2236"/>
      <c r="AC211" s="2237">
        <f>-SUM(AC204:AC210)</f>
        <v>0</v>
      </c>
      <c r="AD211" s="2237"/>
      <c r="AE211" s="2237"/>
      <c r="AF211" s="2237"/>
      <c r="AG211" s="2238"/>
      <c r="AH211" s="2239"/>
      <c r="AI211" s="2239"/>
      <c r="AJ211" s="2239"/>
      <c r="AK211" s="2240"/>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2052</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21" t="s">
        <v>2053</v>
      </c>
      <c r="C216" s="2222"/>
      <c r="D216" s="2222"/>
      <c r="E216" s="2222"/>
      <c r="F216" s="2222"/>
      <c r="G216" s="2222"/>
      <c r="H216" s="2222"/>
      <c r="I216" s="2222"/>
      <c r="J216" s="2222"/>
      <c r="K216" s="2222"/>
      <c r="L216" s="2222"/>
      <c r="M216" s="2222"/>
      <c r="N216" s="2222"/>
      <c r="O216" s="2222"/>
      <c r="P216" s="2222"/>
      <c r="Q216" s="2222"/>
      <c r="R216" s="2222"/>
      <c r="S216" s="2222"/>
      <c r="T216" s="2222"/>
      <c r="U216" s="2222"/>
      <c r="V216" s="2222"/>
      <c r="W216" s="2222"/>
      <c r="X216" s="2222"/>
      <c r="Y216" s="2222"/>
      <c r="Z216" s="2222"/>
      <c r="AA216" s="2222"/>
      <c r="AB216" s="2222"/>
      <c r="AC216" s="2222"/>
      <c r="AD216" s="2222"/>
      <c r="AE216" s="2222"/>
      <c r="AF216" s="2222"/>
      <c r="AG216" s="2222"/>
      <c r="AH216" s="2222"/>
      <c r="AI216" s="2222"/>
      <c r="AJ216" s="2222"/>
      <c r="AK216" s="2222"/>
      <c r="AL216" s="2222"/>
      <c r="AM216" s="2222"/>
      <c r="AN216" s="2222"/>
      <c r="AO216" s="2222"/>
      <c r="AP216" s="2222"/>
      <c r="AQ216" s="2222"/>
      <c r="AR216" s="2222"/>
      <c r="AS216" s="2222"/>
      <c r="AT216" s="2222"/>
      <c r="AU216" s="2222"/>
      <c r="AV216" s="2222"/>
      <c r="AW216" s="2222"/>
      <c r="AX216" s="2222"/>
      <c r="AY216" s="2222"/>
      <c r="AZ216" s="2222"/>
      <c r="BA216" s="2222"/>
      <c r="BB216" s="2222"/>
      <c r="BC216" s="2222"/>
      <c r="BD216" s="2223"/>
      <c r="BE216" s="1101"/>
    </row>
    <row r="217" spans="1:57" ht="15.75" customHeight="1">
      <c r="A217" s="1097"/>
      <c r="B217" s="2224"/>
      <c r="C217" s="2225"/>
      <c r="D217" s="2225"/>
      <c r="E217" s="2225"/>
      <c r="F217" s="2225"/>
      <c r="G217" s="2225"/>
      <c r="H217" s="2225"/>
      <c r="I217" s="2225"/>
      <c r="J217" s="2225"/>
      <c r="K217" s="2225"/>
      <c r="L217" s="2225"/>
      <c r="M217" s="2225"/>
      <c r="N217" s="2225"/>
      <c r="O217" s="2225"/>
      <c r="P217" s="2225"/>
      <c r="Q217" s="2225"/>
      <c r="R217" s="2225"/>
      <c r="S217" s="2225"/>
      <c r="T217" s="2225"/>
      <c r="U217" s="2225"/>
      <c r="V217" s="2225"/>
      <c r="W217" s="2225"/>
      <c r="X217" s="2225"/>
      <c r="Y217" s="2225"/>
      <c r="Z217" s="2225"/>
      <c r="AA217" s="2225"/>
      <c r="AB217" s="2225"/>
      <c r="AC217" s="2225"/>
      <c r="AD217" s="2225"/>
      <c r="AE217" s="2225"/>
      <c r="AF217" s="2225"/>
      <c r="AG217" s="2225"/>
      <c r="AH217" s="2225"/>
      <c r="AI217" s="2225"/>
      <c r="AJ217" s="2225"/>
      <c r="AK217" s="2225"/>
      <c r="AL217" s="2225"/>
      <c r="AM217" s="2225"/>
      <c r="AN217" s="2225"/>
      <c r="AO217" s="2225"/>
      <c r="AP217" s="2225"/>
      <c r="AQ217" s="2225"/>
      <c r="AR217" s="2225"/>
      <c r="AS217" s="2225"/>
      <c r="AT217" s="2225"/>
      <c r="AU217" s="2225"/>
      <c r="AV217" s="2225"/>
      <c r="AW217" s="2225"/>
      <c r="AX217" s="2225"/>
      <c r="AY217" s="2225"/>
      <c r="AZ217" s="2225"/>
      <c r="BA217" s="2225"/>
      <c r="BB217" s="2225"/>
      <c r="BC217" s="2225"/>
      <c r="BD217" s="2226"/>
      <c r="BE217" s="1101"/>
    </row>
    <row r="218" spans="1:57" ht="15.75" customHeight="1">
      <c r="A218" s="1097"/>
      <c r="B218" s="2227" t="s">
        <v>2054</v>
      </c>
      <c r="C218" s="2228"/>
      <c r="D218" s="2228"/>
      <c r="E218" s="2228"/>
      <c r="F218" s="2228"/>
      <c r="G218" s="2228"/>
      <c r="H218" s="2228"/>
      <c r="I218" s="2228"/>
      <c r="J218" s="2228"/>
      <c r="K218" s="2228"/>
      <c r="L218" s="2228"/>
      <c r="M218" s="2228"/>
      <c r="N218" s="2228"/>
      <c r="O218" s="2228"/>
      <c r="P218" s="2228"/>
      <c r="Q218" s="2228"/>
      <c r="R218" s="2228"/>
      <c r="S218" s="2228"/>
      <c r="T218" s="2228"/>
      <c r="U218" s="2228"/>
      <c r="V218" s="2228"/>
      <c r="W218" s="2228"/>
      <c r="X218" s="2228"/>
      <c r="Y218" s="2228"/>
      <c r="Z218" s="2228"/>
      <c r="AA218" s="2228"/>
      <c r="AB218" s="2228"/>
      <c r="AC218" s="2228"/>
      <c r="AD218" s="2228"/>
      <c r="AE218" s="2228"/>
      <c r="AF218" s="2228"/>
      <c r="AG218" s="2228"/>
      <c r="AH218" s="2228"/>
      <c r="AI218" s="2228"/>
      <c r="AJ218" s="2228"/>
      <c r="AK218" s="2228"/>
      <c r="AL218" s="2228"/>
      <c r="AM218" s="2228"/>
      <c r="AN218" s="2228"/>
      <c r="AO218" s="2228"/>
      <c r="AP218" s="2228"/>
      <c r="AQ218" s="2228"/>
      <c r="AR218" s="2228"/>
      <c r="AS218" s="2228"/>
      <c r="AT218" s="2228"/>
      <c r="AU218" s="2228"/>
      <c r="AV218" s="2228"/>
      <c r="AW218" s="2228"/>
      <c r="AX218" s="2228"/>
      <c r="AY218" s="2228"/>
      <c r="AZ218" s="2228"/>
      <c r="BA218" s="2228"/>
      <c r="BB218" s="2228"/>
      <c r="BC218" s="2228"/>
      <c r="BD218" s="2229"/>
      <c r="BE218" s="1101"/>
    </row>
    <row r="219" spans="1:57" ht="15.75" customHeight="1">
      <c r="A219" s="1097"/>
      <c r="B219" s="2227" t="s">
        <v>2055</v>
      </c>
      <c r="C219" s="2228"/>
      <c r="D219" s="2228"/>
      <c r="E219" s="2228"/>
      <c r="F219" s="2228"/>
      <c r="G219" s="2228"/>
      <c r="H219" s="2228"/>
      <c r="I219" s="2228"/>
      <c r="J219" s="2228"/>
      <c r="K219" s="2228"/>
      <c r="L219" s="2228"/>
      <c r="M219" s="2228"/>
      <c r="N219" s="2228"/>
      <c r="O219" s="2228"/>
      <c r="P219" s="2228"/>
      <c r="Q219" s="2228"/>
      <c r="R219" s="2228"/>
      <c r="S219" s="2228"/>
      <c r="T219" s="2228"/>
      <c r="U219" s="2228"/>
      <c r="V219" s="2228"/>
      <c r="W219" s="2228"/>
      <c r="X219" s="2228"/>
      <c r="Y219" s="2228"/>
      <c r="Z219" s="2228"/>
      <c r="AA219" s="2228"/>
      <c r="AB219" s="2228"/>
      <c r="AC219" s="2228"/>
      <c r="AD219" s="2228"/>
      <c r="AE219" s="2228"/>
      <c r="AF219" s="2228"/>
      <c r="AG219" s="2228"/>
      <c r="AH219" s="2228"/>
      <c r="AI219" s="2228"/>
      <c r="AJ219" s="2228"/>
      <c r="AK219" s="2228"/>
      <c r="AL219" s="2228"/>
      <c r="AM219" s="2228"/>
      <c r="AN219" s="2228"/>
      <c r="AO219" s="2228"/>
      <c r="AP219" s="2228"/>
      <c r="AQ219" s="2228"/>
      <c r="AR219" s="2228"/>
      <c r="AS219" s="2228"/>
      <c r="AT219" s="2228"/>
      <c r="AU219" s="2228"/>
      <c r="AV219" s="2228"/>
      <c r="AW219" s="2228"/>
      <c r="AX219" s="2228"/>
      <c r="AY219" s="2228"/>
      <c r="AZ219" s="2228"/>
      <c r="BA219" s="2228"/>
      <c r="BB219" s="2228"/>
      <c r="BC219" s="2228"/>
      <c r="BD219" s="2229"/>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30" t="s">
        <v>2056</v>
      </c>
      <c r="C221" s="2120"/>
      <c r="D221" s="2120"/>
      <c r="E221" s="2120"/>
      <c r="F221" s="2120"/>
      <c r="G221" s="2120"/>
      <c r="H221" s="2120"/>
      <c r="I221" s="2120"/>
      <c r="J221" s="2120"/>
      <c r="K221" s="2120"/>
      <c r="L221" s="2120"/>
      <c r="M221" s="2120"/>
      <c r="N221" s="2120"/>
      <c r="O221" s="2120"/>
      <c r="P221" s="2120"/>
      <c r="Q221" s="2120"/>
      <c r="R221" s="2120"/>
      <c r="S221" s="2120"/>
      <c r="T221" s="2120"/>
      <c r="U221" s="2120"/>
      <c r="V221" s="2120"/>
      <c r="W221" s="2120"/>
      <c r="X221" s="2120"/>
      <c r="Y221" s="2120"/>
      <c r="Z221" s="2120"/>
      <c r="AA221" s="2120"/>
      <c r="AB221" s="2120"/>
      <c r="AC221" s="2120"/>
      <c r="AD221" s="2120"/>
      <c r="AE221" s="2120"/>
      <c r="AF221" s="2120"/>
      <c r="AG221" s="2120"/>
      <c r="AH221" s="2120"/>
      <c r="AI221" s="2120"/>
      <c r="AJ221" s="2120"/>
      <c r="AK221" s="2120"/>
      <c r="AL221" s="2120"/>
      <c r="AM221" s="2120"/>
      <c r="AN221" s="2120"/>
      <c r="AO221" s="2120"/>
      <c r="AP221" s="2120"/>
      <c r="AQ221" s="2120"/>
      <c r="AR221" s="2120"/>
      <c r="AS221" s="2120"/>
      <c r="AT221" s="2120"/>
      <c r="AU221" s="2120"/>
      <c r="AV221" s="2120"/>
      <c r="AW221" s="2120"/>
      <c r="AX221" s="2120"/>
      <c r="AY221" s="2120"/>
      <c r="AZ221" s="2120"/>
      <c r="BA221" s="2120"/>
      <c r="BB221" s="2120"/>
      <c r="BC221" s="2120"/>
      <c r="BD221" s="2231"/>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2057</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32" t="s">
        <v>2058</v>
      </c>
      <c r="I225" s="2232"/>
      <c r="J225" s="2232"/>
      <c r="K225" s="2232"/>
      <c r="L225" s="2232"/>
      <c r="M225" s="2232"/>
      <c r="N225" s="2232"/>
      <c r="O225" s="2232"/>
      <c r="P225" s="2232"/>
      <c r="Q225" s="2232"/>
      <c r="R225" s="2232"/>
      <c r="S225" s="2232"/>
      <c r="T225" s="2232"/>
      <c r="U225" s="2232"/>
      <c r="V225" s="2232"/>
      <c r="W225" s="2232"/>
      <c r="X225" s="2232"/>
      <c r="Y225" s="2232"/>
      <c r="Z225" s="2232"/>
      <c r="AA225" s="2232"/>
      <c r="AB225" s="2232"/>
      <c r="AC225" s="2232"/>
      <c r="AD225" s="2232"/>
      <c r="AE225" s="2232"/>
      <c r="AF225" s="2232"/>
      <c r="AG225" s="2232"/>
      <c r="AH225" s="2232"/>
      <c r="AI225" s="2232"/>
      <c r="AJ225" s="2232"/>
      <c r="AK225" s="2232"/>
      <c r="AL225" s="2232"/>
      <c r="AM225" s="2232"/>
      <c r="AN225" s="2232"/>
      <c r="AO225" s="2232"/>
      <c r="AP225" s="2232"/>
      <c r="AQ225" s="2232"/>
      <c r="AR225" s="2232"/>
      <c r="AS225" s="2232"/>
      <c r="AT225" s="2232"/>
      <c r="AU225" s="2232"/>
      <c r="AV225" s="2232"/>
      <c r="AW225" s="2232"/>
      <c r="AX225" s="2232"/>
      <c r="AY225" s="2232"/>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50" t="s">
        <v>2059</v>
      </c>
      <c r="I227" s="2250"/>
      <c r="J227" s="2250"/>
      <c r="K227" s="2250"/>
      <c r="L227" s="2250"/>
      <c r="M227" s="2250"/>
      <c r="N227" s="2250"/>
      <c r="O227" s="2250"/>
      <c r="P227" s="2250"/>
      <c r="Q227" s="2250"/>
      <c r="R227" s="2250"/>
      <c r="S227" s="2250"/>
      <c r="T227" s="2250"/>
      <c r="U227" s="2250"/>
      <c r="V227" s="2250"/>
      <c r="W227" s="2250"/>
      <c r="X227" s="2250"/>
      <c r="Y227" s="2250"/>
      <c r="Z227" s="2250"/>
      <c r="AA227" s="2250"/>
      <c r="AB227" s="2250"/>
      <c r="AC227" s="2250"/>
      <c r="AD227" s="2250"/>
      <c r="AE227" s="2250"/>
      <c r="AF227" s="2250"/>
      <c r="AG227" s="2250"/>
      <c r="AH227" s="2250"/>
      <c r="AI227" s="2250"/>
      <c r="AJ227" s="2250"/>
      <c r="AK227" s="2250"/>
      <c r="AL227" s="2250"/>
      <c r="AM227" s="2250"/>
      <c r="AN227" s="2250"/>
      <c r="AO227" s="2250"/>
      <c r="AP227" s="2250"/>
      <c r="AQ227" s="2250"/>
      <c r="AR227" s="2250"/>
      <c r="AS227" s="2250"/>
      <c r="AT227" s="2250"/>
      <c r="AU227" s="2250"/>
      <c r="AV227" s="2250"/>
      <c r="AW227" s="2250"/>
      <c r="AX227" s="2250"/>
      <c r="AY227" s="2250"/>
      <c r="AZ227" s="2250"/>
      <c r="BA227" s="1097"/>
      <c r="BB227" s="1097"/>
      <c r="BC227" s="1097"/>
      <c r="BD227" s="1101"/>
      <c r="BE227" s="1101"/>
    </row>
    <row r="228" spans="1:57" ht="15.75" customHeight="1">
      <c r="A228" s="1097"/>
      <c r="B228" s="1096"/>
      <c r="C228" s="1097"/>
      <c r="D228" s="1097"/>
      <c r="E228" s="1097"/>
      <c r="F228" s="1097"/>
      <c r="G228" s="1097"/>
      <c r="H228" s="2250"/>
      <c r="I228" s="2250"/>
      <c r="J228" s="2250"/>
      <c r="K228" s="2250"/>
      <c r="L228" s="2250"/>
      <c r="M228" s="2250"/>
      <c r="N228" s="2250"/>
      <c r="O228" s="2250"/>
      <c r="P228" s="2250"/>
      <c r="Q228" s="2250"/>
      <c r="R228" s="2250"/>
      <c r="S228" s="2250"/>
      <c r="T228" s="2250"/>
      <c r="U228" s="2250"/>
      <c r="V228" s="2250"/>
      <c r="W228" s="2250"/>
      <c r="X228" s="2250"/>
      <c r="Y228" s="2250"/>
      <c r="Z228" s="2250"/>
      <c r="AA228" s="2250"/>
      <c r="AB228" s="2250"/>
      <c r="AC228" s="2250"/>
      <c r="AD228" s="2250"/>
      <c r="AE228" s="2250"/>
      <c r="AF228" s="2250"/>
      <c r="AG228" s="2250"/>
      <c r="AH228" s="2250"/>
      <c r="AI228" s="2250"/>
      <c r="AJ228" s="2250"/>
      <c r="AK228" s="2250"/>
      <c r="AL228" s="2250"/>
      <c r="AM228" s="2250"/>
      <c r="AN228" s="2250"/>
      <c r="AO228" s="2250"/>
      <c r="AP228" s="2250"/>
      <c r="AQ228" s="2250"/>
      <c r="AR228" s="2250"/>
      <c r="AS228" s="2250"/>
      <c r="AT228" s="2250"/>
      <c r="AU228" s="2250"/>
      <c r="AV228" s="2250"/>
      <c r="AW228" s="2250"/>
      <c r="AX228" s="2250"/>
      <c r="AY228" s="2250"/>
      <c r="AZ228" s="2250"/>
      <c r="BA228" s="1097"/>
      <c r="BB228" s="1097"/>
      <c r="BC228" s="1097"/>
      <c r="BD228" s="1101"/>
      <c r="BE228" s="1101"/>
    </row>
    <row r="229" spans="1:57" ht="15.75" customHeight="1">
      <c r="A229" s="1097"/>
      <c r="B229" s="1096"/>
      <c r="C229" s="1097"/>
      <c r="D229" s="1097"/>
      <c r="E229" s="1097"/>
      <c r="F229" s="1097"/>
      <c r="G229" s="1097"/>
      <c r="H229" s="2250"/>
      <c r="I229" s="2250"/>
      <c r="J229" s="2250"/>
      <c r="K229" s="2250"/>
      <c r="L229" s="2250"/>
      <c r="M229" s="2250"/>
      <c r="N229" s="2250"/>
      <c r="O229" s="2250"/>
      <c r="P229" s="2250"/>
      <c r="Q229" s="2250"/>
      <c r="R229" s="2250"/>
      <c r="S229" s="2250"/>
      <c r="T229" s="2250"/>
      <c r="U229" s="2250"/>
      <c r="V229" s="2250"/>
      <c r="W229" s="2250"/>
      <c r="X229" s="2250"/>
      <c r="Y229" s="2250"/>
      <c r="Z229" s="2250"/>
      <c r="AA229" s="2250"/>
      <c r="AB229" s="2250"/>
      <c r="AC229" s="2250"/>
      <c r="AD229" s="2250"/>
      <c r="AE229" s="2250"/>
      <c r="AF229" s="2250"/>
      <c r="AG229" s="2250"/>
      <c r="AH229" s="2250"/>
      <c r="AI229" s="2250"/>
      <c r="AJ229" s="2250"/>
      <c r="AK229" s="2250"/>
      <c r="AL229" s="2250"/>
      <c r="AM229" s="2250"/>
      <c r="AN229" s="2250"/>
      <c r="AO229" s="2250"/>
      <c r="AP229" s="2250"/>
      <c r="AQ229" s="2250"/>
      <c r="AR229" s="2250"/>
      <c r="AS229" s="2250"/>
      <c r="AT229" s="2250"/>
      <c r="AU229" s="2250"/>
      <c r="AV229" s="2250"/>
      <c r="AW229" s="2250"/>
      <c r="AX229" s="2250"/>
      <c r="AY229" s="2250"/>
      <c r="AZ229" s="2250"/>
      <c r="BA229" s="1097"/>
      <c r="BB229" s="1097"/>
      <c r="BC229" s="1097"/>
      <c r="BD229" s="1101"/>
      <c r="BE229" s="1101"/>
    </row>
    <row r="230" spans="1:57" ht="15.75" customHeight="1">
      <c r="A230" s="1097"/>
      <c r="B230" s="1096"/>
      <c r="C230" s="1097"/>
      <c r="D230" s="1097"/>
      <c r="E230" s="1097"/>
      <c r="F230" s="1097"/>
      <c r="G230" s="1097"/>
      <c r="H230" s="2250"/>
      <c r="I230" s="2250"/>
      <c r="J230" s="2250"/>
      <c r="K230" s="2250"/>
      <c r="L230" s="2250"/>
      <c r="M230" s="2250"/>
      <c r="N230" s="2250"/>
      <c r="O230" s="2250"/>
      <c r="P230" s="2250"/>
      <c r="Q230" s="2250"/>
      <c r="R230" s="2250"/>
      <c r="S230" s="2250"/>
      <c r="T230" s="2250"/>
      <c r="U230" s="2250"/>
      <c r="V230" s="2250"/>
      <c r="W230" s="2250"/>
      <c r="X230" s="2250"/>
      <c r="Y230" s="2250"/>
      <c r="Z230" s="2250"/>
      <c r="AA230" s="2250"/>
      <c r="AB230" s="2250"/>
      <c r="AC230" s="2250"/>
      <c r="AD230" s="2250"/>
      <c r="AE230" s="2250"/>
      <c r="AF230" s="2250"/>
      <c r="AG230" s="2250"/>
      <c r="AH230" s="2250"/>
      <c r="AI230" s="2250"/>
      <c r="AJ230" s="2250"/>
      <c r="AK230" s="2250"/>
      <c r="AL230" s="2250"/>
      <c r="AM230" s="2250"/>
      <c r="AN230" s="2250"/>
      <c r="AO230" s="2250"/>
      <c r="AP230" s="2250"/>
      <c r="AQ230" s="2250"/>
      <c r="AR230" s="2250"/>
      <c r="AS230" s="2250"/>
      <c r="AT230" s="2250"/>
      <c r="AU230" s="2250"/>
      <c r="AV230" s="2250"/>
      <c r="AW230" s="2250"/>
      <c r="AX230" s="2250"/>
      <c r="AY230" s="2250"/>
      <c r="AZ230" s="2250"/>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51" t="s">
        <v>2060</v>
      </c>
      <c r="I232" s="2251"/>
      <c r="J232" s="2251"/>
      <c r="K232" s="2251"/>
      <c r="L232" s="2251"/>
      <c r="M232" s="2251"/>
      <c r="N232" s="2251"/>
      <c r="O232" s="2251"/>
      <c r="P232" s="2251"/>
      <c r="Q232" s="2251"/>
      <c r="R232" s="2251"/>
      <c r="S232" s="2251"/>
      <c r="T232" s="2251"/>
      <c r="U232" s="2251"/>
      <c r="V232" s="2251"/>
      <c r="W232" s="2251"/>
      <c r="X232" s="2251"/>
      <c r="Y232" s="2251"/>
      <c r="Z232" s="2251"/>
      <c r="AA232" s="2251"/>
      <c r="AB232" s="2251"/>
      <c r="AC232" s="2251"/>
      <c r="AD232" s="2251"/>
      <c r="AE232" s="2251"/>
      <c r="AF232" s="2251"/>
      <c r="AG232" s="2251"/>
      <c r="AH232" s="2251"/>
      <c r="AI232" s="2251"/>
      <c r="AJ232" s="2251"/>
      <c r="AK232" s="2251"/>
      <c r="AL232" s="2251"/>
      <c r="AM232" s="2251"/>
      <c r="AN232" s="2251"/>
      <c r="AO232" s="2251"/>
      <c r="AP232" s="2251"/>
      <c r="AQ232" s="2251"/>
      <c r="AR232" s="2251"/>
      <c r="AS232" s="2251"/>
      <c r="AT232" s="2251"/>
      <c r="AU232" s="2251"/>
      <c r="AV232" s="2251"/>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41" t="s">
        <v>2061</v>
      </c>
      <c r="I234" s="2241"/>
      <c r="J234" s="2241"/>
      <c r="K234" s="2241"/>
      <c r="L234" s="1145"/>
      <c r="M234" s="1145"/>
      <c r="N234" s="1145"/>
      <c r="O234" s="1145"/>
      <c r="P234" s="1145"/>
      <c r="Q234" s="1145"/>
      <c r="R234" s="1145"/>
      <c r="S234" s="2252"/>
      <c r="T234" s="2253"/>
      <c r="U234" s="2253"/>
      <c r="V234" s="2253"/>
      <c r="W234" s="2253"/>
      <c r="X234" s="2253"/>
      <c r="Y234" s="2253"/>
      <c r="Z234" s="2253"/>
      <c r="AA234" s="2253"/>
      <c r="AB234" s="2253"/>
      <c r="AC234" s="2253"/>
      <c r="AD234" s="2253"/>
      <c r="AE234" s="2253"/>
      <c r="AF234" s="2253"/>
      <c r="AG234" s="2253"/>
      <c r="AH234" s="2253"/>
      <c r="AI234" s="2253"/>
      <c r="AJ234" s="2254"/>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41" t="s">
        <v>1966</v>
      </c>
      <c r="I236" s="2241"/>
      <c r="J236" s="2241"/>
      <c r="K236" s="1147"/>
      <c r="L236" s="1145"/>
      <c r="M236" s="1145"/>
      <c r="N236" s="1145"/>
      <c r="O236" s="1145"/>
      <c r="P236" s="1145"/>
      <c r="Q236" s="1145"/>
      <c r="R236" s="1145"/>
      <c r="S236" s="2242"/>
      <c r="T236" s="2243"/>
      <c r="U236" s="2243"/>
      <c r="V236" s="2243"/>
      <c r="W236" s="2243"/>
      <c r="X236" s="2243"/>
      <c r="Y236" s="2243"/>
      <c r="Z236" s="2243"/>
      <c r="AA236" s="2243"/>
      <c r="AB236" s="2243"/>
      <c r="AC236" s="2243"/>
      <c r="AD236" s="2243"/>
      <c r="AE236" s="2243"/>
      <c r="AF236" s="2243"/>
      <c r="AG236" s="2243"/>
      <c r="AH236" s="2243"/>
      <c r="AI236" s="2243"/>
      <c r="AJ236" s="2244"/>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41" t="s">
        <v>824</v>
      </c>
      <c r="I238" s="2241"/>
      <c r="J238" s="1147"/>
      <c r="K238" s="1147"/>
      <c r="L238" s="1145"/>
      <c r="M238" s="1145"/>
      <c r="N238" s="1145"/>
      <c r="O238" s="1145"/>
      <c r="P238" s="1145"/>
      <c r="Q238" s="1145"/>
      <c r="R238" s="1145"/>
      <c r="S238" s="2242"/>
      <c r="T238" s="2243"/>
      <c r="U238" s="2243"/>
      <c r="V238" s="2243"/>
      <c r="W238" s="2243"/>
      <c r="X238" s="2243"/>
      <c r="Y238" s="2243"/>
      <c r="Z238" s="2243"/>
      <c r="AA238" s="2243"/>
      <c r="AB238" s="2243"/>
      <c r="AC238" s="2243"/>
      <c r="AD238" s="2243"/>
      <c r="AE238" s="2243"/>
      <c r="AF238" s="2243"/>
      <c r="AG238" s="2243"/>
      <c r="AH238" s="2243"/>
      <c r="AI238" s="2243"/>
      <c r="AJ238" s="2244"/>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45" t="s">
        <v>2062</v>
      </c>
      <c r="I240" s="2245"/>
      <c r="J240" s="2245"/>
      <c r="K240" s="2245"/>
      <c r="L240" s="2245"/>
      <c r="M240" s="2245"/>
      <c r="N240" s="2245"/>
      <c r="O240" s="2245"/>
      <c r="P240" s="1145"/>
      <c r="Q240" s="1145"/>
      <c r="R240" s="1145"/>
      <c r="S240" s="2242"/>
      <c r="T240" s="2243"/>
      <c r="U240" s="2243"/>
      <c r="V240" s="2243"/>
      <c r="W240" s="2243"/>
      <c r="X240" s="2243"/>
      <c r="Y240" s="2243"/>
      <c r="Z240" s="2243"/>
      <c r="AA240" s="2243"/>
      <c r="AB240" s="2243"/>
      <c r="AC240" s="2243"/>
      <c r="AD240" s="2243"/>
      <c r="AE240" s="2243"/>
      <c r="AF240" s="2243"/>
      <c r="AG240" s="2243"/>
      <c r="AH240" s="2243"/>
      <c r="AI240" s="2243"/>
      <c r="AJ240" s="2244"/>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46" t="s">
        <v>2063</v>
      </c>
      <c r="I242" s="2246"/>
      <c r="J242" s="1145"/>
      <c r="K242" s="1145"/>
      <c r="L242" s="1145"/>
      <c r="M242" s="1145"/>
      <c r="N242" s="1145"/>
      <c r="O242" s="1145"/>
      <c r="P242" s="1145"/>
      <c r="Q242" s="1145"/>
      <c r="R242" s="1145"/>
      <c r="S242" s="2247"/>
      <c r="T242" s="2248"/>
      <c r="U242" s="2248"/>
      <c r="V242" s="2248"/>
      <c r="W242" s="2248"/>
      <c r="X242" s="2248"/>
      <c r="Y242" s="2248"/>
      <c r="Z242" s="2248"/>
      <c r="AA242" s="2248"/>
      <c r="AB242" s="2248"/>
      <c r="AC242" s="2248"/>
      <c r="AD242" s="2248"/>
      <c r="AE242" s="2248"/>
      <c r="AF242" s="2248"/>
      <c r="AG242" s="2248"/>
      <c r="AH242" s="2248"/>
      <c r="AI242" s="2248"/>
      <c r="AJ242" s="2249"/>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AB51" sqref="AB51"/>
    </sheetView>
  </sheetViews>
  <sheetFormatPr defaultColWidth="0" defaultRowHeight="12.95" customHeight="1" zero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302" t="s">
        <v>2064</v>
      </c>
      <c r="B1" s="2302"/>
      <c r="C1" s="2302"/>
      <c r="D1" s="2302"/>
      <c r="E1" s="2302"/>
      <c r="F1" s="2302"/>
      <c r="G1" s="2302"/>
      <c r="H1" s="2302"/>
      <c r="I1" s="2302"/>
      <c r="J1" s="2302"/>
      <c r="K1" s="2302"/>
      <c r="L1" s="2302"/>
      <c r="M1" s="2302"/>
      <c r="N1" s="2302"/>
      <c r="O1" s="2302"/>
      <c r="P1" s="2302"/>
      <c r="Q1" s="2302"/>
      <c r="R1" s="2302"/>
      <c r="S1" s="2302"/>
      <c r="T1" s="2302"/>
      <c r="U1" s="2302"/>
      <c r="V1" s="2302"/>
      <c r="W1" s="2302"/>
      <c r="X1" s="2302"/>
      <c r="Y1" s="2302"/>
      <c r="Z1" s="2302"/>
      <c r="AA1" s="2302"/>
      <c r="AB1" s="2302"/>
      <c r="AC1" s="2302"/>
      <c r="AD1" s="2302"/>
      <c r="AE1" s="2302"/>
      <c r="AF1" s="2302"/>
      <c r="AG1" s="2302"/>
      <c r="AH1" s="2302"/>
      <c r="AI1" s="2302"/>
      <c r="AJ1" s="2302"/>
      <c r="AK1" s="2302"/>
      <c r="AL1" s="2302"/>
      <c r="AM1" s="2302"/>
      <c r="AN1" s="2302"/>
    </row>
    <row r="2" spans="1:40" ht="12.95" customHeight="1" thickBot="1">
      <c r="A2" s="2303"/>
      <c r="B2" s="2303"/>
      <c r="C2" s="2303"/>
      <c r="D2" s="2303"/>
      <c r="E2" s="2303"/>
      <c r="F2" s="2303"/>
      <c r="G2" s="2303"/>
      <c r="H2" s="2303"/>
      <c r="I2" s="2303"/>
      <c r="J2" s="2303"/>
      <c r="K2" s="2303"/>
      <c r="L2" s="2303"/>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303"/>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885</v>
      </c>
      <c r="C5" s="307" t="s">
        <v>270</v>
      </c>
      <c r="F5" s="307"/>
    </row>
    <row r="6" spans="1:40" ht="12.95" customHeight="1">
      <c r="A6" s="307"/>
      <c r="C6" s="305" t="s">
        <v>2065</v>
      </c>
    </row>
    <row r="7" spans="1:40" ht="12.95" customHeight="1">
      <c r="B7" s="308"/>
      <c r="C7" s="309"/>
      <c r="D7" s="309"/>
      <c r="E7" s="309"/>
      <c r="F7" s="309"/>
      <c r="G7" s="309"/>
      <c r="H7" s="309"/>
      <c r="I7" s="309"/>
      <c r="J7" s="309"/>
      <c r="K7" s="309"/>
      <c r="L7" s="309"/>
      <c r="M7" s="309"/>
      <c r="N7" s="309"/>
      <c r="O7" s="309"/>
      <c r="P7" s="309"/>
      <c r="Q7" s="309"/>
      <c r="R7" s="309"/>
      <c r="S7" s="309"/>
      <c r="T7" s="2282" t="str">
        <f xml:space="preserve"> IF(T25=100%,'Sources and Basis Breakdown'!G2,'Sources and Basis Breakdown'!F2)</f>
        <v>30% PVC for New Const/
Rehabilitation
DDA/QCT
Building(s)</v>
      </c>
      <c r="U7" s="2282"/>
      <c r="V7" s="2282"/>
      <c r="W7" s="2282"/>
      <c r="X7" s="2282"/>
      <c r="Y7" s="2282" t="str">
        <f>IF(T25=100%,"",'Sources and Basis Breakdown'!G2)</f>
        <v>30% PVC for New Const/
Rehabilitation
NON-DDA/
NON-QCT Building(s)</v>
      </c>
      <c r="Z7" s="2282"/>
      <c r="AA7" s="2282"/>
      <c r="AB7" s="2282"/>
      <c r="AC7" s="2282"/>
      <c r="AD7" s="2282" t="str">
        <f xml:space="preserve"> IF(T25=100%, 'Sources and Basis Breakdown'!J2,'Sources and Basis Breakdown'!I2)</f>
        <v>30% PVC for Acquisition
DDA/QCT Building(s)</v>
      </c>
      <c r="AE7" s="2282"/>
      <c r="AF7" s="2282"/>
      <c r="AG7" s="2282"/>
      <c r="AH7" s="2282"/>
      <c r="AI7" s="2282" t="str">
        <f>IF(T25=100%,"",'Sources and Basis Breakdown'!J2)</f>
        <v>30% PVC for Acquisition
NON-DDA/
NON-QCT Building(s)</v>
      </c>
      <c r="AJ7" s="2282"/>
      <c r="AK7" s="2282"/>
      <c r="AL7" s="2282"/>
      <c r="AM7" s="2282"/>
    </row>
    <row r="8" spans="1:40" ht="12.95" customHeight="1">
      <c r="B8" s="310"/>
      <c r="T8" s="2282"/>
      <c r="U8" s="2282"/>
      <c r="V8" s="2282"/>
      <c r="W8" s="2282"/>
      <c r="X8" s="2282"/>
      <c r="Y8" s="2282"/>
      <c r="Z8" s="2282"/>
      <c r="AA8" s="2282"/>
      <c r="AB8" s="2282"/>
      <c r="AC8" s="2282"/>
      <c r="AD8" s="2282"/>
      <c r="AE8" s="2282"/>
      <c r="AF8" s="2282"/>
      <c r="AG8" s="2282"/>
      <c r="AH8" s="2282"/>
      <c r="AI8" s="2282"/>
      <c r="AJ8" s="2282"/>
      <c r="AK8" s="2282"/>
      <c r="AL8" s="2282"/>
      <c r="AM8" s="2282"/>
    </row>
    <row r="9" spans="1:40" ht="12.95" customHeight="1">
      <c r="B9" s="310"/>
      <c r="T9" s="2282"/>
      <c r="U9" s="2282"/>
      <c r="V9" s="2282"/>
      <c r="W9" s="2282"/>
      <c r="X9" s="2282"/>
      <c r="Y9" s="2282"/>
      <c r="Z9" s="2282"/>
      <c r="AA9" s="2282"/>
      <c r="AB9" s="2282"/>
      <c r="AC9" s="2282"/>
      <c r="AD9" s="2282"/>
      <c r="AE9" s="2282"/>
      <c r="AF9" s="2282"/>
      <c r="AG9" s="2282"/>
      <c r="AH9" s="2282"/>
      <c r="AI9" s="2282"/>
      <c r="AJ9" s="2282"/>
      <c r="AK9" s="2282"/>
      <c r="AL9" s="2282"/>
      <c r="AM9" s="2282"/>
    </row>
    <row r="10" spans="1:40" ht="12.95" customHeight="1">
      <c r="B10" s="311"/>
      <c r="C10" s="312"/>
      <c r="D10" s="312"/>
      <c r="E10" s="312"/>
      <c r="F10" s="312"/>
      <c r="G10" s="312"/>
      <c r="H10" s="312"/>
      <c r="I10" s="312"/>
      <c r="J10" s="312"/>
      <c r="K10" s="312"/>
      <c r="L10" s="312"/>
      <c r="M10" s="312"/>
      <c r="N10" s="312"/>
      <c r="O10" s="312"/>
      <c r="P10" s="312"/>
      <c r="Q10" s="312"/>
      <c r="R10" s="312"/>
      <c r="S10" s="312"/>
      <c r="T10" s="2282"/>
      <c r="U10" s="2282"/>
      <c r="V10" s="2282"/>
      <c r="W10" s="2282"/>
      <c r="X10" s="2282"/>
      <c r="Y10" s="2282"/>
      <c r="Z10" s="2282"/>
      <c r="AA10" s="2282"/>
      <c r="AB10" s="2282"/>
      <c r="AC10" s="2282"/>
      <c r="AD10" s="2282"/>
      <c r="AE10" s="2282"/>
      <c r="AF10" s="2282"/>
      <c r="AG10" s="2282"/>
      <c r="AH10" s="2282"/>
      <c r="AI10" s="2282"/>
      <c r="AJ10" s="2282"/>
      <c r="AK10" s="2282"/>
      <c r="AL10" s="2282"/>
      <c r="AM10" s="2282"/>
    </row>
    <row r="11" spans="1:40" ht="12.95" customHeight="1">
      <c r="B11" s="2268" t="s">
        <v>1883</v>
      </c>
      <c r="C11" s="2269"/>
      <c r="D11" s="2269"/>
      <c r="E11" s="2269"/>
      <c r="F11" s="2269"/>
      <c r="G11" s="2269"/>
      <c r="H11" s="2269"/>
      <c r="I11" s="2269"/>
      <c r="J11" s="2269"/>
      <c r="K11" s="2269"/>
      <c r="L11" s="2269"/>
      <c r="M11" s="2269"/>
      <c r="N11" s="2269"/>
      <c r="O11" s="2269"/>
      <c r="P11" s="2269"/>
      <c r="Q11" s="2269"/>
      <c r="R11" s="2269"/>
      <c r="S11" s="2270"/>
      <c r="T11" s="2304">
        <f>IF('Sources and Basis Breakdown'!F107=0,'Sources and Basis Breakdown'!E107,'Sources and Basis Breakdown'!F107)</f>
        <v>8202375</v>
      </c>
      <c r="U11" s="2305"/>
      <c r="V11" s="2305"/>
      <c r="W11" s="2305"/>
      <c r="X11" s="2305"/>
      <c r="Y11" s="2304">
        <f>IF(Y7="",0,IF('Sources and Basis Breakdown'!G107+'Sources and Basis Breakdown'!F107='Sources and Basis Breakdown'!E107,'Sources and Basis Breakdown'!G107,0))</f>
        <v>0</v>
      </c>
      <c r="Z11" s="2305"/>
      <c r="AA11" s="2305"/>
      <c r="AB11" s="2305"/>
      <c r="AC11" s="2305"/>
      <c r="AD11" s="2305">
        <f>IF('Sources and Basis Breakdown'!I107=0,'Sources and Basis Breakdown'!H107,'Sources and Basis Breakdown'!I107)</f>
        <v>9027500</v>
      </c>
      <c r="AE11" s="2305"/>
      <c r="AF11" s="2305"/>
      <c r="AG11" s="2305"/>
      <c r="AH11" s="2305"/>
      <c r="AI11" s="2305">
        <f>IF(Y7="",0,IF('Sources and Basis Breakdown'!I107+'Sources and Basis Breakdown'!J107='Sources and Basis Breakdown'!H107,'Sources and Basis Breakdown'!J107,0))</f>
        <v>0</v>
      </c>
      <c r="AJ11" s="2305"/>
      <c r="AK11" s="2305"/>
      <c r="AL11" s="2305"/>
      <c r="AM11" s="2305"/>
    </row>
    <row r="12" spans="1:40" ht="12.95" customHeight="1">
      <c r="B12" s="2306" t="s">
        <v>2066</v>
      </c>
      <c r="C12" s="1269"/>
      <c r="D12" s="1269"/>
      <c r="E12" s="1269"/>
      <c r="F12" s="1269"/>
      <c r="G12" s="1269"/>
      <c r="H12" s="1269"/>
      <c r="I12" s="1269"/>
      <c r="J12" s="1269"/>
      <c r="K12" s="1269"/>
      <c r="L12" s="1269"/>
      <c r="M12" s="1269"/>
      <c r="N12" s="1269"/>
      <c r="O12" s="1269"/>
      <c r="P12" s="1269"/>
      <c r="Q12" s="1269"/>
      <c r="R12" s="1269"/>
      <c r="S12" s="2307"/>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2.95" customHeight="1">
      <c r="B13" s="338"/>
      <c r="C13" s="2308" t="s">
        <v>2067</v>
      </c>
      <c r="D13" s="2308"/>
      <c r="E13" s="2308"/>
      <c r="F13" s="2308"/>
      <c r="G13" s="2308"/>
      <c r="H13" s="2308"/>
      <c r="I13" s="2308"/>
      <c r="J13" s="2308"/>
      <c r="K13" s="2308"/>
      <c r="L13" s="2308"/>
      <c r="M13" s="2308"/>
      <c r="N13" s="2308"/>
      <c r="O13" s="2308"/>
      <c r="P13" s="2308"/>
      <c r="Q13" s="2308"/>
      <c r="R13" s="2308"/>
      <c r="S13" s="2309"/>
      <c r="T13" s="2300"/>
      <c r="U13" s="2301"/>
      <c r="V13" s="2301"/>
      <c r="W13" s="2301"/>
      <c r="X13" s="2301"/>
      <c r="Y13" s="2300"/>
      <c r="Z13" s="2301"/>
      <c r="AA13" s="2301"/>
      <c r="AB13" s="2301"/>
      <c r="AC13" s="2301"/>
      <c r="AD13" s="2301"/>
      <c r="AE13" s="2301"/>
      <c r="AF13" s="2301"/>
      <c r="AG13" s="2301"/>
      <c r="AH13" s="2301"/>
      <c r="AI13" s="2301"/>
      <c r="AJ13" s="2301"/>
      <c r="AK13" s="2301"/>
      <c r="AL13" s="2301"/>
      <c r="AM13" s="2301"/>
    </row>
    <row r="14" spans="1:40" ht="12.95" customHeight="1">
      <c r="B14" s="338"/>
      <c r="C14" s="2308" t="s">
        <v>2068</v>
      </c>
      <c r="D14" s="2308"/>
      <c r="E14" s="2308"/>
      <c r="F14" s="2308"/>
      <c r="G14" s="2308"/>
      <c r="H14" s="2308"/>
      <c r="I14" s="2308"/>
      <c r="J14" s="2308"/>
      <c r="K14" s="2308"/>
      <c r="L14" s="2308"/>
      <c r="M14" s="2308"/>
      <c r="N14" s="2308"/>
      <c r="O14" s="2308"/>
      <c r="P14" s="2308"/>
      <c r="Q14" s="2308"/>
      <c r="R14" s="2308"/>
      <c r="S14" s="2309"/>
      <c r="T14" s="2290"/>
      <c r="U14" s="2291"/>
      <c r="V14" s="2291"/>
      <c r="W14" s="2291"/>
      <c r="X14" s="2291"/>
      <c r="Y14" s="2290"/>
      <c r="Z14" s="2291"/>
      <c r="AA14" s="2291"/>
      <c r="AB14" s="2291"/>
      <c r="AC14" s="2291"/>
      <c r="AD14" s="2291"/>
      <c r="AE14" s="2291"/>
      <c r="AF14" s="2291"/>
      <c r="AG14" s="2291"/>
      <c r="AH14" s="2291"/>
      <c r="AI14" s="2291"/>
      <c r="AJ14" s="2291"/>
      <c r="AK14" s="2291"/>
      <c r="AL14" s="2291"/>
      <c r="AM14" s="2291"/>
    </row>
    <row r="15" spans="1:40" ht="12.95" customHeight="1">
      <c r="B15" s="338"/>
      <c r="C15" s="2308" t="s">
        <v>2069</v>
      </c>
      <c r="D15" s="2308"/>
      <c r="E15" s="2308"/>
      <c r="F15" s="2308"/>
      <c r="G15" s="2308"/>
      <c r="H15" s="2308"/>
      <c r="I15" s="2308"/>
      <c r="J15" s="2308"/>
      <c r="K15" s="2308"/>
      <c r="L15" s="2308"/>
      <c r="M15" s="2308"/>
      <c r="N15" s="2308"/>
      <c r="O15" s="2308"/>
      <c r="P15" s="2308"/>
      <c r="Q15" s="2308"/>
      <c r="R15" s="2308"/>
      <c r="S15" s="2309"/>
      <c r="T15" s="2290"/>
      <c r="U15" s="2291"/>
      <c r="V15" s="2291"/>
      <c r="W15" s="2291"/>
      <c r="X15" s="2291"/>
      <c r="Y15" s="2290"/>
      <c r="Z15" s="2291"/>
      <c r="AA15" s="2291"/>
      <c r="AB15" s="2291"/>
      <c r="AC15" s="2291"/>
      <c r="AD15" s="2291"/>
      <c r="AE15" s="2291"/>
      <c r="AF15" s="2291"/>
      <c r="AG15" s="2291"/>
      <c r="AH15" s="2291"/>
      <c r="AI15" s="2291"/>
      <c r="AJ15" s="2291"/>
      <c r="AK15" s="2291"/>
      <c r="AL15" s="2291"/>
      <c r="AM15" s="2291"/>
    </row>
    <row r="16" spans="1:40" ht="12.95" customHeight="1">
      <c r="B16" s="338"/>
      <c r="C16" s="2308" t="s">
        <v>2070</v>
      </c>
      <c r="D16" s="2308"/>
      <c r="E16" s="2308"/>
      <c r="F16" s="2308"/>
      <c r="G16" s="2308"/>
      <c r="H16" s="2308"/>
      <c r="I16" s="2308"/>
      <c r="J16" s="2308"/>
      <c r="K16" s="2308"/>
      <c r="L16" s="2308"/>
      <c r="M16" s="2308"/>
      <c r="N16" s="2308"/>
      <c r="O16" s="2308"/>
      <c r="P16" s="2308"/>
      <c r="Q16" s="2308"/>
      <c r="R16" s="2308"/>
      <c r="S16" s="2309"/>
      <c r="T16" s="2290"/>
      <c r="U16" s="2291"/>
      <c r="V16" s="2291"/>
      <c r="W16" s="2291"/>
      <c r="X16" s="2291"/>
      <c r="Y16" s="2290"/>
      <c r="Z16" s="2291"/>
      <c r="AA16" s="2291"/>
      <c r="AB16" s="2291"/>
      <c r="AC16" s="2291"/>
      <c r="AD16" s="2291"/>
      <c r="AE16" s="2291"/>
      <c r="AF16" s="2291"/>
      <c r="AG16" s="2291"/>
      <c r="AH16" s="2291"/>
      <c r="AI16" s="2291"/>
      <c r="AJ16" s="2291"/>
      <c r="AK16" s="2291"/>
      <c r="AL16" s="2291"/>
      <c r="AM16" s="2291"/>
    </row>
    <row r="17" spans="1:40" ht="12.95" customHeight="1">
      <c r="B17" s="338"/>
      <c r="C17" s="2308" t="s">
        <v>2071</v>
      </c>
      <c r="D17" s="2308"/>
      <c r="E17" s="2308"/>
      <c r="F17" s="2308"/>
      <c r="G17" s="2308"/>
      <c r="H17" s="2308"/>
      <c r="I17" s="2308"/>
      <c r="J17" s="2308"/>
      <c r="K17" s="2308"/>
      <c r="L17" s="2308"/>
      <c r="M17" s="2308"/>
      <c r="N17" s="2308"/>
      <c r="O17" s="2308"/>
      <c r="P17" s="2308"/>
      <c r="Q17" s="2308"/>
      <c r="R17" s="2308"/>
      <c r="S17" s="2309"/>
      <c r="T17" s="2290"/>
      <c r="U17" s="2291"/>
      <c r="V17" s="2291"/>
      <c r="W17" s="2291"/>
      <c r="X17" s="2291"/>
      <c r="Y17" s="2290"/>
      <c r="Z17" s="2291"/>
      <c r="AA17" s="2291"/>
      <c r="AB17" s="2291"/>
      <c r="AC17" s="2291"/>
      <c r="AD17" s="2291"/>
      <c r="AE17" s="2291"/>
      <c r="AF17" s="2291"/>
      <c r="AG17" s="2291"/>
      <c r="AH17" s="2291"/>
      <c r="AI17" s="2291"/>
      <c r="AJ17" s="2291"/>
      <c r="AK17" s="2291"/>
      <c r="AL17" s="2291"/>
      <c r="AM17" s="2291"/>
    </row>
    <row r="18" spans="1:40" ht="12.95" customHeight="1">
      <c r="A18"/>
      <c r="B18" s="1033"/>
      <c r="C18" s="1385" t="s">
        <v>2072</v>
      </c>
      <c r="D18" s="1385"/>
      <c r="E18" s="1385"/>
      <c r="F18" s="1385"/>
      <c r="G18" s="1385"/>
      <c r="H18" s="1385"/>
      <c r="I18" s="1385"/>
      <c r="J18" s="1385"/>
      <c r="K18" s="1385"/>
      <c r="L18" s="1385"/>
      <c r="M18" s="1385"/>
      <c r="N18" s="1385"/>
      <c r="O18" s="1385"/>
      <c r="P18" s="1385"/>
      <c r="Q18" s="1385"/>
      <c r="R18" s="1385"/>
      <c r="S18" s="1386"/>
      <c r="T18" s="2290"/>
      <c r="U18" s="2291"/>
      <c r="V18" s="2291"/>
      <c r="W18" s="2291"/>
      <c r="X18" s="2291"/>
      <c r="Y18" s="2290"/>
      <c r="Z18" s="2291"/>
      <c r="AA18" s="2291"/>
      <c r="AB18" s="2291"/>
      <c r="AC18" s="2291"/>
      <c r="AD18" s="2291"/>
      <c r="AE18" s="2291"/>
      <c r="AF18" s="2291"/>
      <c r="AG18" s="2291"/>
      <c r="AH18" s="2291"/>
      <c r="AI18" s="2291"/>
      <c r="AJ18" s="2291"/>
      <c r="AK18" s="2291"/>
      <c r="AL18" s="2291"/>
      <c r="AM18" s="2291"/>
    </row>
    <row r="19" spans="1:40" ht="12.95" customHeight="1">
      <c r="B19" s="1033"/>
      <c r="C19" s="1385" t="s">
        <v>2072</v>
      </c>
      <c r="D19" s="1385"/>
      <c r="E19" s="1385"/>
      <c r="F19" s="1385"/>
      <c r="G19" s="1385"/>
      <c r="H19" s="1385"/>
      <c r="I19" s="1385"/>
      <c r="J19" s="1385"/>
      <c r="K19" s="1385"/>
      <c r="L19" s="1385"/>
      <c r="M19" s="1385"/>
      <c r="N19" s="1385"/>
      <c r="O19" s="1385"/>
      <c r="P19" s="1385"/>
      <c r="Q19" s="1385"/>
      <c r="R19" s="1385"/>
      <c r="S19" s="1386"/>
      <c r="T19" s="2290"/>
      <c r="U19" s="2291"/>
      <c r="V19" s="2291"/>
      <c r="W19" s="2291"/>
      <c r="X19" s="2291"/>
      <c r="Y19" s="2290"/>
      <c r="Z19" s="2291"/>
      <c r="AA19" s="2291"/>
      <c r="AB19" s="2291"/>
      <c r="AC19" s="2291"/>
      <c r="AD19" s="2291"/>
      <c r="AE19" s="2291"/>
      <c r="AF19" s="2291"/>
      <c r="AG19" s="2291"/>
      <c r="AH19" s="2291"/>
      <c r="AI19" s="2291"/>
      <c r="AJ19" s="2291"/>
      <c r="AK19" s="2291"/>
      <c r="AL19" s="2291"/>
      <c r="AM19" s="2291"/>
    </row>
    <row r="20" spans="1:40" ht="12.95" customHeight="1">
      <c r="B20" s="2268" t="s">
        <v>2073</v>
      </c>
      <c r="C20" s="2269"/>
      <c r="D20" s="2269"/>
      <c r="E20" s="2269"/>
      <c r="F20" s="2269"/>
      <c r="G20" s="2269"/>
      <c r="H20" s="2269"/>
      <c r="I20" s="2269"/>
      <c r="J20" s="2269"/>
      <c r="K20" s="2269"/>
      <c r="L20" s="2269"/>
      <c r="M20" s="2269"/>
      <c r="N20" s="2269"/>
      <c r="O20" s="2269"/>
      <c r="P20" s="2269"/>
      <c r="Q20" s="2269"/>
      <c r="R20" s="2269"/>
      <c r="S20" s="2270"/>
      <c r="T20" s="2281">
        <f>SUM(T13:X19)</f>
        <v>0</v>
      </c>
      <c r="U20" s="2262"/>
      <c r="V20" s="2262"/>
      <c r="W20" s="2262"/>
      <c r="X20" s="2262"/>
      <c r="Y20" s="2281">
        <f>SUM(Y13:AC19)</f>
        <v>0</v>
      </c>
      <c r="Z20" s="2262"/>
      <c r="AA20" s="2262"/>
      <c r="AB20" s="2262"/>
      <c r="AC20" s="2262"/>
      <c r="AD20" s="2272">
        <f>SUM(AD13:AH19)</f>
        <v>0</v>
      </c>
      <c r="AE20" s="2280"/>
      <c r="AF20" s="2280"/>
      <c r="AG20" s="2280"/>
      <c r="AH20" s="2281"/>
      <c r="AI20" s="2272">
        <f>SUM(AI13:AM19)</f>
        <v>0</v>
      </c>
      <c r="AJ20" s="2280"/>
      <c r="AK20" s="2280"/>
      <c r="AL20" s="2280"/>
      <c r="AM20" s="2281"/>
    </row>
    <row r="21" spans="1:40" ht="12.95" customHeight="1">
      <c r="B21" s="2268" t="s">
        <v>2074</v>
      </c>
      <c r="C21" s="2269"/>
      <c r="D21" s="2269"/>
      <c r="E21" s="2269"/>
      <c r="F21" s="2269"/>
      <c r="G21" s="2269"/>
      <c r="H21" s="2269"/>
      <c r="I21" s="2269"/>
      <c r="J21" s="2269"/>
      <c r="K21" s="2269"/>
      <c r="L21" s="2269"/>
      <c r="M21" s="2269"/>
      <c r="N21" s="2269"/>
      <c r="O21" s="2269"/>
      <c r="P21" s="2269"/>
      <c r="Q21" s="2269"/>
      <c r="R21" s="2269"/>
      <c r="S21" s="2270"/>
      <c r="T21" s="2290"/>
      <c r="U21" s="2291"/>
      <c r="V21" s="2291"/>
      <c r="W21" s="2291"/>
      <c r="X21" s="2291"/>
      <c r="Y21" s="2290"/>
      <c r="Z21" s="2291"/>
      <c r="AA21" s="2291"/>
      <c r="AB21" s="2291"/>
      <c r="AC21" s="2291"/>
      <c r="AD21" s="2297"/>
      <c r="AE21" s="2298"/>
      <c r="AF21" s="2298"/>
      <c r="AG21" s="2298"/>
      <c r="AH21" s="2299"/>
      <c r="AI21" s="2297"/>
      <c r="AJ21" s="2298"/>
      <c r="AK21" s="2298"/>
      <c r="AL21" s="2298"/>
      <c r="AM21" s="2299"/>
    </row>
    <row r="22" spans="1:40" ht="12.95" customHeight="1">
      <c r="B22" s="2268" t="s">
        <v>2075</v>
      </c>
      <c r="C22" s="2269"/>
      <c r="D22" s="2269"/>
      <c r="E22" s="2269"/>
      <c r="F22" s="2269"/>
      <c r="G22" s="2269"/>
      <c r="H22" s="2269"/>
      <c r="I22" s="2269"/>
      <c r="J22" s="2269"/>
      <c r="K22" s="2269"/>
      <c r="L22" s="2269"/>
      <c r="M22" s="2269"/>
      <c r="N22" s="2269"/>
      <c r="O22" s="2269"/>
      <c r="P22" s="2269"/>
      <c r="Q22" s="2269"/>
      <c r="R22" s="2269"/>
      <c r="S22" s="2270"/>
      <c r="T22" s="2286">
        <f>(ABS(T20)+ABS(T21))*-1</f>
        <v>0</v>
      </c>
      <c r="U22" s="2287"/>
      <c r="V22" s="2287"/>
      <c r="W22" s="2287"/>
      <c r="X22" s="2287"/>
      <c r="Y22" s="2286">
        <f>(Y20+Y21)*-1</f>
        <v>0</v>
      </c>
      <c r="Z22" s="2287"/>
      <c r="AA22" s="2287"/>
      <c r="AB22" s="2287"/>
      <c r="AC22" s="2287"/>
      <c r="AD22" s="2288">
        <f>(AD20)*-1</f>
        <v>0</v>
      </c>
      <c r="AE22" s="2289"/>
      <c r="AF22" s="2289"/>
      <c r="AG22" s="2289"/>
      <c r="AH22" s="2286"/>
      <c r="AI22" s="2288">
        <f>(AI20)*-1</f>
        <v>0</v>
      </c>
      <c r="AJ22" s="2289"/>
      <c r="AK22" s="2289"/>
      <c r="AL22" s="2289"/>
      <c r="AM22" s="2286"/>
    </row>
    <row r="23" spans="1:40" ht="12.95" customHeight="1">
      <c r="B23" s="2268" t="s">
        <v>2076</v>
      </c>
      <c r="C23" s="2269"/>
      <c r="D23" s="2269"/>
      <c r="E23" s="2269"/>
      <c r="F23" s="2269"/>
      <c r="G23" s="2269"/>
      <c r="H23" s="2269"/>
      <c r="I23" s="2269"/>
      <c r="J23" s="2269"/>
      <c r="K23" s="2269"/>
      <c r="L23" s="2269"/>
      <c r="M23" s="2269"/>
      <c r="N23" s="2269"/>
      <c r="O23" s="2269"/>
      <c r="P23" s="2269"/>
      <c r="Q23" s="2269"/>
      <c r="R23" s="2269"/>
      <c r="S23" s="2270"/>
      <c r="T23" s="2281">
        <f>T11+T22</f>
        <v>8202375</v>
      </c>
      <c r="U23" s="2262"/>
      <c r="V23" s="2262"/>
      <c r="W23" s="2262"/>
      <c r="X23" s="2262"/>
      <c r="Y23" s="2281">
        <f>Y11+Y22</f>
        <v>0</v>
      </c>
      <c r="Z23" s="2262"/>
      <c r="AA23" s="2262"/>
      <c r="AB23" s="2262"/>
      <c r="AC23" s="2262"/>
      <c r="AD23" s="2281">
        <f>AD11+AD22</f>
        <v>9027500</v>
      </c>
      <c r="AE23" s="2262"/>
      <c r="AF23" s="2262"/>
      <c r="AG23" s="2262"/>
      <c r="AH23" s="2262"/>
      <c r="AI23" s="2281">
        <f>AI11+AI22</f>
        <v>0</v>
      </c>
      <c r="AJ23" s="2262"/>
      <c r="AK23" s="2262"/>
      <c r="AL23" s="2262"/>
      <c r="AM23" s="2262"/>
    </row>
    <row r="24" spans="1:40" ht="12.95" customHeight="1">
      <c r="B24" s="2268" t="s">
        <v>2077</v>
      </c>
      <c r="C24" s="2269"/>
      <c r="D24" s="2269"/>
      <c r="E24" s="2269"/>
      <c r="F24" s="2269"/>
      <c r="G24" s="2269"/>
      <c r="H24" s="2269"/>
      <c r="I24" s="2269"/>
      <c r="J24" s="2269"/>
      <c r="K24" s="2269"/>
      <c r="L24" s="2269"/>
      <c r="M24" s="2269"/>
      <c r="N24" s="2269"/>
      <c r="O24" s="2269"/>
      <c r="P24" s="2269"/>
      <c r="Q24" s="2269"/>
      <c r="R24" s="2269"/>
      <c r="S24" s="2270"/>
      <c r="T24" s="2272">
        <f>Application!AJ1062</f>
        <v>30970696.16</v>
      </c>
      <c r="U24" s="2280"/>
      <c r="V24" s="2280"/>
      <c r="W24" s="2280"/>
      <c r="X24" s="2280"/>
      <c r="Y24" s="2280"/>
      <c r="Z24" s="2280"/>
      <c r="AA24" s="2280"/>
      <c r="AB24" s="2280"/>
      <c r="AC24" s="2280"/>
      <c r="AD24" s="2280"/>
      <c r="AE24" s="2280"/>
      <c r="AF24" s="2280"/>
      <c r="AG24" s="2280"/>
      <c r="AH24" s="2280"/>
      <c r="AI24" s="2280"/>
      <c r="AJ24" s="2280"/>
      <c r="AK24" s="2280"/>
      <c r="AL24" s="2280"/>
      <c r="AM24" s="2281"/>
    </row>
    <row r="25" spans="1:40" ht="12.95" customHeight="1">
      <c r="B25" s="2312" t="s">
        <v>2078</v>
      </c>
      <c r="C25" s="2313"/>
      <c r="D25" s="2313"/>
      <c r="E25" s="2313"/>
      <c r="F25" s="2313"/>
      <c r="G25" s="2313"/>
      <c r="H25" s="2313"/>
      <c r="I25" s="2313"/>
      <c r="J25" s="2313"/>
      <c r="K25" s="2313"/>
      <c r="L25" s="2313"/>
      <c r="M25" s="2313"/>
      <c r="N25" s="2313"/>
      <c r="O25" s="2313"/>
      <c r="P25" s="2313"/>
      <c r="Q25" s="2313"/>
      <c r="R25" s="2313"/>
      <c r="S25" s="2314"/>
      <c r="T25" s="2294">
        <f>IF(OR(Application!T196="yes",Application!T195="yes"),1.3,1)</f>
        <v>1.3</v>
      </c>
      <c r="U25" s="2295"/>
      <c r="V25" s="2295"/>
      <c r="W25" s="2295"/>
      <c r="X25" s="2295"/>
      <c r="Y25" s="2294">
        <v>1</v>
      </c>
      <c r="Z25" s="2295"/>
      <c r="AA25" s="2295"/>
      <c r="AB25" s="2295"/>
      <c r="AC25" s="2295"/>
      <c r="AD25" s="2294">
        <v>1</v>
      </c>
      <c r="AE25" s="2295"/>
      <c r="AF25" s="2295"/>
      <c r="AG25" s="2295"/>
      <c r="AH25" s="2296"/>
      <c r="AI25" s="2294">
        <v>1</v>
      </c>
      <c r="AJ25" s="2295"/>
      <c r="AK25" s="2295"/>
      <c r="AL25" s="2295"/>
      <c r="AM25" s="2296"/>
    </row>
    <row r="26" spans="1:40" ht="12.95" customHeight="1">
      <c r="B26" s="2268" t="s">
        <v>2079</v>
      </c>
      <c r="C26" s="2269"/>
      <c r="D26" s="2269"/>
      <c r="E26" s="2269"/>
      <c r="F26" s="2269"/>
      <c r="G26" s="2269"/>
      <c r="H26" s="2269"/>
      <c r="I26" s="2269"/>
      <c r="J26" s="2269"/>
      <c r="K26" s="2269"/>
      <c r="L26" s="2269"/>
      <c r="M26" s="2269"/>
      <c r="N26" s="2269"/>
      <c r="O26" s="2269"/>
      <c r="P26" s="2269"/>
      <c r="Q26" s="2269"/>
      <c r="R26" s="2269"/>
      <c r="S26" s="2270"/>
      <c r="T26" s="2281">
        <f>T23*T25</f>
        <v>10663087.5</v>
      </c>
      <c r="U26" s="2262"/>
      <c r="V26" s="2262"/>
      <c r="W26" s="2262"/>
      <c r="X26" s="2262"/>
      <c r="Y26" s="2281">
        <f>Y23*Y25</f>
        <v>0</v>
      </c>
      <c r="Z26" s="2262"/>
      <c r="AA26" s="2262"/>
      <c r="AB26" s="2262"/>
      <c r="AC26" s="2262"/>
      <c r="AD26" s="2281">
        <f>AD23*AD25</f>
        <v>9027500</v>
      </c>
      <c r="AE26" s="2262"/>
      <c r="AF26" s="2262"/>
      <c r="AG26" s="2262"/>
      <c r="AH26" s="2262"/>
      <c r="AI26" s="2281">
        <f>AI23*AI25</f>
        <v>0</v>
      </c>
      <c r="AJ26" s="2262"/>
      <c r="AK26" s="2262"/>
      <c r="AL26" s="2262"/>
      <c r="AM26" s="2262"/>
    </row>
    <row r="27" spans="1:40" ht="12.95" customHeight="1">
      <c r="A27" s="313"/>
      <c r="B27" s="2315" t="s">
        <v>2080</v>
      </c>
      <c r="C27" s="2316"/>
      <c r="D27" s="2316"/>
      <c r="E27" s="2316"/>
      <c r="F27" s="2316"/>
      <c r="G27" s="2316"/>
      <c r="H27" s="2316"/>
      <c r="I27" s="2316"/>
      <c r="J27" s="2316"/>
      <c r="K27" s="2316"/>
      <c r="L27" s="2316"/>
      <c r="M27" s="2316"/>
      <c r="N27" s="2316"/>
      <c r="O27" s="2316"/>
      <c r="P27" s="2316"/>
      <c r="Q27" s="2316"/>
      <c r="R27" s="2316"/>
      <c r="S27" s="2317"/>
      <c r="T27" s="2292">
        <f>Application!$AG$454</f>
        <v>0.96644857449902022</v>
      </c>
      <c r="U27" s="2293"/>
      <c r="V27" s="2293"/>
      <c r="W27" s="2293"/>
      <c r="X27" s="2293"/>
      <c r="Y27" s="2292">
        <f>Application!$AG$454</f>
        <v>0.96644857449902022</v>
      </c>
      <c r="Z27" s="2293"/>
      <c r="AA27" s="2293"/>
      <c r="AB27" s="2293"/>
      <c r="AC27" s="2293"/>
      <c r="AD27" s="2292">
        <f>Application!$AG$454</f>
        <v>0.96644857449902022</v>
      </c>
      <c r="AE27" s="2293"/>
      <c r="AF27" s="2293"/>
      <c r="AG27" s="2293"/>
      <c r="AH27" s="2293"/>
      <c r="AI27" s="2292">
        <f>Application!$AG$454</f>
        <v>0.96644857449902022</v>
      </c>
      <c r="AJ27" s="2293"/>
      <c r="AK27" s="2293"/>
      <c r="AL27" s="2293"/>
      <c r="AM27" s="2293"/>
    </row>
    <row r="28" spans="1:40" ht="12.95" customHeight="1">
      <c r="A28" s="307"/>
      <c r="B28" s="2268" t="s">
        <v>2081</v>
      </c>
      <c r="C28" s="2269"/>
      <c r="D28" s="2269"/>
      <c r="E28" s="2269"/>
      <c r="F28" s="2269"/>
      <c r="G28" s="2269"/>
      <c r="H28" s="2269"/>
      <c r="I28" s="2269"/>
      <c r="J28" s="2269"/>
      <c r="K28" s="2269"/>
      <c r="L28" s="2269"/>
      <c r="M28" s="2269"/>
      <c r="N28" s="2269"/>
      <c r="O28" s="2269"/>
      <c r="P28" s="2269"/>
      <c r="Q28" s="2269"/>
      <c r="R28" s="2269"/>
      <c r="S28" s="2270"/>
      <c r="T28" s="2281">
        <f>IF(ISERROR((T26*T27)),0,(T26*T27))</f>
        <v>10305325.71413332</v>
      </c>
      <c r="U28" s="2262"/>
      <c r="V28" s="2262"/>
      <c r="W28" s="2262"/>
      <c r="X28" s="2262"/>
      <c r="Y28" s="2281">
        <f>IF(ISERROR((Y26*Y27)),0,(Y26*Y27))</f>
        <v>0</v>
      </c>
      <c r="Z28" s="2262"/>
      <c r="AA28" s="2262"/>
      <c r="AB28" s="2262"/>
      <c r="AC28" s="2262"/>
      <c r="AD28" s="2281">
        <f>IF(ISERROR((AD26*AD27)),0,(AD26*AD27))</f>
        <v>8724614.5062899049</v>
      </c>
      <c r="AE28" s="2262"/>
      <c r="AF28" s="2262"/>
      <c r="AG28" s="2262"/>
      <c r="AH28" s="2262"/>
      <c r="AI28" s="2281">
        <f>IF(ISERROR((AI26*AI27)),0,(AI26*AI27))</f>
        <v>0</v>
      </c>
      <c r="AJ28" s="2262"/>
      <c r="AK28" s="2262"/>
      <c r="AL28" s="2262"/>
      <c r="AM28" s="2262"/>
    </row>
    <row r="29" spans="1:40" ht="12.95" customHeight="1">
      <c r="B29" s="2268" t="s">
        <v>2082</v>
      </c>
      <c r="C29" s="2269"/>
      <c r="D29" s="2269"/>
      <c r="E29" s="2269"/>
      <c r="F29" s="2269"/>
      <c r="G29" s="2269"/>
      <c r="H29" s="2269"/>
      <c r="I29" s="2269"/>
      <c r="J29" s="2269"/>
      <c r="K29" s="2269"/>
      <c r="L29" s="2269"/>
      <c r="M29" s="2269"/>
      <c r="N29" s="2269"/>
      <c r="O29" s="2269"/>
      <c r="P29" s="2269"/>
      <c r="Q29" s="2269"/>
      <c r="R29" s="2269"/>
      <c r="S29" s="2270"/>
      <c r="T29" s="2272">
        <f>T28+Y28+AD28+AI28</f>
        <v>19029940.220423225</v>
      </c>
      <c r="U29" s="2280"/>
      <c r="V29" s="2280"/>
      <c r="W29" s="2280"/>
      <c r="X29" s="2280"/>
      <c r="Y29" s="2280"/>
      <c r="Z29" s="2280"/>
      <c r="AA29" s="2280"/>
      <c r="AB29" s="2280"/>
      <c r="AC29" s="2280"/>
      <c r="AD29" s="2280"/>
      <c r="AE29" s="2280"/>
      <c r="AF29" s="2280"/>
      <c r="AG29" s="2280"/>
      <c r="AH29" s="2280"/>
      <c r="AI29" s="2280"/>
      <c r="AJ29" s="2280"/>
      <c r="AK29" s="2280"/>
      <c r="AL29" s="2280"/>
      <c r="AM29" s="2281"/>
    </row>
    <row r="30" spans="1:40" ht="12.95" customHeight="1">
      <c r="B30" s="2285" t="s">
        <v>2083</v>
      </c>
      <c r="C30" s="2285"/>
      <c r="D30" s="2285"/>
      <c r="E30" s="2285"/>
      <c r="F30" s="2285"/>
      <c r="G30" s="2285"/>
      <c r="H30" s="2285"/>
      <c r="I30" s="2285"/>
      <c r="J30" s="2285"/>
      <c r="K30" s="2285"/>
      <c r="L30" s="2285"/>
      <c r="M30" s="2285"/>
      <c r="N30" s="2285"/>
      <c r="O30" s="2285"/>
      <c r="P30" s="2285"/>
      <c r="Q30" s="2285"/>
      <c r="R30" s="2285"/>
      <c r="S30" s="2285"/>
      <c r="T30" s="2285"/>
      <c r="U30" s="2285"/>
      <c r="V30" s="2285"/>
      <c r="W30" s="2285"/>
      <c r="X30" s="2285"/>
      <c r="Y30" s="2285"/>
      <c r="Z30" s="2285"/>
      <c r="AA30" s="2285"/>
      <c r="AB30" s="2285"/>
      <c r="AC30" s="2285"/>
      <c r="AD30" s="2285"/>
      <c r="AE30" s="2285"/>
      <c r="AF30" s="2285"/>
      <c r="AG30" s="2285"/>
      <c r="AH30" s="2285"/>
      <c r="AI30" s="2285"/>
      <c r="AJ30" s="2285"/>
      <c r="AK30" s="2285"/>
      <c r="AL30" s="2285"/>
      <c r="AM30" s="2285"/>
    </row>
    <row r="31" spans="1:40" ht="12.95" customHeight="1">
      <c r="B31" s="2285" t="s">
        <v>2084</v>
      </c>
      <c r="C31" s="2285"/>
      <c r="D31" s="2285"/>
      <c r="E31" s="2285"/>
      <c r="F31" s="2285"/>
      <c r="G31" s="2285"/>
      <c r="H31" s="2285"/>
      <c r="I31" s="2285"/>
      <c r="J31" s="2285"/>
      <c r="K31" s="2285"/>
      <c r="L31" s="2285"/>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c r="AN31" s="418"/>
    </row>
    <row r="32" spans="1:40" ht="12.95" customHeight="1">
      <c r="B32" s="337"/>
      <c r="C32" s="411" t="s">
        <v>2085</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927</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2" t="s">
        <v>2086</v>
      </c>
      <c r="Z35" s="2282"/>
      <c r="AA35" s="2282"/>
      <c r="AB35" s="2282"/>
      <c r="AC35" s="2282"/>
      <c r="AD35" s="2283" t="s">
        <v>2087</v>
      </c>
      <c r="AE35" s="2283"/>
      <c r="AF35" s="2283"/>
      <c r="AG35" s="2283"/>
      <c r="AH35" s="2283"/>
    </row>
    <row r="36" spans="1:76" ht="12.95" customHeight="1">
      <c r="B36" s="310"/>
      <c r="X36" s="315"/>
      <c r="Y36" s="2282"/>
      <c r="Z36" s="2282"/>
      <c r="AA36" s="2282"/>
      <c r="AB36" s="2282"/>
      <c r="AC36" s="2282"/>
      <c r="AD36" s="2283"/>
      <c r="AE36" s="2283"/>
      <c r="AF36" s="2283"/>
      <c r="AG36" s="2283"/>
      <c r="AH36" s="2283"/>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2"/>
      <c r="Z37" s="2282"/>
      <c r="AA37" s="2282"/>
      <c r="AB37" s="2282"/>
      <c r="AC37" s="2282"/>
      <c r="AD37" s="2283"/>
      <c r="AE37" s="2283"/>
      <c r="AF37" s="2283"/>
      <c r="AG37" s="2283"/>
      <c r="AH37" s="2283"/>
    </row>
    <row r="38" spans="1:76" ht="12.95" customHeight="1">
      <c r="A38" s="307"/>
      <c r="B38" s="2268" t="s">
        <v>2081</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2">
        <f>IF(T24&gt;=(T23+Y23+AD23+AI23),T28+Y28,0)</f>
        <v>10305325.71413332</v>
      </c>
      <c r="Z38" s="2262"/>
      <c r="AA38" s="2262"/>
      <c r="AB38" s="2262"/>
      <c r="AC38" s="2262"/>
      <c r="AD38" s="2262">
        <f>IF(T24&gt;=(T23+Y23+AD23+AI23),AD28+AI28,0)</f>
        <v>8724614.5062899049</v>
      </c>
      <c r="AE38" s="2262"/>
      <c r="AF38" s="2262"/>
      <c r="AG38" s="2262"/>
      <c r="AH38" s="2262"/>
    </row>
    <row r="39" spans="1:76" ht="12.95" customHeight="1">
      <c r="B39" s="2268" t="s">
        <v>2088</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84">
        <v>0.04</v>
      </c>
      <c r="Z39" s="2284"/>
      <c r="AA39" s="2284"/>
      <c r="AB39" s="2284"/>
      <c r="AC39" s="2284"/>
      <c r="AD39" s="2284">
        <v>0.04</v>
      </c>
      <c r="AE39" s="2284"/>
      <c r="AF39" s="2284"/>
      <c r="AG39" s="2284"/>
      <c r="AH39" s="2284"/>
    </row>
    <row r="40" spans="1:76" ht="12.95" customHeight="1">
      <c r="A40" s="307"/>
      <c r="B40" s="2268" t="s">
        <v>2089</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2">
        <f>ROUND(Y38*Y39,0)</f>
        <v>412213</v>
      </c>
      <c r="Z40" s="2262"/>
      <c r="AA40" s="2262"/>
      <c r="AB40" s="2262"/>
      <c r="AC40" s="2262"/>
      <c r="AD40" s="2281">
        <f>ROUND(AD38*AD39,0)</f>
        <v>348985</v>
      </c>
      <c r="AE40" s="2262"/>
      <c r="AF40" s="2262"/>
      <c r="AG40" s="2262"/>
      <c r="AH40" s="2262"/>
    </row>
    <row r="41" spans="1:76" ht="12.95" customHeight="1">
      <c r="B41" s="2268" t="s">
        <v>2090</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72">
        <f>Y40+AD40</f>
        <v>761198</v>
      </c>
      <c r="Z41" s="2280"/>
      <c r="AA41" s="2280"/>
      <c r="AB41" s="2280"/>
      <c r="AC41" s="2280"/>
      <c r="AD41" s="2280"/>
      <c r="AE41" s="2280"/>
      <c r="AF41" s="2280"/>
      <c r="AG41" s="2280"/>
      <c r="AH41" s="2281"/>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79" t="s">
        <v>2091</v>
      </c>
      <c r="B44" s="2279"/>
      <c r="C44" s="2279"/>
      <c r="D44" s="2279"/>
      <c r="E44" s="2279"/>
      <c r="F44" s="2279"/>
      <c r="G44" s="2279"/>
      <c r="H44" s="2279"/>
      <c r="I44" s="2279"/>
      <c r="J44" s="2279"/>
      <c r="K44" s="2279"/>
      <c r="L44" s="2279"/>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c r="AS44" s="2279"/>
      <c r="AT44" s="2279"/>
      <c r="AU44" s="2279"/>
      <c r="AV44" s="2279"/>
      <c r="AW44" s="2279"/>
      <c r="AX44" s="2279"/>
      <c r="AY44" s="2279"/>
      <c r="AZ44" s="2279"/>
      <c r="BA44" s="2279"/>
      <c r="BB44" s="2279"/>
      <c r="BC44" s="2279"/>
      <c r="BD44" s="2279"/>
      <c r="BE44" s="2279"/>
      <c r="BF44" s="2279"/>
      <c r="BG44" s="2279"/>
      <c r="BH44" s="2279"/>
      <c r="BI44" s="2279"/>
      <c r="BJ44" s="2279"/>
      <c r="BK44" s="2279"/>
      <c r="BL44" s="2279"/>
      <c r="BM44" s="2279"/>
      <c r="BN44" s="2279"/>
      <c r="BO44" s="2279"/>
      <c r="BP44" s="2279"/>
      <c r="BQ44" s="2279"/>
      <c r="BR44" s="2279"/>
      <c r="BS44" s="2279"/>
      <c r="BT44" s="2279"/>
      <c r="BU44" s="2279"/>
      <c r="BV44" s="2279"/>
      <c r="BW44" s="2279"/>
      <c r="BX44" s="2279"/>
    </row>
    <row r="45" spans="1:76" s="136" customFormat="1" ht="12.95" customHeight="1" thickTop="1"/>
    <row r="46" spans="1:76" ht="12.95" customHeight="1">
      <c r="A46" s="307" t="s">
        <v>1005</v>
      </c>
      <c r="C46" s="307" t="s">
        <v>282</v>
      </c>
    </row>
    <row r="47" spans="1:76" ht="12.95" customHeight="1">
      <c r="D47" s="307" t="s">
        <v>683</v>
      </c>
      <c r="AB47" s="2276">
        <f>'Sources and Uses Budget'!B105-MAX(IF('Sources and Uses Budget'!B15="",0,'Sources and Uses Budget'!B15),IF(Application!AG403="",0,Application!AG403))</f>
        <v>18560657</v>
      </c>
      <c r="AC47" s="2277"/>
      <c r="AD47" s="2277"/>
      <c r="AE47" s="2277"/>
      <c r="AF47" s="2278"/>
    </row>
    <row r="48" spans="1:76" ht="12.95" customHeight="1">
      <c r="D48" s="307" t="s">
        <v>175</v>
      </c>
      <c r="AB48" s="2276">
        <f>Application!AO647-MAX(IF('Sources and Uses Budget'!B15="",0,'Sources and Uses Budget'!B15),IF(Application!AG403="",0,Application!AG403))</f>
        <v>12471073</v>
      </c>
      <c r="AC48" s="2277"/>
      <c r="AD48" s="2277"/>
      <c r="AE48" s="2277"/>
      <c r="AF48" s="2278"/>
    </row>
    <row r="49" spans="1:76" ht="12.95" customHeight="1">
      <c r="D49" s="307" t="s">
        <v>2092</v>
      </c>
      <c r="AB49" s="2276">
        <f>AB47-AB48</f>
        <v>6089584</v>
      </c>
      <c r="AC49" s="2277"/>
      <c r="AD49" s="2277"/>
      <c r="AE49" s="2277"/>
      <c r="AF49" s="2278"/>
    </row>
    <row r="50" spans="1:76" ht="12.95" customHeight="1">
      <c r="D50" s="307" t="s">
        <v>2093</v>
      </c>
      <c r="AA50" s="318"/>
      <c r="AB50" s="2264">
        <v>0.8</v>
      </c>
      <c r="AC50" s="2265"/>
      <c r="AD50" s="2265"/>
      <c r="AE50" s="2265"/>
      <c r="AF50" s="2266"/>
    </row>
    <row r="51" spans="1:76" s="320" customFormat="1" ht="12.95" customHeight="1">
      <c r="A51" s="305"/>
      <c r="B51" s="305"/>
      <c r="C51" s="305"/>
      <c r="D51" s="305"/>
      <c r="E51" s="2275" t="s">
        <v>2094</v>
      </c>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75"/>
      <c r="F52" s="2275"/>
      <c r="G52" s="2275"/>
      <c r="H52" s="2275"/>
      <c r="I52" s="2275"/>
      <c r="J52" s="2275"/>
      <c r="K52" s="2275"/>
      <c r="L52" s="2275"/>
      <c r="M52" s="2275"/>
      <c r="N52" s="2275"/>
      <c r="O52" s="2275"/>
      <c r="P52" s="2275"/>
      <c r="Q52" s="2275"/>
      <c r="R52" s="2275"/>
      <c r="S52" s="2275"/>
      <c r="T52" s="2275"/>
      <c r="U52" s="2275"/>
      <c r="V52" s="2275"/>
      <c r="W52" s="2275"/>
      <c r="X52" s="2275"/>
      <c r="Y52" s="2275"/>
      <c r="Z52" s="2275"/>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2095</v>
      </c>
      <c r="AB54" s="2276">
        <f>ROUND(IF(ISERROR((AB49/AB50)),0,(AB49/AB50)),0)</f>
        <v>7611980</v>
      </c>
      <c r="AC54" s="2277"/>
      <c r="AD54" s="2277"/>
      <c r="AE54" s="2277"/>
      <c r="AF54" s="2278"/>
    </row>
    <row r="55" spans="1:76" ht="12.95" customHeight="1">
      <c r="D55" s="307" t="s">
        <v>2096</v>
      </c>
      <c r="AB55" s="2276">
        <f>(AB54/10)</f>
        <v>761198</v>
      </c>
      <c r="AC55" s="2277"/>
      <c r="AD55" s="2277"/>
      <c r="AE55" s="2277"/>
      <c r="AF55" s="2278"/>
    </row>
    <row r="56" spans="1:76" ht="12.95" customHeight="1">
      <c r="D56" s="307" t="s">
        <v>2097</v>
      </c>
      <c r="AB56" s="2276">
        <f>ROUND((IF((Y41&lt;AB55),Y41,AB55)),0)</f>
        <v>761198</v>
      </c>
      <c r="AC56" s="2277"/>
      <c r="AD56" s="2277"/>
      <c r="AE56" s="2277"/>
      <c r="AF56" s="2278"/>
    </row>
    <row r="57" spans="1:76" ht="12.95" customHeight="1">
      <c r="D57" s="307" t="s">
        <v>2098</v>
      </c>
      <c r="AB57" s="2276">
        <f>ROUND((10*AB56*AB50),0)</f>
        <v>6089584</v>
      </c>
      <c r="AC57" s="2277"/>
      <c r="AD57" s="2277"/>
      <c r="AE57" s="2277"/>
      <c r="AF57" s="2278"/>
    </row>
    <row r="58" spans="1:76" ht="12.95" customHeight="1">
      <c r="D58" s="307"/>
      <c r="AB58" s="326"/>
      <c r="AC58" s="326"/>
      <c r="AD58" s="326"/>
      <c r="AE58" s="326"/>
      <c r="AF58" s="326"/>
    </row>
    <row r="59" spans="1:76" ht="12.95" customHeight="1">
      <c r="D59" s="307" t="s">
        <v>2099</v>
      </c>
      <c r="AB59" s="2260">
        <f>AB49-AB57</f>
        <v>0</v>
      </c>
      <c r="AC59" s="2260"/>
      <c r="AD59" s="2260"/>
      <c r="AE59" s="2260"/>
      <c r="AF59" s="2260"/>
    </row>
    <row r="60" spans="1:76" ht="12.95" customHeight="1">
      <c r="D60" s="307"/>
      <c r="AB60" s="326"/>
      <c r="AC60" s="326"/>
      <c r="AD60" s="326"/>
      <c r="AE60" s="326"/>
      <c r="AF60" s="326"/>
    </row>
    <row r="61" spans="1:76" s="136" customFormat="1" ht="12.95" customHeight="1" thickBot="1">
      <c r="A61" s="2279" t="str">
        <f>IF(Application!AP205="yes","Farmworker State Credit", "State Credit" )</f>
        <v>State Credit</v>
      </c>
      <c r="B61" s="2279"/>
      <c r="C61" s="2279"/>
      <c r="D61" s="2279"/>
      <c r="E61" s="2279"/>
      <c r="F61" s="2279"/>
      <c r="G61" s="2279"/>
      <c r="H61" s="2279"/>
      <c r="I61" s="2279"/>
      <c r="J61" s="2279"/>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c r="AS61" s="2279"/>
      <c r="AT61" s="2279"/>
      <c r="AU61" s="2279"/>
      <c r="AV61" s="2279"/>
      <c r="AW61" s="2279"/>
      <c r="AX61" s="2279"/>
      <c r="AY61" s="2279"/>
      <c r="AZ61" s="2279"/>
      <c r="BA61" s="2279"/>
      <c r="BB61" s="2279"/>
      <c r="BC61" s="2279"/>
      <c r="BD61" s="2279"/>
      <c r="BE61" s="2279"/>
      <c r="BF61" s="2279"/>
      <c r="BG61" s="2279"/>
      <c r="BH61" s="2279"/>
      <c r="BI61" s="2279"/>
      <c r="BJ61" s="2279"/>
      <c r="BK61" s="2279"/>
      <c r="BL61" s="2279"/>
      <c r="BM61" s="2279"/>
      <c r="BN61" s="2279"/>
      <c r="BO61" s="2279"/>
      <c r="BP61" s="2279"/>
      <c r="BQ61" s="2279"/>
      <c r="BR61" s="2279"/>
      <c r="BS61" s="2279"/>
      <c r="BT61" s="2279"/>
      <c r="BU61" s="2279"/>
      <c r="BV61" s="2279"/>
      <c r="BW61" s="2279"/>
      <c r="BX61" s="2279"/>
    </row>
    <row r="62" spans="1:76" s="136" customFormat="1" ht="12.95" customHeight="1" thickTop="1"/>
    <row r="63" spans="1:76" ht="12.95" customHeight="1">
      <c r="A63" s="307" t="s">
        <v>1023</v>
      </c>
      <c r="C63" s="137" t="s">
        <v>2100</v>
      </c>
      <c r="Y63" s="2271" t="s">
        <v>2101</v>
      </c>
      <c r="Z63" s="2271"/>
      <c r="AA63" s="2271"/>
      <c r="AB63" s="2271"/>
      <c r="AC63" s="2271"/>
      <c r="AD63" s="2271" t="s">
        <v>2087</v>
      </c>
      <c r="AE63" s="2271"/>
      <c r="AF63" s="2271"/>
      <c r="AG63" s="2271"/>
      <c r="AH63" s="2271"/>
    </row>
    <row r="64" spans="1:76" ht="12.95" customHeight="1">
      <c r="C64" s="307"/>
      <c r="D64" s="280" t="s">
        <v>2102</v>
      </c>
      <c r="E64" s="323"/>
      <c r="F64" s="323"/>
      <c r="G64" s="323"/>
      <c r="H64" s="323"/>
      <c r="I64" s="323"/>
      <c r="J64" s="323"/>
      <c r="K64" s="323"/>
      <c r="L64" s="323"/>
      <c r="M64" s="323"/>
      <c r="N64" s="323"/>
      <c r="O64" s="323"/>
      <c r="P64" s="323"/>
      <c r="Q64" s="323"/>
      <c r="R64" s="323"/>
      <c r="S64" s="323"/>
      <c r="T64" s="323"/>
      <c r="U64" s="323"/>
      <c r="V64" s="323"/>
      <c r="W64" s="323"/>
      <c r="X64" s="323"/>
      <c r="Y64" s="2272">
        <f>IF(Application!$Z$205="(select)",0,((T23*T27)+Y28))</f>
        <v>0</v>
      </c>
      <c r="Z64" s="2273"/>
      <c r="AA64" s="2273"/>
      <c r="AB64" s="2273"/>
      <c r="AC64" s="2274"/>
      <c r="AD64" s="2272">
        <f>IF(AND(OR(Application!D211="At-Risk",Application!D211="At-Risk and Special Needs"),Application!M367="yes"),AD28+AI28,0)</f>
        <v>0</v>
      </c>
      <c r="AE64" s="2273"/>
      <c r="AF64" s="2273"/>
      <c r="AG64" s="2273"/>
      <c r="AH64" s="2274"/>
    </row>
    <row r="65" spans="1:37" ht="12.95" customHeight="1">
      <c r="C65" s="307"/>
      <c r="E65" s="904" t="s">
        <v>2103</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2104</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2105</v>
      </c>
      <c r="E67" s="324"/>
      <c r="F67" s="324"/>
      <c r="G67" s="324"/>
      <c r="H67" s="324"/>
      <c r="I67" s="324"/>
      <c r="J67" s="324"/>
      <c r="K67" s="324"/>
      <c r="L67" s="324"/>
      <c r="M67" s="324"/>
      <c r="N67" s="324"/>
      <c r="O67" s="324"/>
      <c r="P67" s="324"/>
      <c r="Q67" s="324"/>
      <c r="R67" s="324"/>
      <c r="S67" s="324"/>
      <c r="T67" s="324"/>
      <c r="U67" s="324"/>
      <c r="V67" s="324"/>
      <c r="W67" s="324"/>
      <c r="X67" s="324"/>
      <c r="Y67" s="2261">
        <f>IF(OR(Application!Z205="State Farmworker Credit",Application!Z205="$500M (Farmworker Housing)"),0.75,IF(Application!Z205="15% set-aside",0.13,IF(Application!Z205="15% set-aside with qualifying low value rehab",0.95,IF(Application!Z205="$500M",0.3,0))))</f>
        <v>0</v>
      </c>
      <c r="Z67" s="2261"/>
      <c r="AA67" s="2261"/>
      <c r="AB67" s="2261"/>
      <c r="AC67" s="2261"/>
      <c r="AD67" s="2261">
        <f>IF(Application!Z205="15% set-aside with qualifying low value rehab", 0.95,IF(OR(Application!D211="At-Risk",'Points System'!B26="Yes"),0.13,0))</f>
        <v>0</v>
      </c>
      <c r="AE67" s="2261"/>
      <c r="AF67" s="2261"/>
      <c r="AG67" s="2261"/>
      <c r="AH67" s="2261"/>
    </row>
    <row r="68" spans="1:37" ht="12.95" customHeight="1">
      <c r="C68" s="307"/>
      <c r="D68" s="137" t="s">
        <v>2106</v>
      </c>
      <c r="Y68" s="2262">
        <f>IF(AND(T25=1.3,OR(Y67=0.13,Y67=0.95),NOT(Application!T212&gt;=50%)),0,ROUND(Y64*Y67,0))</f>
        <v>0</v>
      </c>
      <c r="Z68" s="2263"/>
      <c r="AA68" s="2263"/>
      <c r="AB68" s="2263"/>
      <c r="AC68" s="2263"/>
      <c r="AD68" s="2262">
        <f>IF(AND(T25=1.3,AD67&gt;0,NOT(Application!T212&gt;=50%)),0,ROUND(AD64*AD67,0))</f>
        <v>0</v>
      </c>
      <c r="AE68" s="2263"/>
      <c r="AF68" s="2263"/>
      <c r="AG68" s="2263"/>
      <c r="AH68" s="2263"/>
      <c r="AK68" s="1081"/>
    </row>
    <row r="69" spans="1:37" ht="12.95" customHeight="1">
      <c r="C69" s="307"/>
      <c r="D69" s="137" t="s">
        <v>2107</v>
      </c>
      <c r="Y69" s="2262">
        <f>IF(OR(Application!Z205="State Farmworker Credit",Application!Z205="$500M (Farmworker Housing)"),Y68+AD68,MIN(Y68+AD68,200000*(Application!G761+Application!O785)))</f>
        <v>0</v>
      </c>
      <c r="Z69" s="2262"/>
      <c r="AA69" s="2262"/>
      <c r="AB69" s="2262"/>
      <c r="AC69" s="2262"/>
      <c r="AD69" s="2262"/>
      <c r="AE69" s="2262"/>
      <c r="AF69" s="2262"/>
      <c r="AG69" s="2262"/>
      <c r="AH69" s="2262"/>
    </row>
    <row r="70" spans="1:37" ht="12.95" customHeight="1">
      <c r="C70" s="307"/>
      <c r="E70" s="307"/>
      <c r="AB70" s="325"/>
      <c r="AC70" s="325"/>
      <c r="AD70" s="325"/>
      <c r="AE70" s="325"/>
      <c r="AF70" s="325"/>
    </row>
    <row r="71" spans="1:37" ht="12.95" customHeight="1">
      <c r="A71" s="307" t="s">
        <v>1035</v>
      </c>
      <c r="C71" s="137" t="s">
        <v>288</v>
      </c>
    </row>
    <row r="72" spans="1:37" ht="12.95" customHeight="1">
      <c r="A72" s="307"/>
      <c r="C72" s="307"/>
      <c r="D72" s="137" t="s">
        <v>737</v>
      </c>
      <c r="AB72" s="2264"/>
      <c r="AC72" s="2265"/>
      <c r="AD72" s="2265"/>
      <c r="AE72" s="2265"/>
      <c r="AF72" s="2266"/>
    </row>
    <row r="73" spans="1:37" ht="12.95" customHeight="1">
      <c r="A73" s="307"/>
      <c r="C73" s="307"/>
      <c r="D73" s="307"/>
      <c r="E73" s="2267" t="s">
        <v>2108</v>
      </c>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2267"/>
      <c r="AB73" s="341"/>
      <c r="AC73" s="341"/>
    </row>
    <row r="74" spans="1:37" ht="12.95" customHeight="1">
      <c r="A74" s="307"/>
      <c r="C74" s="307"/>
      <c r="D74" s="307"/>
      <c r="E74" s="2267"/>
      <c r="F74" s="2267"/>
      <c r="G74" s="2267"/>
      <c r="H74" s="2267"/>
      <c r="I74" s="2267"/>
      <c r="J74" s="2267"/>
      <c r="K74" s="2267"/>
      <c r="L74" s="2267"/>
      <c r="M74" s="2267"/>
      <c r="N74" s="2267"/>
      <c r="O74" s="2267"/>
      <c r="P74" s="2267"/>
      <c r="Q74" s="2267"/>
      <c r="R74" s="2267"/>
      <c r="S74" s="2267"/>
      <c r="T74" s="2267"/>
      <c r="U74" s="2267"/>
      <c r="V74" s="2267"/>
      <c r="W74" s="2267"/>
      <c r="X74" s="2267"/>
      <c r="Y74" s="2267"/>
      <c r="Z74" s="2267"/>
      <c r="AA74" s="2267"/>
      <c r="AB74" s="341"/>
      <c r="AC74" s="341"/>
    </row>
    <row r="75" spans="1:37" ht="12.95" customHeight="1">
      <c r="A75" s="307"/>
      <c r="C75" s="307"/>
      <c r="D75" s="307"/>
      <c r="E75" s="2267"/>
      <c r="F75" s="2267"/>
      <c r="G75" s="2267"/>
      <c r="H75" s="2267"/>
      <c r="I75" s="2267"/>
      <c r="J75" s="2267"/>
      <c r="K75" s="2267"/>
      <c r="L75" s="2267"/>
      <c r="M75" s="2267"/>
      <c r="N75" s="2267"/>
      <c r="O75" s="2267"/>
      <c r="P75" s="2267"/>
      <c r="Q75" s="2267"/>
      <c r="R75" s="2267"/>
      <c r="S75" s="2267"/>
      <c r="T75" s="2267"/>
      <c r="U75" s="2267"/>
      <c r="V75" s="2267"/>
      <c r="W75" s="2267"/>
      <c r="X75" s="2267"/>
      <c r="Y75" s="2267"/>
      <c r="Z75" s="2267"/>
      <c r="AA75" s="2267"/>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2109</v>
      </c>
      <c r="AB77" s="2255">
        <f>ROUND(IF(ISERROR((AB59/AB72)),0,(AB59/AB72)),0)</f>
        <v>0</v>
      </c>
      <c r="AC77" s="2255"/>
      <c r="AD77" s="2255"/>
      <c r="AE77" s="2255"/>
      <c r="AF77" s="2255"/>
    </row>
    <row r="78" spans="1:37" ht="12.95" customHeight="1">
      <c r="C78" s="307"/>
      <c r="D78" s="137" t="s">
        <v>2110</v>
      </c>
      <c r="AB78" s="2256">
        <f>ROUNDUP(MIN(Y69,AB77),0)</f>
        <v>0</v>
      </c>
      <c r="AC78" s="2257"/>
      <c r="AD78" s="2257"/>
      <c r="AE78" s="2257"/>
      <c r="AF78" s="2258"/>
    </row>
    <row r="79" spans="1:37" ht="12.95" customHeight="1">
      <c r="C79" s="307"/>
      <c r="D79" s="137" t="s">
        <v>2111</v>
      </c>
      <c r="AB79" s="2259">
        <f>AB78*AB72</f>
        <v>0</v>
      </c>
      <c r="AC79" s="2259"/>
      <c r="AD79" s="2259"/>
      <c r="AE79" s="2259"/>
      <c r="AF79" s="2259"/>
    </row>
    <row r="80" spans="1:37" ht="12.95" customHeight="1">
      <c r="C80" s="307"/>
      <c r="D80" s="307"/>
      <c r="AB80" s="328"/>
      <c r="AC80" s="328"/>
      <c r="AD80" s="328"/>
      <c r="AE80" s="328"/>
      <c r="AF80" s="328"/>
    </row>
    <row r="81" spans="1:78" ht="12.95" customHeight="1">
      <c r="D81" s="307" t="s">
        <v>2099</v>
      </c>
      <c r="AB81" s="2260">
        <f>AB49-(AB57+AB79)</f>
        <v>0</v>
      </c>
      <c r="AC81" s="2260"/>
      <c r="AD81" s="2260"/>
      <c r="AE81" s="2260"/>
      <c r="AF81" s="2260"/>
    </row>
    <row r="82" spans="1:78" ht="12.95" customHeight="1">
      <c r="F82" s="422"/>
      <c r="J82" s="422" t="str">
        <f>IF(AB81&gt;0,"FUNDING GAP MUST NOT EXCEED ZERO","")</f>
        <v/>
      </c>
    </row>
    <row r="83" spans="1:78" ht="12.95" customHeight="1">
      <c r="D83" s="423"/>
    </row>
    <row r="84" spans="1:78" ht="12.95" customHeight="1" thickBot="1">
      <c r="A84" s="2279"/>
      <c r="B84" s="2279"/>
      <c r="C84" s="2279"/>
      <c r="D84" s="2279"/>
      <c r="E84" s="2279"/>
      <c r="F84" s="2279"/>
      <c r="G84" s="2279"/>
      <c r="H84" s="2279"/>
      <c r="I84" s="2279"/>
      <c r="J84" s="2279"/>
      <c r="K84" s="2279"/>
      <c r="L84" s="2279"/>
      <c r="M84" s="2279"/>
      <c r="N84" s="2279"/>
      <c r="O84" s="2279"/>
      <c r="P84" s="2279"/>
      <c r="Q84" s="2279"/>
      <c r="R84" s="2279"/>
      <c r="S84" s="2279"/>
      <c r="T84" s="2279"/>
      <c r="U84" s="2279"/>
      <c r="V84" s="2279"/>
      <c r="W84" s="2279"/>
      <c r="X84" s="2279"/>
      <c r="Y84" s="2279"/>
      <c r="Z84" s="2279"/>
      <c r="AA84" s="2279"/>
      <c r="AB84" s="2279"/>
      <c r="AC84" s="2279"/>
      <c r="AD84" s="2279"/>
      <c r="AE84" s="2279"/>
      <c r="AF84" s="2279"/>
      <c r="AG84" s="2279"/>
      <c r="AH84" s="2279"/>
      <c r="AI84" s="2279"/>
      <c r="AJ84" s="2279"/>
      <c r="AK84" s="2279"/>
      <c r="AL84" s="2279"/>
      <c r="AM84" s="2279"/>
      <c r="AN84" s="2279"/>
      <c r="AO84" s="2279"/>
      <c r="AP84" s="2279"/>
      <c r="AQ84" s="2279"/>
      <c r="AR84" s="2279"/>
      <c r="AS84" s="2279"/>
      <c r="AT84" s="2279"/>
      <c r="AU84" s="2279"/>
      <c r="AV84" s="2279"/>
      <c r="AW84" s="2279"/>
      <c r="AX84" s="2279"/>
      <c r="AY84" s="2279"/>
      <c r="AZ84" s="2279"/>
      <c r="BA84" s="2279"/>
      <c r="BB84" s="2279"/>
      <c r="BC84" s="2279"/>
      <c r="BD84" s="2279"/>
      <c r="BE84" s="2279"/>
      <c r="BF84" s="2279"/>
      <c r="BG84" s="2279"/>
      <c r="BH84" s="2279"/>
      <c r="BI84" s="2279"/>
      <c r="BJ84" s="2279"/>
      <c r="BK84" s="2279"/>
      <c r="BL84" s="2279"/>
      <c r="BM84" s="2279"/>
      <c r="BN84" s="2279"/>
      <c r="BO84" s="2279"/>
      <c r="BP84" s="2279"/>
      <c r="BQ84" s="2279"/>
      <c r="BR84" s="2279"/>
      <c r="BS84" s="2279"/>
      <c r="BT84" s="2279"/>
      <c r="BU84" s="2279"/>
      <c r="BV84" s="2279"/>
      <c r="BW84" s="2279"/>
      <c r="BX84" s="2279"/>
    </row>
    <row r="85" spans="1:78" ht="12.95" customHeight="1" thickTop="1"/>
    <row r="86" spans="1:78" ht="12.95" hidden="1" customHeight="1">
      <c r="A86" s="307"/>
      <c r="C86" s="137"/>
    </row>
    <row r="87" spans="1:78" ht="12.95" hidden="1" customHeight="1">
      <c r="D87" s="137"/>
      <c r="AB87" s="2311"/>
      <c r="AC87" s="2311"/>
      <c r="AD87" s="2311"/>
      <c r="AE87" s="2311"/>
      <c r="AF87" s="2311"/>
    </row>
    <row r="88" spans="1:78" ht="12.95" hidden="1" customHeight="1" thickBot="1">
      <c r="D88" s="137"/>
      <c r="AB88" s="2310"/>
      <c r="AC88" s="2310"/>
      <c r="AD88" s="2310"/>
      <c r="AE88" s="2310"/>
      <c r="AF88" s="2310"/>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B7" sqref="B7:AK22"/>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1" ht="15.75" customHeight="1">
      <c r="A1" s="2354" t="s">
        <v>2112</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row>
    <row r="2" spans="1:41" s="436" customFormat="1" ht="12.75"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2113</v>
      </c>
      <c r="B4" s="439" t="s">
        <v>2114</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2115</v>
      </c>
      <c r="B7" s="439" t="s">
        <v>2116</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7" t="s">
        <v>2117</v>
      </c>
      <c r="AF7" s="2347"/>
      <c r="AG7" s="2347"/>
      <c r="AH7" s="2347"/>
      <c r="AI7" s="2347"/>
      <c r="AJ7" s="2347"/>
      <c r="AK7" s="2347"/>
      <c r="AL7" s="440"/>
      <c r="AM7" s="440"/>
      <c r="AN7" s="435"/>
    </row>
    <row r="8" spans="1:41" s="436" customFormat="1" ht="12.75" customHeight="1">
      <c r="A8" s="438"/>
      <c r="B8" s="439" t="s">
        <v>2118</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2119</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19" t="s">
        <v>860</v>
      </c>
      <c r="C12" s="2319"/>
      <c r="D12" s="440"/>
      <c r="E12" s="2335" t="s">
        <v>2120</v>
      </c>
      <c r="F12" s="2336"/>
      <c r="G12" s="2336"/>
      <c r="H12" s="2336"/>
      <c r="I12" s="2336"/>
      <c r="J12" s="2336"/>
      <c r="K12" s="2336"/>
      <c r="L12" s="2336"/>
      <c r="M12" s="2336"/>
      <c r="N12" s="2336"/>
      <c r="O12" s="2336"/>
      <c r="P12" s="2336"/>
      <c r="Q12" s="2336"/>
      <c r="R12" s="2336"/>
      <c r="S12" s="2336"/>
      <c r="T12" s="2336"/>
      <c r="U12" s="2336"/>
      <c r="V12" s="2336"/>
      <c r="W12" s="2336"/>
      <c r="X12" s="2336"/>
      <c r="Y12" s="2336"/>
      <c r="Z12" s="2336"/>
      <c r="AA12" s="2336"/>
      <c r="AB12" s="2336"/>
      <c r="AC12" s="2336"/>
      <c r="AD12" s="2336"/>
      <c r="AE12" s="2336"/>
      <c r="AF12" s="2336"/>
      <c r="AG12" s="2336"/>
      <c r="AH12" s="2336"/>
      <c r="AI12" s="2336"/>
      <c r="AJ12" s="2337"/>
      <c r="AK12" s="440"/>
      <c r="AL12" s="440"/>
      <c r="AM12" s="440"/>
      <c r="AN12" s="435"/>
      <c r="AO12" s="457"/>
    </row>
    <row r="13" spans="1:41" s="436" customFormat="1" ht="12.75" customHeight="1">
      <c r="A13" s="440"/>
      <c r="D13" s="446"/>
      <c r="E13" s="2364"/>
      <c r="F13" s="2365"/>
      <c r="G13" s="2365"/>
      <c r="H13" s="2365"/>
      <c r="I13" s="2365"/>
      <c r="J13" s="2365"/>
      <c r="K13" s="2365"/>
      <c r="L13" s="2365"/>
      <c r="M13" s="2365"/>
      <c r="N13" s="2365"/>
      <c r="O13" s="2365"/>
      <c r="P13" s="2365"/>
      <c r="Q13" s="2365"/>
      <c r="R13" s="2365"/>
      <c r="S13" s="2365"/>
      <c r="T13" s="2365"/>
      <c r="U13" s="2365"/>
      <c r="V13" s="2365"/>
      <c r="W13" s="2365"/>
      <c r="X13" s="2365"/>
      <c r="Y13" s="2365"/>
      <c r="Z13" s="2365"/>
      <c r="AA13" s="2365"/>
      <c r="AB13" s="2365"/>
      <c r="AC13" s="2365"/>
      <c r="AD13" s="2365"/>
      <c r="AE13" s="2365"/>
      <c r="AF13" s="2365"/>
      <c r="AG13" s="2365"/>
      <c r="AH13" s="2365"/>
      <c r="AI13" s="2365"/>
      <c r="AJ13" s="2366"/>
      <c r="AK13" s="440"/>
      <c r="AL13" s="440"/>
      <c r="AM13" s="440"/>
      <c r="AN13" s="435"/>
      <c r="AO13" s="457"/>
    </row>
    <row r="14" spans="1:41" s="436" customFormat="1" ht="12.75" customHeight="1">
      <c r="A14" s="440"/>
      <c r="D14" s="440"/>
      <c r="E14" s="2338"/>
      <c r="F14" s="2339"/>
      <c r="G14" s="2339"/>
      <c r="H14" s="2339"/>
      <c r="I14" s="2339"/>
      <c r="J14" s="2339"/>
      <c r="K14" s="2339"/>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c r="AH14" s="2339"/>
      <c r="AI14" s="2339"/>
      <c r="AJ14" s="2340"/>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19" t="s">
        <v>860</v>
      </c>
      <c r="C16" s="2319"/>
      <c r="D16" s="440"/>
      <c r="E16" s="2335" t="s">
        <v>2121</v>
      </c>
      <c r="F16" s="2336"/>
      <c r="G16" s="2336"/>
      <c r="H16" s="2336"/>
      <c r="I16" s="2336"/>
      <c r="J16" s="2336"/>
      <c r="K16" s="2336"/>
      <c r="L16" s="2336"/>
      <c r="M16" s="2336"/>
      <c r="N16" s="2336"/>
      <c r="O16" s="2336"/>
      <c r="P16" s="2336"/>
      <c r="Q16" s="2336"/>
      <c r="R16" s="2336"/>
      <c r="S16" s="2336"/>
      <c r="T16" s="2336"/>
      <c r="U16" s="2336"/>
      <c r="V16" s="2336"/>
      <c r="W16" s="2336"/>
      <c r="X16" s="2336"/>
      <c r="Y16" s="2336"/>
      <c r="Z16" s="2336"/>
      <c r="AA16" s="2336"/>
      <c r="AB16" s="2336"/>
      <c r="AC16" s="2336"/>
      <c r="AD16" s="2336"/>
      <c r="AE16" s="2336"/>
      <c r="AF16" s="2336"/>
      <c r="AG16" s="2336"/>
      <c r="AH16" s="2336"/>
      <c r="AI16" s="2336"/>
      <c r="AJ16" s="2337"/>
      <c r="AK16" s="440"/>
      <c r="AL16" s="440"/>
      <c r="AM16" s="440"/>
      <c r="AN16" s="435"/>
    </row>
    <row r="17" spans="1:50" s="436" customFormat="1" ht="12.75" customHeight="1">
      <c r="A17" s="440"/>
      <c r="B17" s="440"/>
      <c r="C17" s="440"/>
      <c r="D17" s="440"/>
      <c r="E17" s="2364"/>
      <c r="F17" s="2365"/>
      <c r="G17" s="2365"/>
      <c r="H17" s="2365"/>
      <c r="I17" s="2365"/>
      <c r="J17" s="2365"/>
      <c r="K17" s="2365"/>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6"/>
      <c r="AK17" s="440"/>
      <c r="AL17" s="440"/>
      <c r="AM17" s="440"/>
      <c r="AN17" s="435"/>
    </row>
    <row r="18" spans="1:50" s="436" customFormat="1" ht="12.75" customHeight="1">
      <c r="A18" s="440"/>
      <c r="B18" s="440"/>
      <c r="C18" s="1024"/>
      <c r="D18" s="440"/>
      <c r="E18" s="2338"/>
      <c r="F18" s="2339"/>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40"/>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19" t="s">
        <v>860</v>
      </c>
      <c r="C20" s="2319"/>
      <c r="D20" s="440"/>
      <c r="E20" s="2335" t="s">
        <v>2122</v>
      </c>
      <c r="F20" s="2336"/>
      <c r="G20" s="2336"/>
      <c r="H20" s="2336"/>
      <c r="I20" s="2336"/>
      <c r="J20" s="2336"/>
      <c r="K20" s="2336"/>
      <c r="L20" s="2336"/>
      <c r="M20" s="2336"/>
      <c r="N20" s="2336"/>
      <c r="O20" s="2336"/>
      <c r="P20" s="2336"/>
      <c r="Q20" s="2336"/>
      <c r="R20" s="2336"/>
      <c r="S20" s="2336"/>
      <c r="T20" s="2336"/>
      <c r="U20" s="2336"/>
      <c r="V20" s="2336"/>
      <c r="W20" s="2336"/>
      <c r="X20" s="2336"/>
      <c r="Y20" s="2336"/>
      <c r="Z20" s="2336"/>
      <c r="AA20" s="2336"/>
      <c r="AB20" s="2336"/>
      <c r="AC20" s="2336"/>
      <c r="AD20" s="2336"/>
      <c r="AE20" s="2336"/>
      <c r="AF20" s="2336"/>
      <c r="AG20" s="2336"/>
      <c r="AH20" s="2336"/>
      <c r="AI20" s="2336"/>
      <c r="AJ20" s="2337"/>
      <c r="AK20" s="440"/>
      <c r="AL20" s="440"/>
      <c r="AM20" s="440"/>
      <c r="AN20" s="435"/>
    </row>
    <row r="21" spans="1:50" s="436" customFormat="1" ht="12.75" customHeight="1">
      <c r="A21" s="440"/>
      <c r="B21" s="446"/>
      <c r="C21" s="446"/>
      <c r="D21" s="446"/>
      <c r="E21" s="2338"/>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40"/>
      <c r="AK21" s="440"/>
      <c r="AL21" s="440"/>
      <c r="AM21" s="440"/>
      <c r="AN21" s="435"/>
      <c r="AO21" s="436">
        <f>IF(AND(B12="Yes",B16="Yes",B20="Yes"),10,0)</f>
        <v>10</v>
      </c>
      <c r="AP21" s="436" t="s">
        <v>2123</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2124</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2125</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19" t="s">
        <v>826</v>
      </c>
      <c r="C26" s="2319"/>
      <c r="D26" s="446"/>
      <c r="E26" s="447" t="s">
        <v>2126</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56"/>
      <c r="AH26" s="2356"/>
      <c r="AI26" s="2356"/>
      <c r="AJ26" s="2357"/>
      <c r="AK26" s="440"/>
      <c r="AL26" s="440"/>
      <c r="AM26" s="440"/>
      <c r="AN26" s="435"/>
      <c r="AO26" s="436">
        <f>IF($B26="yes",20,0)</f>
        <v>0</v>
      </c>
      <c r="AP26" s="13" t="s">
        <v>2123</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2127</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19" t="s">
        <v>826</v>
      </c>
      <c r="C30" s="2319"/>
      <c r="D30" s="446"/>
      <c r="E30" s="2320" t="s">
        <v>2128</v>
      </c>
      <c r="F30" s="2321"/>
      <c r="G30" s="2321"/>
      <c r="H30" s="2321"/>
      <c r="I30" s="2321"/>
      <c r="J30" s="2321"/>
      <c r="K30" s="2321"/>
      <c r="L30" s="2321"/>
      <c r="M30" s="2321"/>
      <c r="N30" s="2321"/>
      <c r="O30" s="2321"/>
      <c r="P30" s="2321"/>
      <c r="Q30" s="2321"/>
      <c r="R30" s="2321"/>
      <c r="S30" s="2321"/>
      <c r="T30" s="2321"/>
      <c r="U30" s="2321"/>
      <c r="V30" s="2321"/>
      <c r="W30" s="2321"/>
      <c r="X30" s="2321"/>
      <c r="Y30" s="2321"/>
      <c r="Z30" s="2321"/>
      <c r="AA30" s="2321"/>
      <c r="AB30" s="2321"/>
      <c r="AC30" s="2321"/>
      <c r="AD30" s="2321"/>
      <c r="AE30" s="2321"/>
      <c r="AF30" s="2321"/>
      <c r="AG30" s="2321"/>
      <c r="AH30" s="2321"/>
      <c r="AI30" s="2321"/>
      <c r="AJ30" s="2322"/>
      <c r="AK30" s="440"/>
      <c r="AL30" s="440"/>
      <c r="AM30" s="440"/>
      <c r="AN30" s="435"/>
      <c r="AO30" s="449">
        <f>IF($B30="yes",9,0)</f>
        <v>0</v>
      </c>
    </row>
    <row r="31" spans="1:50" s="436" customFormat="1" ht="12.75" customHeight="1">
      <c r="A31" s="440"/>
      <c r="B31" s="440"/>
      <c r="C31" s="440"/>
      <c r="E31" s="2323"/>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5"/>
      <c r="AK31" s="440"/>
      <c r="AL31" s="440"/>
      <c r="AM31" s="440"/>
      <c r="AN31" s="435"/>
      <c r="AO31" s="449">
        <f>IF($B33="yes",9,0)</f>
        <v>9</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19" t="s">
        <v>860</v>
      </c>
      <c r="C33" s="2319"/>
      <c r="D33" s="446"/>
      <c r="E33" s="2320" t="s">
        <v>2129</v>
      </c>
      <c r="F33" s="2321"/>
      <c r="G33" s="2321"/>
      <c r="H33" s="2321"/>
      <c r="I33" s="2321"/>
      <c r="J33" s="2321"/>
      <c r="K33" s="2321"/>
      <c r="L33" s="2321"/>
      <c r="M33" s="2321"/>
      <c r="N33" s="2321"/>
      <c r="O33" s="2321"/>
      <c r="P33" s="2321"/>
      <c r="Q33" s="2321"/>
      <c r="R33" s="2321"/>
      <c r="S33" s="2321"/>
      <c r="T33" s="2321"/>
      <c r="U33" s="2321"/>
      <c r="V33" s="2321"/>
      <c r="W33" s="2321"/>
      <c r="X33" s="2321"/>
      <c r="Y33" s="2321"/>
      <c r="Z33" s="2321"/>
      <c r="AA33" s="2321"/>
      <c r="AB33" s="2321"/>
      <c r="AC33" s="2321"/>
      <c r="AD33" s="2321"/>
      <c r="AE33" s="2321"/>
      <c r="AF33" s="2321"/>
      <c r="AG33" s="2321"/>
      <c r="AH33" s="2321"/>
      <c r="AI33" s="2321"/>
      <c r="AJ33" s="2322"/>
      <c r="AK33" s="440"/>
      <c r="AL33" s="440"/>
      <c r="AM33" s="440"/>
      <c r="AN33" s="435"/>
      <c r="AO33" s="449">
        <f>IF($B39="yes",9,0)</f>
        <v>0</v>
      </c>
    </row>
    <row r="34" spans="1:43" s="436" customFormat="1" ht="12.75" customHeight="1">
      <c r="A34" s="440"/>
      <c r="B34" s="440"/>
      <c r="C34" s="440"/>
      <c r="D34" s="446"/>
      <c r="E34" s="2361"/>
      <c r="F34" s="2362"/>
      <c r="G34" s="2362"/>
      <c r="H34" s="2362"/>
      <c r="I34" s="2362"/>
      <c r="J34" s="2362"/>
      <c r="K34" s="2362"/>
      <c r="L34" s="2362"/>
      <c r="M34" s="2362"/>
      <c r="N34" s="2362"/>
      <c r="O34" s="2362"/>
      <c r="P34" s="2362"/>
      <c r="Q34" s="2362"/>
      <c r="R34" s="2362"/>
      <c r="S34" s="2362"/>
      <c r="T34" s="2362"/>
      <c r="U34" s="2362"/>
      <c r="V34" s="2362"/>
      <c r="W34" s="2362"/>
      <c r="X34" s="2362"/>
      <c r="Y34" s="2362"/>
      <c r="Z34" s="2362"/>
      <c r="AA34" s="2362"/>
      <c r="AB34" s="2362"/>
      <c r="AC34" s="2362"/>
      <c r="AD34" s="2362"/>
      <c r="AE34" s="2362"/>
      <c r="AF34" s="2362"/>
      <c r="AG34" s="2362"/>
      <c r="AH34" s="2362"/>
      <c r="AI34" s="2362"/>
      <c r="AJ34" s="2363"/>
      <c r="AK34" s="440"/>
      <c r="AL34" s="440"/>
      <c r="AM34" s="440"/>
      <c r="AN34" s="435"/>
      <c r="AO34" s="436">
        <f>MAX(AO30,AO31,AO32,AO33)</f>
        <v>9</v>
      </c>
      <c r="AP34" s="436" t="s">
        <v>2123</v>
      </c>
    </row>
    <row r="35" spans="1:43" s="436" customFormat="1" ht="12.75" customHeight="1">
      <c r="A35" s="440"/>
      <c r="B35" s="440"/>
      <c r="C35" s="440"/>
      <c r="E35" s="2323"/>
      <c r="F35" s="2324"/>
      <c r="G35" s="2324"/>
      <c r="H35" s="2324"/>
      <c r="I35" s="2324"/>
      <c r="J35" s="2324"/>
      <c r="K35" s="2324"/>
      <c r="L35" s="2324"/>
      <c r="M35" s="2324"/>
      <c r="N35" s="2324"/>
      <c r="O35" s="2324"/>
      <c r="P35" s="2324"/>
      <c r="Q35" s="2324"/>
      <c r="R35" s="2324"/>
      <c r="S35" s="2324"/>
      <c r="T35" s="2324"/>
      <c r="U35" s="2324"/>
      <c r="V35" s="2324"/>
      <c r="W35" s="2324"/>
      <c r="X35" s="2324"/>
      <c r="Y35" s="2324"/>
      <c r="Z35" s="2324"/>
      <c r="AA35" s="2324"/>
      <c r="AB35" s="2324"/>
      <c r="AC35" s="2324"/>
      <c r="AD35" s="2324"/>
      <c r="AE35" s="2324"/>
      <c r="AF35" s="2324"/>
      <c r="AG35" s="2324"/>
      <c r="AH35" s="2324"/>
      <c r="AI35" s="2324"/>
      <c r="AJ35" s="2325"/>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19" t="s">
        <v>826</v>
      </c>
      <c r="C37" s="2319"/>
      <c r="D37" s="1025"/>
      <c r="E37" s="2326" t="s">
        <v>2130</v>
      </c>
      <c r="F37" s="2327"/>
      <c r="G37" s="2327"/>
      <c r="H37" s="2327"/>
      <c r="I37" s="2327"/>
      <c r="J37" s="2327"/>
      <c r="K37" s="2327"/>
      <c r="L37" s="2327"/>
      <c r="M37" s="2327"/>
      <c r="N37" s="2327"/>
      <c r="O37" s="2327"/>
      <c r="P37" s="2327"/>
      <c r="Q37" s="2327"/>
      <c r="R37" s="2327"/>
      <c r="S37" s="2327"/>
      <c r="T37" s="2327"/>
      <c r="U37" s="2327"/>
      <c r="V37" s="2327"/>
      <c r="W37" s="2327"/>
      <c r="X37" s="2327"/>
      <c r="Y37" s="2327"/>
      <c r="Z37" s="2327"/>
      <c r="AA37" s="2327"/>
      <c r="AB37" s="2327"/>
      <c r="AC37" s="2327"/>
      <c r="AD37" s="2327"/>
      <c r="AE37" s="2327"/>
      <c r="AF37" s="2327"/>
      <c r="AG37" s="2327"/>
      <c r="AH37" s="2327"/>
      <c r="AI37" s="2327"/>
      <c r="AJ37" s="2328"/>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19" t="s">
        <v>826</v>
      </c>
      <c r="C39" s="2319"/>
      <c r="D39" s="1025"/>
      <c r="E39" s="2326" t="s">
        <v>2131</v>
      </c>
      <c r="F39" s="2327"/>
      <c r="G39" s="2327"/>
      <c r="H39" s="2327"/>
      <c r="I39" s="2327"/>
      <c r="J39" s="2327"/>
      <c r="K39" s="2327"/>
      <c r="L39" s="2327"/>
      <c r="M39" s="2327"/>
      <c r="N39" s="2327"/>
      <c r="O39" s="2327"/>
      <c r="P39" s="2327"/>
      <c r="Q39" s="2327"/>
      <c r="R39" s="2327"/>
      <c r="S39" s="2327"/>
      <c r="T39" s="2327"/>
      <c r="U39" s="2327"/>
      <c r="V39" s="2327"/>
      <c r="W39" s="2327"/>
      <c r="X39" s="2327"/>
      <c r="Y39" s="2327"/>
      <c r="Z39" s="2327"/>
      <c r="AA39" s="2327"/>
      <c r="AB39" s="2327"/>
      <c r="AC39" s="2327"/>
      <c r="AD39" s="2327"/>
      <c r="AE39" s="2327"/>
      <c r="AF39" s="2327"/>
      <c r="AG39" s="2327"/>
      <c r="AH39" s="2327"/>
      <c r="AI39" s="2327"/>
      <c r="AJ39" s="2328"/>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2132</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19" t="s">
        <v>826</v>
      </c>
      <c r="C43" s="2319"/>
      <c r="D43" s="446"/>
      <c r="E43" s="2329" t="s">
        <v>2133</v>
      </c>
      <c r="F43" s="2330"/>
      <c r="G43" s="2330"/>
      <c r="H43" s="2330"/>
      <c r="I43" s="2330"/>
      <c r="J43" s="2330"/>
      <c r="K43" s="2330"/>
      <c r="L43" s="2330"/>
      <c r="M43" s="2330"/>
      <c r="N43" s="2330"/>
      <c r="O43" s="2330"/>
      <c r="P43" s="2330"/>
      <c r="Q43" s="2330"/>
      <c r="R43" s="2330"/>
      <c r="S43" s="2330"/>
      <c r="T43" s="2330"/>
      <c r="U43" s="2330"/>
      <c r="V43" s="2330"/>
      <c r="W43" s="2330"/>
      <c r="X43" s="2330"/>
      <c r="Y43" s="2330"/>
      <c r="Z43" s="2330"/>
      <c r="AA43" s="2330"/>
      <c r="AB43" s="2330"/>
      <c r="AC43" s="2330"/>
      <c r="AD43" s="2330"/>
      <c r="AE43" s="2330"/>
      <c r="AF43" s="2330"/>
      <c r="AG43" s="2330"/>
      <c r="AH43" s="2330"/>
      <c r="AI43" s="2330"/>
      <c r="AJ43" s="2331"/>
      <c r="AK43" s="440"/>
      <c r="AL43" s="440"/>
      <c r="AM43" s="440"/>
      <c r="AN43" s="435"/>
      <c r="AO43" s="449">
        <f>IF($B43="yes",8,0)</f>
        <v>0</v>
      </c>
      <c r="AP43" s="13"/>
    </row>
    <row r="44" spans="1:43" s="436" customFormat="1" ht="12.75" customHeight="1">
      <c r="A44" s="440"/>
      <c r="B44" s="440"/>
      <c r="C44" s="440"/>
      <c r="D44" s="450"/>
      <c r="E44" s="2332"/>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4"/>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19" t="s">
        <v>826</v>
      </c>
      <c r="C46" s="2319"/>
      <c r="D46" s="446"/>
      <c r="E46" s="2320" t="s">
        <v>2134</v>
      </c>
      <c r="F46" s="2321"/>
      <c r="G46" s="2321"/>
      <c r="H46" s="2321"/>
      <c r="I46" s="2321"/>
      <c r="J46" s="2321"/>
      <c r="K46" s="2321"/>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2"/>
      <c r="AK46" s="440"/>
      <c r="AL46" s="440"/>
      <c r="AM46" s="440"/>
      <c r="AN46" s="435"/>
      <c r="AO46" s="449">
        <f>IF($B52="yes",8,0)</f>
        <v>0</v>
      </c>
    </row>
    <row r="47" spans="1:43" s="436" customFormat="1" ht="12.75" customHeight="1">
      <c r="A47" s="440"/>
      <c r="B47" s="440"/>
      <c r="C47" s="440"/>
      <c r="D47" s="449"/>
      <c r="E47" s="2323"/>
      <c r="F47" s="2324"/>
      <c r="G47" s="2324"/>
      <c r="H47" s="2324"/>
      <c r="I47" s="2324"/>
      <c r="J47" s="2324"/>
      <c r="K47" s="2324"/>
      <c r="L47" s="2324"/>
      <c r="M47" s="2324"/>
      <c r="N47" s="2324"/>
      <c r="O47" s="2324"/>
      <c r="P47" s="2324"/>
      <c r="Q47" s="2324"/>
      <c r="R47" s="2324"/>
      <c r="S47" s="2324"/>
      <c r="T47" s="2324"/>
      <c r="U47" s="2324"/>
      <c r="V47" s="2324"/>
      <c r="W47" s="2324"/>
      <c r="X47" s="2324"/>
      <c r="Y47" s="2324"/>
      <c r="Z47" s="2324"/>
      <c r="AA47" s="2324"/>
      <c r="AB47" s="2324"/>
      <c r="AC47" s="2324"/>
      <c r="AD47" s="2324"/>
      <c r="AE47" s="2324"/>
      <c r="AF47" s="2324"/>
      <c r="AG47" s="2324"/>
      <c r="AH47" s="2324"/>
      <c r="AI47" s="2324"/>
      <c r="AJ47" s="2325"/>
      <c r="AK47" s="440"/>
      <c r="AL47" s="440"/>
      <c r="AM47" s="440"/>
      <c r="AN47" s="435"/>
      <c r="AO47" s="436">
        <f>MAX(AO43,AO44,AO45,AO46)</f>
        <v>0</v>
      </c>
      <c r="AP47" s="436" t="s">
        <v>2123</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19" t="s">
        <v>826</v>
      </c>
      <c r="C49" s="2319"/>
      <c r="D49" s="446"/>
      <c r="E49" s="2335" t="s">
        <v>2135</v>
      </c>
      <c r="F49" s="2336"/>
      <c r="G49" s="2336"/>
      <c r="H49" s="2336"/>
      <c r="I49" s="2336"/>
      <c r="J49" s="2336"/>
      <c r="K49" s="2336"/>
      <c r="L49" s="2336"/>
      <c r="M49" s="2336"/>
      <c r="N49" s="2336"/>
      <c r="O49" s="2336"/>
      <c r="P49" s="2336"/>
      <c r="Q49" s="2336"/>
      <c r="R49" s="2336"/>
      <c r="S49" s="2336"/>
      <c r="T49" s="2336"/>
      <c r="U49" s="2336"/>
      <c r="V49" s="2336"/>
      <c r="W49" s="2336"/>
      <c r="X49" s="2336"/>
      <c r="Y49" s="2336"/>
      <c r="Z49" s="2336"/>
      <c r="AA49" s="2336"/>
      <c r="AB49" s="2336"/>
      <c r="AC49" s="2336"/>
      <c r="AD49" s="2336"/>
      <c r="AE49" s="2336"/>
      <c r="AF49" s="2336"/>
      <c r="AG49" s="2336"/>
      <c r="AH49" s="2336"/>
      <c r="AI49" s="2336"/>
      <c r="AJ49" s="2337"/>
      <c r="AK49" s="440"/>
      <c r="AL49" s="440"/>
      <c r="AM49" s="440"/>
      <c r="AN49" s="435"/>
      <c r="AO49" s="449"/>
    </row>
    <row r="50" spans="1:42" s="436" customFormat="1" ht="12.75" customHeight="1">
      <c r="A50" s="440"/>
      <c r="B50" s="440"/>
      <c r="C50" s="440"/>
      <c r="D50" s="449"/>
      <c r="E50" s="2338"/>
      <c r="F50" s="2339"/>
      <c r="G50" s="2339"/>
      <c r="H50" s="2339"/>
      <c r="I50" s="2339"/>
      <c r="J50" s="2339"/>
      <c r="K50" s="2339"/>
      <c r="L50" s="2339"/>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40"/>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19" t="s">
        <v>826</v>
      </c>
      <c r="C52" s="2319"/>
      <c r="D52" s="446"/>
      <c r="E52" s="2326" t="s">
        <v>2136</v>
      </c>
      <c r="F52" s="2327"/>
      <c r="G52" s="2327"/>
      <c r="H52" s="2327"/>
      <c r="I52" s="2327"/>
      <c r="J52" s="2327"/>
      <c r="K52" s="2327"/>
      <c r="L52" s="2327"/>
      <c r="M52" s="2327"/>
      <c r="N52" s="2327"/>
      <c r="O52" s="2327"/>
      <c r="P52" s="2327"/>
      <c r="Q52" s="2327"/>
      <c r="R52" s="2327"/>
      <c r="S52" s="2327"/>
      <c r="T52" s="2327"/>
      <c r="U52" s="2327"/>
      <c r="V52" s="2327"/>
      <c r="W52" s="2327"/>
      <c r="X52" s="2327"/>
      <c r="Y52" s="2327"/>
      <c r="Z52" s="2327"/>
      <c r="AA52" s="2327"/>
      <c r="AB52" s="2327"/>
      <c r="AC52" s="2327"/>
      <c r="AD52" s="2327"/>
      <c r="AE52" s="2327"/>
      <c r="AF52" s="2327"/>
      <c r="AG52" s="2327"/>
      <c r="AH52" s="2327"/>
      <c r="AI52" s="2327"/>
      <c r="AJ52" s="2328"/>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2137</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319" t="s">
        <v>826</v>
      </c>
      <c r="C56" s="2319"/>
      <c r="D56" s="446"/>
      <c r="E56" s="2335" t="s">
        <v>2138</v>
      </c>
      <c r="F56" s="2336"/>
      <c r="G56" s="2336"/>
      <c r="H56" s="2336"/>
      <c r="I56" s="2336"/>
      <c r="J56" s="2336"/>
      <c r="K56" s="2336"/>
      <c r="L56" s="2336"/>
      <c r="M56" s="2336"/>
      <c r="N56" s="2336"/>
      <c r="O56" s="2336"/>
      <c r="P56" s="2336"/>
      <c r="Q56" s="2336"/>
      <c r="R56" s="2336"/>
      <c r="S56" s="2336"/>
      <c r="T56" s="2336"/>
      <c r="U56" s="2336"/>
      <c r="V56" s="2336"/>
      <c r="W56" s="2336"/>
      <c r="X56" s="2336"/>
      <c r="Y56" s="2336"/>
      <c r="Z56" s="2336"/>
      <c r="AA56" s="2336"/>
      <c r="AB56" s="2336"/>
      <c r="AC56" s="2336"/>
      <c r="AD56" s="2336"/>
      <c r="AE56" s="2336"/>
      <c r="AF56" s="2336"/>
      <c r="AG56" s="2336"/>
      <c r="AH56" s="2336"/>
      <c r="AI56" s="2336"/>
      <c r="AJ56" s="2337"/>
      <c r="AK56" s="440"/>
      <c r="AL56" s="440"/>
      <c r="AM56" s="440"/>
      <c r="AN56" s="435"/>
      <c r="AO56" s="449">
        <f>IF($B59="yes",7,0)</f>
        <v>0</v>
      </c>
    </row>
    <row r="57" spans="1:42" s="436" customFormat="1" ht="12.75" customHeight="1">
      <c r="A57" s="440"/>
      <c r="B57" s="440"/>
      <c r="C57" s="440"/>
      <c r="D57" s="449"/>
      <c r="E57" s="2338"/>
      <c r="F57" s="2339"/>
      <c r="G57" s="2339"/>
      <c r="H57" s="2339"/>
      <c r="I57" s="2339"/>
      <c r="J57" s="2339"/>
      <c r="K57" s="2339"/>
      <c r="L57" s="2339"/>
      <c r="M57" s="2339"/>
      <c r="N57" s="2339"/>
      <c r="O57" s="2339"/>
      <c r="P57" s="2339"/>
      <c r="Q57" s="2339"/>
      <c r="R57" s="2339"/>
      <c r="S57" s="2339"/>
      <c r="T57" s="2339"/>
      <c r="U57" s="2339"/>
      <c r="V57" s="2339"/>
      <c r="W57" s="2339"/>
      <c r="X57" s="2339"/>
      <c r="Y57" s="2339"/>
      <c r="Z57" s="2339"/>
      <c r="AA57" s="2339"/>
      <c r="AB57" s="2339"/>
      <c r="AC57" s="2339"/>
      <c r="AD57" s="2339"/>
      <c r="AE57" s="2339"/>
      <c r="AF57" s="2339"/>
      <c r="AG57" s="2339"/>
      <c r="AH57" s="2339"/>
      <c r="AI57" s="2339"/>
      <c r="AJ57" s="2340"/>
      <c r="AK57" s="440"/>
      <c r="AL57" s="440"/>
      <c r="AM57" s="440"/>
      <c r="AN57" s="435"/>
      <c r="AO57" s="436">
        <f>MAX(AO55:AO56)</f>
        <v>0</v>
      </c>
      <c r="AP57" s="436" t="s">
        <v>2123</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19" t="s">
        <v>826</v>
      </c>
      <c r="C59" s="2319"/>
      <c r="D59" s="446"/>
      <c r="E59" s="2326" t="s">
        <v>2139</v>
      </c>
      <c r="F59" s="2327"/>
      <c r="G59" s="2327"/>
      <c r="H59" s="2327"/>
      <c r="I59" s="2327"/>
      <c r="J59" s="2327"/>
      <c r="K59" s="2327"/>
      <c r="L59" s="2327"/>
      <c r="M59" s="2327"/>
      <c r="N59" s="2327"/>
      <c r="O59" s="2327"/>
      <c r="P59" s="2327"/>
      <c r="Q59" s="2327"/>
      <c r="R59" s="2327"/>
      <c r="S59" s="2327"/>
      <c r="T59" s="2327"/>
      <c r="U59" s="2327"/>
      <c r="V59" s="2327"/>
      <c r="W59" s="2327"/>
      <c r="X59" s="2327"/>
      <c r="Y59" s="2327"/>
      <c r="Z59" s="2327"/>
      <c r="AA59" s="2327"/>
      <c r="AB59" s="2327"/>
      <c r="AC59" s="2327"/>
      <c r="AD59" s="2327"/>
      <c r="AE59" s="2327"/>
      <c r="AF59" s="2327"/>
      <c r="AG59" s="2327"/>
      <c r="AH59" s="2327"/>
      <c r="AI59" s="2327"/>
      <c r="AJ59" s="2328"/>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IF(AO26&gt;0,AO26,SUM(AO21,MAX(AO34,AO47,AO57)))</f>
        <v>19</v>
      </c>
      <c r="AP60" s="436" t="s">
        <v>2123</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2140</v>
      </c>
      <c r="AK61" s="2358">
        <f>AO60</f>
        <v>19</v>
      </c>
      <c r="AL61" s="2359"/>
      <c r="AM61" s="2360"/>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2141</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7" t="s">
        <v>2142</v>
      </c>
      <c r="AF64" s="2347"/>
      <c r="AG64" s="2347"/>
      <c r="AH64" s="2347"/>
      <c r="AI64" s="2347"/>
      <c r="AJ64" s="2347"/>
      <c r="AK64" s="2347"/>
      <c r="AL64" s="440"/>
      <c r="AM64" s="440"/>
      <c r="AN64" s="435"/>
    </row>
    <row r="65" spans="1:42" s="436" customFormat="1" ht="12.75" customHeight="1">
      <c r="A65" s="438"/>
      <c r="B65" s="439" t="s">
        <v>2143</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19" t="s">
        <v>826</v>
      </c>
      <c r="C67" s="2319"/>
      <c r="D67" s="446" t="s">
        <v>2144</v>
      </c>
      <c r="E67" s="2329" t="s">
        <v>2145</v>
      </c>
      <c r="F67" s="2330"/>
      <c r="G67" s="2330"/>
      <c r="H67" s="2330"/>
      <c r="I67" s="2330"/>
      <c r="J67" s="2330"/>
      <c r="K67" s="2330"/>
      <c r="L67" s="2330"/>
      <c r="M67" s="2330"/>
      <c r="N67" s="2330"/>
      <c r="O67" s="2330"/>
      <c r="P67" s="2330"/>
      <c r="Q67" s="2330"/>
      <c r="R67" s="2330"/>
      <c r="S67" s="2330"/>
      <c r="T67" s="2330"/>
      <c r="U67" s="2330"/>
      <c r="V67" s="2330"/>
      <c r="W67" s="2330"/>
      <c r="X67" s="2330"/>
      <c r="Y67" s="2330"/>
      <c r="Z67" s="2330"/>
      <c r="AA67" s="2330"/>
      <c r="AB67" s="2330"/>
      <c r="AC67" s="2330"/>
      <c r="AD67" s="2330"/>
      <c r="AE67" s="2330"/>
      <c r="AF67" s="2330"/>
      <c r="AG67" s="2330"/>
      <c r="AH67" s="2330"/>
      <c r="AI67" s="2330"/>
      <c r="AJ67" s="2331"/>
      <c r="AK67" s="443"/>
      <c r="AL67" s="440"/>
      <c r="AM67" s="440"/>
      <c r="AN67" s="435"/>
      <c r="AO67" s="449">
        <f>IF($B67="yes",10,0)</f>
        <v>0</v>
      </c>
    </row>
    <row r="68" spans="1:42" s="436" customFormat="1" ht="12.75" customHeight="1">
      <c r="A68" s="438"/>
      <c r="B68" s="440"/>
      <c r="C68" s="440"/>
      <c r="D68" s="450"/>
      <c r="E68" s="2348"/>
      <c r="F68" s="2349"/>
      <c r="G68" s="2349"/>
      <c r="H68" s="2349"/>
      <c r="I68" s="2349"/>
      <c r="J68" s="2349"/>
      <c r="K68" s="2349"/>
      <c r="L68" s="2349"/>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50"/>
      <c r="AK68" s="443"/>
      <c r="AL68" s="440"/>
      <c r="AM68" s="440"/>
      <c r="AN68" s="435"/>
      <c r="AO68" s="449">
        <f>IF(AND($B73="yes",OR(E74="Yes",E75="Yes",E76="Yes")),10,0)</f>
        <v>0</v>
      </c>
    </row>
    <row r="69" spans="1:42" s="436" customFormat="1" ht="12.75" customHeight="1">
      <c r="A69" s="438"/>
      <c r="B69" s="440"/>
      <c r="C69" s="440"/>
      <c r="D69" s="450"/>
      <c r="E69" s="2348"/>
      <c r="F69" s="2349"/>
      <c r="G69" s="2349"/>
      <c r="H69" s="2349"/>
      <c r="I69" s="2349"/>
      <c r="J69" s="2349"/>
      <c r="K69" s="2349"/>
      <c r="L69" s="2349"/>
      <c r="M69" s="2349"/>
      <c r="N69" s="2349"/>
      <c r="O69" s="2349"/>
      <c r="P69" s="2349"/>
      <c r="Q69" s="2349"/>
      <c r="R69" s="2349"/>
      <c r="S69" s="2349"/>
      <c r="T69" s="2349"/>
      <c r="U69" s="2349"/>
      <c r="V69" s="2349"/>
      <c r="W69" s="2349"/>
      <c r="X69" s="2349"/>
      <c r="Y69" s="2349"/>
      <c r="Z69" s="2349"/>
      <c r="AA69" s="2349"/>
      <c r="AB69" s="2349"/>
      <c r="AC69" s="2349"/>
      <c r="AD69" s="2349"/>
      <c r="AE69" s="2349"/>
      <c r="AF69" s="2349"/>
      <c r="AG69" s="2349"/>
      <c r="AH69" s="2349"/>
      <c r="AI69" s="2349"/>
      <c r="AJ69" s="2350"/>
      <c r="AK69" s="443"/>
      <c r="AL69" s="440"/>
      <c r="AM69" s="440"/>
      <c r="AN69" s="435"/>
      <c r="AO69" s="449">
        <f>IF($B78="yes",10,0)</f>
        <v>0</v>
      </c>
    </row>
    <row r="70" spans="1:42" s="436" customFormat="1" ht="12.75" customHeight="1">
      <c r="A70" s="438"/>
      <c r="B70" s="440"/>
      <c r="C70" s="440"/>
      <c r="D70" s="450"/>
      <c r="E70" s="2348"/>
      <c r="F70" s="2349"/>
      <c r="G70" s="2349"/>
      <c r="H70" s="2349"/>
      <c r="I70" s="2349"/>
      <c r="J70" s="2349"/>
      <c r="K70" s="2349"/>
      <c r="L70" s="2349"/>
      <c r="M70" s="2349"/>
      <c r="N70" s="2349"/>
      <c r="O70" s="2349"/>
      <c r="P70" s="2349"/>
      <c r="Q70" s="2349"/>
      <c r="R70" s="2349"/>
      <c r="S70" s="2349"/>
      <c r="T70" s="2349"/>
      <c r="U70" s="2349"/>
      <c r="V70" s="2349"/>
      <c r="W70" s="2349"/>
      <c r="X70" s="2349"/>
      <c r="Y70" s="2349"/>
      <c r="Z70" s="2349"/>
      <c r="AA70" s="2349"/>
      <c r="AB70" s="2349"/>
      <c r="AC70" s="2349"/>
      <c r="AD70" s="2349"/>
      <c r="AE70" s="2349"/>
      <c r="AF70" s="2349"/>
      <c r="AG70" s="2349"/>
      <c r="AH70" s="2349"/>
      <c r="AI70" s="2349"/>
      <c r="AJ70" s="2350"/>
      <c r="AK70" s="443"/>
      <c r="AL70" s="440"/>
      <c r="AM70" s="440"/>
      <c r="AN70" s="435"/>
      <c r="AO70" s="449">
        <f>IF($B81="yes",10,0)</f>
        <v>0</v>
      </c>
    </row>
    <row r="71" spans="1:42" s="436" customFormat="1" ht="12.75" customHeight="1">
      <c r="A71" s="438"/>
      <c r="B71" s="440"/>
      <c r="C71" s="440"/>
      <c r="D71" s="450"/>
      <c r="E71" s="2332"/>
      <c r="F71" s="2333"/>
      <c r="G71" s="2333"/>
      <c r="H71" s="2333"/>
      <c r="I71" s="2333"/>
      <c r="J71" s="2333"/>
      <c r="K71" s="2333"/>
      <c r="L71" s="2333"/>
      <c r="M71" s="2333"/>
      <c r="N71" s="2333"/>
      <c r="O71" s="2333"/>
      <c r="P71" s="2333"/>
      <c r="Q71" s="2333"/>
      <c r="R71" s="2333"/>
      <c r="S71" s="2333"/>
      <c r="T71" s="2333"/>
      <c r="U71" s="2333"/>
      <c r="V71" s="2333"/>
      <c r="W71" s="2333"/>
      <c r="X71" s="2333"/>
      <c r="Y71" s="2333"/>
      <c r="Z71" s="2333"/>
      <c r="AA71" s="2333"/>
      <c r="AB71" s="2333"/>
      <c r="AC71" s="2333"/>
      <c r="AD71" s="2333"/>
      <c r="AE71" s="2333"/>
      <c r="AF71" s="2333"/>
      <c r="AG71" s="2333"/>
      <c r="AH71" s="2333"/>
      <c r="AI71" s="2333"/>
      <c r="AJ71" s="2334"/>
      <c r="AK71" s="443"/>
      <c r="AL71" s="440"/>
      <c r="AM71" s="440"/>
      <c r="AN71" s="435"/>
      <c r="AO71" s="436">
        <f>IF(SUM(AO67:AO69)&gt;10,10,(SUM(AO67:AO69)))</f>
        <v>0</v>
      </c>
      <c r="AP71" s="472" t="s">
        <v>2146</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19" t="s">
        <v>826</v>
      </c>
      <c r="C73" s="2319"/>
      <c r="D73" s="446" t="s">
        <v>2147</v>
      </c>
      <c r="E73" s="861" t="s">
        <v>2148</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51" t="s">
        <v>826</v>
      </c>
      <c r="F74" s="2319"/>
      <c r="G74" s="473"/>
      <c r="H74" s="456" t="s">
        <v>2149</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45" t="s">
        <v>826</v>
      </c>
      <c r="F75" s="2346"/>
      <c r="G75" s="473"/>
      <c r="H75" s="456" t="s">
        <v>2150</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45" t="s">
        <v>826</v>
      </c>
      <c r="F76" s="2346"/>
      <c r="G76" s="798"/>
      <c r="H76" s="1088" t="s">
        <v>2151</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19" t="s">
        <v>826</v>
      </c>
      <c r="C78" s="2319"/>
      <c r="D78" s="446" t="s">
        <v>2152</v>
      </c>
      <c r="E78" s="2335" t="s">
        <v>2153</v>
      </c>
      <c r="F78" s="2336"/>
      <c r="G78" s="2336"/>
      <c r="H78" s="2336"/>
      <c r="I78" s="2336"/>
      <c r="J78" s="2336"/>
      <c r="K78" s="2336"/>
      <c r="L78" s="2336"/>
      <c r="M78" s="2336"/>
      <c r="N78" s="2336"/>
      <c r="O78" s="2336"/>
      <c r="P78" s="2336"/>
      <c r="Q78" s="2336"/>
      <c r="R78" s="2336"/>
      <c r="S78" s="2336"/>
      <c r="T78" s="2336"/>
      <c r="U78" s="2336"/>
      <c r="V78" s="2336"/>
      <c r="W78" s="2336"/>
      <c r="X78" s="2336"/>
      <c r="Y78" s="2336"/>
      <c r="Z78" s="2336"/>
      <c r="AA78" s="2336"/>
      <c r="AB78" s="2336"/>
      <c r="AC78" s="2336"/>
      <c r="AD78" s="2336"/>
      <c r="AE78" s="2336"/>
      <c r="AF78" s="2336"/>
      <c r="AG78" s="2336"/>
      <c r="AH78" s="2336"/>
      <c r="AI78" s="2336"/>
      <c r="AJ78" s="2337"/>
      <c r="AK78" s="443"/>
      <c r="AL78" s="440"/>
      <c r="AM78" s="440"/>
      <c r="AN78" s="435"/>
    </row>
    <row r="79" spans="1:42" s="436" customFormat="1" ht="12.75" customHeight="1">
      <c r="A79" s="438"/>
      <c r="B79" s="440"/>
      <c r="C79" s="440"/>
      <c r="E79" s="2338"/>
      <c r="F79" s="2339"/>
      <c r="G79" s="2339"/>
      <c r="H79" s="2339"/>
      <c r="I79" s="2339"/>
      <c r="J79" s="2339"/>
      <c r="K79" s="2339"/>
      <c r="L79" s="2339"/>
      <c r="M79" s="2339"/>
      <c r="N79" s="2339"/>
      <c r="O79" s="2339"/>
      <c r="P79" s="2339"/>
      <c r="Q79" s="2339"/>
      <c r="R79" s="2339"/>
      <c r="S79" s="2339"/>
      <c r="T79" s="2339"/>
      <c r="U79" s="2339"/>
      <c r="V79" s="2339"/>
      <c r="W79" s="2339"/>
      <c r="X79" s="2339"/>
      <c r="Y79" s="2339"/>
      <c r="Z79" s="2339"/>
      <c r="AA79" s="2339"/>
      <c r="AB79" s="2339"/>
      <c r="AC79" s="2339"/>
      <c r="AD79" s="2339"/>
      <c r="AE79" s="2339"/>
      <c r="AF79" s="2339"/>
      <c r="AG79" s="2339"/>
      <c r="AH79" s="2339"/>
      <c r="AI79" s="2339"/>
      <c r="AJ79" s="2340"/>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19" t="s">
        <v>826</v>
      </c>
      <c r="C81" s="2319"/>
      <c r="D81" s="446" t="s">
        <v>2154</v>
      </c>
      <c r="E81" s="2326" t="s">
        <v>2155</v>
      </c>
      <c r="F81" s="2327"/>
      <c r="G81" s="2327"/>
      <c r="H81" s="2327"/>
      <c r="I81" s="2327"/>
      <c r="J81" s="2327"/>
      <c r="K81" s="2327"/>
      <c r="L81" s="2327"/>
      <c r="M81" s="2327"/>
      <c r="N81" s="2327"/>
      <c r="O81" s="2327"/>
      <c r="P81" s="2327"/>
      <c r="Q81" s="2327"/>
      <c r="R81" s="2327"/>
      <c r="S81" s="2327"/>
      <c r="T81" s="2327"/>
      <c r="U81" s="2327"/>
      <c r="V81" s="2327"/>
      <c r="W81" s="2327"/>
      <c r="X81" s="2327"/>
      <c r="Y81" s="2327"/>
      <c r="Z81" s="2327"/>
      <c r="AA81" s="2327"/>
      <c r="AB81" s="2327"/>
      <c r="AC81" s="2327"/>
      <c r="AD81" s="2327"/>
      <c r="AE81" s="2327"/>
      <c r="AF81" s="2327"/>
      <c r="AG81" s="2327"/>
      <c r="AH81" s="2327"/>
      <c r="AI81" s="2327"/>
      <c r="AJ81" s="2328"/>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2156</v>
      </c>
      <c r="AK83" s="2358">
        <f>IF(AK61&gt;0,0,AO71)</f>
        <v>0</v>
      </c>
      <c r="AL83" s="2359"/>
      <c r="AM83" s="2360"/>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2157</v>
      </c>
      <c r="B86" s="439" t="s">
        <v>2158</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7" t="s">
        <v>2117</v>
      </c>
      <c r="AF86" s="2347"/>
      <c r="AG86" s="2347"/>
      <c r="AH86" s="2347"/>
      <c r="AI86" s="2347"/>
      <c r="AJ86" s="2347"/>
      <c r="AK86" s="2347"/>
      <c r="AL86" s="440"/>
      <c r="AM86" s="440"/>
      <c r="AN86" s="435"/>
    </row>
    <row r="87" spans="1:43" s="436" customFormat="1" ht="12.75" customHeight="1">
      <c r="A87" s="438"/>
      <c r="B87" s="439" t="s">
        <v>2159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19" t="s">
        <v>826</v>
      </c>
      <c r="C89" s="2319"/>
      <c r="D89" s="446" t="s">
        <v>2144</v>
      </c>
      <c r="E89" s="2329" t="s">
        <v>2160</v>
      </c>
      <c r="F89" s="2330"/>
      <c r="G89" s="2330"/>
      <c r="H89" s="2330"/>
      <c r="I89" s="2330"/>
      <c r="J89" s="2330"/>
      <c r="K89" s="2330"/>
      <c r="L89" s="2330"/>
      <c r="M89" s="2330"/>
      <c r="N89" s="2330"/>
      <c r="O89" s="2330"/>
      <c r="P89" s="2330"/>
      <c r="Q89" s="2330"/>
      <c r="R89" s="2330"/>
      <c r="S89" s="2330"/>
      <c r="T89" s="2330"/>
      <c r="U89" s="2330"/>
      <c r="V89" s="2330"/>
      <c r="W89" s="2330"/>
      <c r="X89" s="2330"/>
      <c r="Y89" s="2330"/>
      <c r="Z89" s="2330"/>
      <c r="AA89" s="2330"/>
      <c r="AB89" s="2330"/>
      <c r="AC89" s="2330"/>
      <c r="AD89" s="2330"/>
      <c r="AE89" s="2330"/>
      <c r="AF89" s="2330"/>
      <c r="AG89" s="2330"/>
      <c r="AH89" s="2330"/>
      <c r="AI89" s="2330"/>
      <c r="AJ89" s="2331"/>
      <c r="AK89" s="443"/>
      <c r="AL89" s="440"/>
      <c r="AM89" s="440"/>
      <c r="AN89" s="435"/>
    </row>
    <row r="90" spans="1:43" s="436" customFormat="1" ht="12.75" customHeight="1">
      <c r="A90" s="438"/>
      <c r="B90" s="439"/>
      <c r="C90" s="439"/>
      <c r="D90" s="439"/>
      <c r="E90" s="2348"/>
      <c r="F90" s="2349"/>
      <c r="G90" s="2349"/>
      <c r="H90" s="2349"/>
      <c r="I90" s="2349"/>
      <c r="J90" s="2349"/>
      <c r="K90" s="2349"/>
      <c r="L90" s="2349"/>
      <c r="M90" s="2349"/>
      <c r="N90" s="2349"/>
      <c r="O90" s="2349"/>
      <c r="P90" s="2349"/>
      <c r="Q90" s="2349"/>
      <c r="R90" s="2349"/>
      <c r="S90" s="2349"/>
      <c r="T90" s="2349"/>
      <c r="U90" s="2349"/>
      <c r="V90" s="2349"/>
      <c r="W90" s="2349"/>
      <c r="X90" s="2349"/>
      <c r="Y90" s="2349"/>
      <c r="Z90" s="2349"/>
      <c r="AA90" s="2349"/>
      <c r="AB90" s="2349"/>
      <c r="AC90" s="2349"/>
      <c r="AD90" s="2349"/>
      <c r="AE90" s="2349"/>
      <c r="AF90" s="2349"/>
      <c r="AG90" s="2349"/>
      <c r="AH90" s="2349"/>
      <c r="AI90" s="2349"/>
      <c r="AJ90" s="2350"/>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41">
        <f>Application!AC761</f>
        <v>0.55999999999999994</v>
      </c>
      <c r="F92" s="2342"/>
      <c r="G92" s="2342"/>
      <c r="H92" s="2342"/>
      <c r="I92" s="475"/>
      <c r="J92" s="478" t="s">
        <v>2161</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43">
        <f>0.6-ROUNDUP(E92,2)</f>
        <v>3.9999999999999925E-2</v>
      </c>
      <c r="F93" s="2344"/>
      <c r="G93" s="2344"/>
      <c r="H93" s="2344"/>
      <c r="I93" s="475"/>
      <c r="J93" s="478" t="s">
        <v>2162</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70">
        <f>IF(E93*200&gt;20,20,E93*200)</f>
        <v>7.9999999999999849</v>
      </c>
      <c r="F94" s="2371"/>
      <c r="G94" s="2371"/>
      <c r="H94" s="2371"/>
      <c r="I94" s="475"/>
      <c r="J94" s="478" t="s">
        <v>2163</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2123</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19" t="s">
        <v>860</v>
      </c>
      <c r="C97" s="2319"/>
      <c r="D97" s="446" t="s">
        <v>2147</v>
      </c>
      <c r="E97" s="2329" t="s">
        <v>2164</v>
      </c>
      <c r="F97" s="2330"/>
      <c r="G97" s="2330"/>
      <c r="H97" s="2330"/>
      <c r="I97" s="2330"/>
      <c r="J97" s="2330"/>
      <c r="K97" s="2330"/>
      <c r="L97" s="2330"/>
      <c r="M97" s="2330"/>
      <c r="N97" s="2330"/>
      <c r="O97" s="2330"/>
      <c r="P97" s="2330"/>
      <c r="Q97" s="2330"/>
      <c r="R97" s="2330"/>
      <c r="S97" s="2330"/>
      <c r="T97" s="2330"/>
      <c r="U97" s="2330"/>
      <c r="V97" s="2330"/>
      <c r="W97" s="2330"/>
      <c r="X97" s="2330"/>
      <c r="Y97" s="2330"/>
      <c r="Z97" s="2330"/>
      <c r="AA97" s="2330"/>
      <c r="AB97" s="2330"/>
      <c r="AC97" s="2330"/>
      <c r="AD97" s="2330"/>
      <c r="AE97" s="2330"/>
      <c r="AF97" s="2330"/>
      <c r="AG97" s="2330"/>
      <c r="AH97" s="2330"/>
      <c r="AI97" s="2330"/>
      <c r="AJ97" s="2331"/>
      <c r="AK97" s="443"/>
      <c r="AL97" s="440"/>
      <c r="AM97" s="440"/>
      <c r="AN97" s="435"/>
    </row>
    <row r="98" spans="1:47" s="436" customFormat="1" ht="12.75" customHeight="1">
      <c r="A98" s="438"/>
      <c r="B98" s="439"/>
      <c r="C98" s="439"/>
      <c r="D98" s="439"/>
      <c r="E98" s="2348"/>
      <c r="F98" s="2349"/>
      <c r="G98" s="2349"/>
      <c r="H98" s="2349"/>
      <c r="I98" s="2349"/>
      <c r="J98" s="2349"/>
      <c r="K98" s="2349"/>
      <c r="L98" s="2349"/>
      <c r="M98" s="2349"/>
      <c r="N98" s="2349"/>
      <c r="O98" s="2349"/>
      <c r="P98" s="2349"/>
      <c r="Q98" s="2349"/>
      <c r="R98" s="2349"/>
      <c r="S98" s="2349"/>
      <c r="T98" s="2349"/>
      <c r="U98" s="2349"/>
      <c r="V98" s="2349"/>
      <c r="W98" s="2349"/>
      <c r="X98" s="2349"/>
      <c r="Y98" s="2349"/>
      <c r="Z98" s="2349"/>
      <c r="AA98" s="2349"/>
      <c r="AB98" s="2349"/>
      <c r="AC98" s="2349"/>
      <c r="AD98" s="2349"/>
      <c r="AE98" s="2349"/>
      <c r="AF98" s="2349"/>
      <c r="AG98" s="2349"/>
      <c r="AH98" s="2349"/>
      <c r="AI98" s="2349"/>
      <c r="AJ98" s="2350"/>
      <c r="AK98" s="443"/>
      <c r="AL98" s="440"/>
      <c r="AM98" s="440"/>
      <c r="AN98" s="435"/>
    </row>
    <row r="99" spans="1:47" s="436" customFormat="1" ht="12.75" customHeight="1">
      <c r="A99" s="438"/>
      <c r="B99" s="439"/>
      <c r="C99" s="439"/>
      <c r="D99" s="439"/>
      <c r="E99" s="2348"/>
      <c r="F99" s="2349"/>
      <c r="G99" s="2349"/>
      <c r="H99" s="2349"/>
      <c r="I99" s="2349"/>
      <c r="J99" s="2349"/>
      <c r="K99" s="2349"/>
      <c r="L99" s="2349"/>
      <c r="M99" s="2349"/>
      <c r="N99" s="2349"/>
      <c r="O99" s="2349"/>
      <c r="P99" s="2349"/>
      <c r="Q99" s="2349"/>
      <c r="R99" s="2349"/>
      <c r="S99" s="2349"/>
      <c r="T99" s="2349"/>
      <c r="U99" s="2349"/>
      <c r="V99" s="2349"/>
      <c r="W99" s="2349"/>
      <c r="X99" s="2349"/>
      <c r="Y99" s="2349"/>
      <c r="Z99" s="2349"/>
      <c r="AA99" s="2349"/>
      <c r="AB99" s="2349"/>
      <c r="AC99" s="2349"/>
      <c r="AD99" s="2349"/>
      <c r="AE99" s="2349"/>
      <c r="AF99" s="2349"/>
      <c r="AG99" s="2349"/>
      <c r="AH99" s="2349"/>
      <c r="AI99" s="2349"/>
      <c r="AJ99" s="2350"/>
      <c r="AK99" s="443"/>
      <c r="AL99" s="440"/>
      <c r="AM99" s="440"/>
      <c r="AN99" s="435"/>
    </row>
    <row r="100" spans="1:47" s="436" customFormat="1" ht="12.75" customHeight="1">
      <c r="A100" s="438"/>
      <c r="B100" s="439"/>
      <c r="C100" s="439"/>
      <c r="D100" s="439"/>
      <c r="E100" s="2348"/>
      <c r="F100" s="2349"/>
      <c r="G100" s="2349"/>
      <c r="H100" s="2349"/>
      <c r="I100" s="2349"/>
      <c r="J100" s="2349"/>
      <c r="K100" s="2349"/>
      <c r="L100" s="2349"/>
      <c r="M100" s="2349"/>
      <c r="N100" s="2349"/>
      <c r="O100" s="2349"/>
      <c r="P100" s="2349"/>
      <c r="Q100" s="2349"/>
      <c r="R100" s="2349"/>
      <c r="S100" s="2349"/>
      <c r="T100" s="2349"/>
      <c r="U100" s="2349"/>
      <c r="V100" s="2349"/>
      <c r="W100" s="2349"/>
      <c r="X100" s="2349"/>
      <c r="Y100" s="2349"/>
      <c r="Z100" s="2349"/>
      <c r="AA100" s="2349"/>
      <c r="AB100" s="2349"/>
      <c r="AC100" s="2349"/>
      <c r="AD100" s="2349"/>
      <c r="AE100" s="2349"/>
      <c r="AF100" s="2349"/>
      <c r="AG100" s="2349"/>
      <c r="AH100" s="2349"/>
      <c r="AI100" s="2349"/>
      <c r="AJ100" s="2350"/>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41">
        <f>Application!AC761</f>
        <v>0.55999999999999994</v>
      </c>
      <c r="F102" s="2342"/>
      <c r="G102" s="2342"/>
      <c r="H102" s="2342"/>
      <c r="I102" s="475"/>
      <c r="J102" s="478" t="s">
        <v>2161</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41">
        <f ca="1">SUMIF(Application!AC726:AG760,0.2,Application!G726:J760)/Application!G761+SUMIF(Application!AC726:AG760,0.25,Application!G726:J760)/Application!G761+SUMIF(Application!AC726:AG760,0.3,Application!G726:J760)/Application!G761</f>
        <v>90.342857142857142</v>
      </c>
      <c r="F103" s="2342"/>
      <c r="G103" s="2342"/>
      <c r="H103" s="2342"/>
      <c r="I103" s="475"/>
      <c r="J103" s="478" t="s">
        <v>2165</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41">
        <f ca="1">SUMIF(Application!AC726:AG760,0.35,Application!G726:J760)/Application!G761+SUMIF(Application!AC726:AG760,0.4,Application!G726:J760)/Application!G761+SUMIF(Application!AC726:AG760,0.45,Application!G726:J760)/Application!G761+SUMIF(Application!AC726:AG760,0.5,Application!G726:J760)/Application!G761</f>
        <v>91.257142857142853</v>
      </c>
      <c r="F104" s="2342"/>
      <c r="G104" s="2342"/>
      <c r="H104" s="2342"/>
      <c r="I104" s="475"/>
      <c r="J104" s="478" t="s">
        <v>2166</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76">
        <f ca="1">IF(AND(E102&lt;=0.6,OR(AND(E103&gt;=0.1,E104&gt;=0.1),AND(E103&gt;0.1,(E103+E104)&gt;=0.2))),20,0)</f>
        <v>20</v>
      </c>
      <c r="F105" s="2377"/>
      <c r="G105" s="2377"/>
      <c r="H105" s="2377"/>
      <c r="I105" s="451"/>
      <c r="J105" s="485" t="s">
        <v>2163</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2123</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2167</v>
      </c>
      <c r="AK108" s="2358">
        <f ca="1">MAX(AP94,AP105)</f>
        <v>20</v>
      </c>
      <c r="AL108" s="2359"/>
      <c r="AM108" s="2360"/>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2168</v>
      </c>
      <c r="B111" s="439" t="s">
        <v>2169</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7" t="s">
        <v>2142</v>
      </c>
      <c r="AF111" s="2347"/>
      <c r="AG111" s="2347"/>
      <c r="AH111" s="2347"/>
      <c r="AI111" s="2347"/>
      <c r="AJ111" s="2347"/>
      <c r="AK111" s="2347"/>
      <c r="AL111" s="440"/>
      <c r="AM111" s="440"/>
      <c r="AN111" s="435"/>
      <c r="AO111" s="436" t="str">
        <f>Application!B726</f>
        <v>1 Bedroom</v>
      </c>
      <c r="AQ111" s="436">
        <f>Application!O726</f>
        <v>367</v>
      </c>
    </row>
    <row r="112" spans="1:47" s="436" customFormat="1" ht="12.75" customHeight="1">
      <c r="A112" s="440"/>
      <c r="B112" s="439" t="s">
        <v>2159</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720</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720</v>
      </c>
    </row>
    <row r="114" spans="1:52" s="436" customFormat="1" ht="12.75" customHeight="1">
      <c r="A114" s="440"/>
      <c r="B114" s="2319" t="s">
        <v>860</v>
      </c>
      <c r="C114" s="2319"/>
      <c r="D114" s="446" t="s">
        <v>2144</v>
      </c>
      <c r="E114" s="2329" t="s">
        <v>2170</v>
      </c>
      <c r="F114" s="2330"/>
      <c r="G114" s="2330"/>
      <c r="H114" s="2330"/>
      <c r="I114" s="2330"/>
      <c r="J114" s="2330"/>
      <c r="K114" s="2330"/>
      <c r="L114" s="2330"/>
      <c r="M114" s="2330"/>
      <c r="N114" s="2330"/>
      <c r="O114" s="2330"/>
      <c r="P114" s="2330"/>
      <c r="Q114" s="2330"/>
      <c r="R114" s="2330"/>
      <c r="S114" s="2330"/>
      <c r="T114" s="2330"/>
      <c r="U114" s="2330"/>
      <c r="V114" s="2330"/>
      <c r="W114" s="2330"/>
      <c r="X114" s="2330"/>
      <c r="Y114" s="2330"/>
      <c r="Z114" s="2330"/>
      <c r="AA114" s="2330"/>
      <c r="AB114" s="2330"/>
      <c r="AC114" s="2330"/>
      <c r="AD114" s="2330"/>
      <c r="AE114" s="2330"/>
      <c r="AF114" s="2330"/>
      <c r="AG114" s="2330"/>
      <c r="AH114" s="2330"/>
      <c r="AI114" s="2330"/>
      <c r="AJ114" s="2331"/>
      <c r="AK114" s="440"/>
      <c r="AL114" s="440"/>
      <c r="AM114" s="440"/>
      <c r="AN114" s="435"/>
      <c r="AO114" s="436" t="str">
        <f>Application!B729</f>
        <v>1 Bedroom</v>
      </c>
      <c r="AQ114" s="436">
        <f>Application!O729</f>
        <v>720</v>
      </c>
      <c r="AU114" s="436" t="s">
        <v>2171</v>
      </c>
      <c r="AV114" s="493" t="s">
        <v>1671</v>
      </c>
      <c r="AW114" s="436" t="s">
        <v>2172</v>
      </c>
    </row>
    <row r="115" spans="1:52" s="436" customFormat="1" ht="12.75" customHeight="1">
      <c r="A115" s="440"/>
      <c r="B115" s="439"/>
      <c r="C115" s="439"/>
      <c r="D115" s="439"/>
      <c r="E115" s="2348"/>
      <c r="F115" s="2349"/>
      <c r="G115" s="2349"/>
      <c r="H115" s="2349"/>
      <c r="I115" s="2349"/>
      <c r="J115" s="2349"/>
      <c r="K115" s="2349"/>
      <c r="L115" s="2349"/>
      <c r="M115" s="2349"/>
      <c r="N115" s="2349"/>
      <c r="O115" s="2349"/>
      <c r="P115" s="2349"/>
      <c r="Q115" s="2349"/>
      <c r="R115" s="2349"/>
      <c r="S115" s="2349"/>
      <c r="T115" s="2349"/>
      <c r="U115" s="2349"/>
      <c r="V115" s="2349"/>
      <c r="W115" s="2349"/>
      <c r="X115" s="2349"/>
      <c r="Y115" s="2349"/>
      <c r="Z115" s="2349"/>
      <c r="AA115" s="2349"/>
      <c r="AB115" s="2349"/>
      <c r="AC115" s="2349"/>
      <c r="AD115" s="2349"/>
      <c r="AE115" s="2349"/>
      <c r="AF115" s="2349"/>
      <c r="AG115" s="2349"/>
      <c r="AH115" s="2349"/>
      <c r="AI115" s="2349"/>
      <c r="AJ115" s="2350"/>
      <c r="AK115" s="440"/>
      <c r="AL115" s="440"/>
      <c r="AM115" s="440"/>
      <c r="AN115" s="435"/>
      <c r="AO115" s="436" t="str">
        <f>Application!B730</f>
        <v>3 Bedrooms</v>
      </c>
      <c r="AQ115" s="436">
        <f>Application!O730</f>
        <v>451</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348"/>
      <c r="F116" s="2349"/>
      <c r="G116" s="2349"/>
      <c r="H116" s="2349"/>
      <c r="I116" s="2349"/>
      <c r="J116" s="2349"/>
      <c r="K116" s="2349"/>
      <c r="L116" s="2349"/>
      <c r="M116" s="2349"/>
      <c r="N116" s="2349"/>
      <c r="O116" s="2349"/>
      <c r="P116" s="2349"/>
      <c r="Q116" s="2349"/>
      <c r="R116" s="2349"/>
      <c r="S116" s="2349"/>
      <c r="T116" s="2349"/>
      <c r="U116" s="2349"/>
      <c r="V116" s="2349"/>
      <c r="W116" s="2349"/>
      <c r="X116" s="2349"/>
      <c r="Y116" s="2349"/>
      <c r="Z116" s="2349"/>
      <c r="AA116" s="2349"/>
      <c r="AB116" s="2349"/>
      <c r="AC116" s="2349"/>
      <c r="AD116" s="2349"/>
      <c r="AE116" s="2349"/>
      <c r="AF116" s="2349"/>
      <c r="AG116" s="2349"/>
      <c r="AH116" s="2349"/>
      <c r="AI116" s="2349"/>
      <c r="AJ116" s="2350"/>
      <c r="AK116" s="440"/>
      <c r="AL116" s="440"/>
      <c r="AM116" s="440"/>
      <c r="AN116" s="435"/>
      <c r="AO116" s="436" t="str">
        <f>Application!B731</f>
        <v>3 Bedrooms</v>
      </c>
      <c r="AQ116" s="436">
        <f>Application!O731</f>
        <v>940</v>
      </c>
      <c r="AU116" s="752" t="str">
        <f>J123</f>
        <v>1-bedroom</v>
      </c>
      <c r="AV116" s="436">
        <f t="array" ref="AV116">SUM(IF(Application!B726:F760="1 Bedroom",Application!G726:J760))</f>
        <v>12</v>
      </c>
      <c r="AW116" s="900">
        <f>AV116/AV121</f>
        <v>0.34285714285714286</v>
      </c>
    </row>
    <row r="117" spans="1:52" s="436" customFormat="1" ht="12.75" customHeight="1">
      <c r="A117" s="440"/>
      <c r="B117" s="439"/>
      <c r="C117" s="439"/>
      <c r="D117" s="439"/>
      <c r="E117" s="2348"/>
      <c r="F117" s="2349"/>
      <c r="G117" s="2349"/>
      <c r="H117" s="2349"/>
      <c r="I117" s="2349"/>
      <c r="J117" s="2349"/>
      <c r="K117" s="2349"/>
      <c r="L117" s="2349"/>
      <c r="M117" s="2349"/>
      <c r="N117" s="2349"/>
      <c r="O117" s="2349"/>
      <c r="P117" s="2349"/>
      <c r="Q117" s="2349"/>
      <c r="R117" s="2349"/>
      <c r="S117" s="2349"/>
      <c r="T117" s="2349"/>
      <c r="U117" s="2349"/>
      <c r="V117" s="2349"/>
      <c r="W117" s="2349"/>
      <c r="X117" s="2349"/>
      <c r="Y117" s="2349"/>
      <c r="Z117" s="2349"/>
      <c r="AA117" s="2349"/>
      <c r="AB117" s="2349"/>
      <c r="AC117" s="2349"/>
      <c r="AD117" s="2349"/>
      <c r="AE117" s="2349"/>
      <c r="AF117" s="2349"/>
      <c r="AG117" s="2349"/>
      <c r="AH117" s="2349"/>
      <c r="AI117" s="2349"/>
      <c r="AJ117" s="2350"/>
      <c r="AK117" s="440"/>
      <c r="AL117" s="440"/>
      <c r="AM117" s="440"/>
      <c r="AN117" s="435"/>
      <c r="AO117" s="436" t="str">
        <f>Application!B732</f>
        <v>3 Bedrooms</v>
      </c>
      <c r="AQ117" s="436">
        <f>Application!O732</f>
        <v>940</v>
      </c>
      <c r="AU117" s="752" t="str">
        <f>O123</f>
        <v>2-bedroom</v>
      </c>
      <c r="AV117" s="436">
        <f t="array" ref="AV117">SUM(IF(Application!B726:F760="2 Bedrooms",Application!G726:J760))</f>
        <v>0</v>
      </c>
      <c r="AW117" s="900">
        <f>AV117/AV121</f>
        <v>0</v>
      </c>
    </row>
    <row r="118" spans="1:52" s="436" customFormat="1" ht="12.75" customHeight="1">
      <c r="A118" s="440"/>
      <c r="B118" s="439"/>
      <c r="C118" s="439"/>
      <c r="D118" s="439"/>
      <c r="E118" s="2348"/>
      <c r="F118" s="2349"/>
      <c r="G118" s="2349"/>
      <c r="H118" s="2349"/>
      <c r="I118" s="2349"/>
      <c r="J118" s="2349"/>
      <c r="K118" s="2349"/>
      <c r="L118" s="2349"/>
      <c r="M118" s="2349"/>
      <c r="N118" s="2349"/>
      <c r="O118" s="2349"/>
      <c r="P118" s="2349"/>
      <c r="Q118" s="2349"/>
      <c r="R118" s="2349"/>
      <c r="S118" s="2349"/>
      <c r="T118" s="2349"/>
      <c r="U118" s="2349"/>
      <c r="V118" s="2349"/>
      <c r="W118" s="2349"/>
      <c r="X118" s="2349"/>
      <c r="Y118" s="2349"/>
      <c r="Z118" s="2349"/>
      <c r="AA118" s="2349"/>
      <c r="AB118" s="2349"/>
      <c r="AC118" s="2349"/>
      <c r="AD118" s="2349"/>
      <c r="AE118" s="2349"/>
      <c r="AF118" s="2349"/>
      <c r="AG118" s="2349"/>
      <c r="AH118" s="2349"/>
      <c r="AI118" s="2349"/>
      <c r="AJ118" s="2350"/>
      <c r="AK118" s="440"/>
      <c r="AL118" s="440"/>
      <c r="AM118" s="440"/>
      <c r="AN118" s="435"/>
      <c r="AO118" s="436" t="str">
        <f>Application!B733</f>
        <v>3 Bedrooms</v>
      </c>
      <c r="AQ118" s="436">
        <f>Application!O733</f>
        <v>940</v>
      </c>
      <c r="AU118" s="752" t="str">
        <f>T123</f>
        <v>3-bedroom</v>
      </c>
      <c r="AV118" s="436">
        <f t="array" ref="AV118">SUM(IF(Application!B726:F760="3 Bedrooms",Application!G726:J760))</f>
        <v>23</v>
      </c>
      <c r="AW118" s="900">
        <f>AV118/AV121</f>
        <v>0.65714285714285714</v>
      </c>
    </row>
    <row r="119" spans="1:52" s="436" customFormat="1" ht="12.75" customHeight="1">
      <c r="A119" s="440"/>
      <c r="B119" s="439"/>
      <c r="C119" s="439"/>
      <c r="D119" s="439"/>
      <c r="E119" s="2348"/>
      <c r="F119" s="2349"/>
      <c r="G119" s="2349"/>
      <c r="H119" s="2349"/>
      <c r="I119" s="2349"/>
      <c r="J119" s="2349"/>
      <c r="K119" s="2349"/>
      <c r="L119" s="2349"/>
      <c r="M119" s="2349"/>
      <c r="N119" s="2349"/>
      <c r="O119" s="2349"/>
      <c r="P119" s="2349"/>
      <c r="Q119" s="2349"/>
      <c r="R119" s="2349"/>
      <c r="S119" s="2349"/>
      <c r="T119" s="2349"/>
      <c r="U119" s="2349"/>
      <c r="V119" s="2349"/>
      <c r="W119" s="2349"/>
      <c r="X119" s="2349"/>
      <c r="Y119" s="2349"/>
      <c r="Z119" s="2349"/>
      <c r="AA119" s="2349"/>
      <c r="AB119" s="2349"/>
      <c r="AC119" s="2349"/>
      <c r="AD119" s="2349"/>
      <c r="AE119" s="2349"/>
      <c r="AF119" s="2349"/>
      <c r="AG119" s="2349"/>
      <c r="AH119" s="2349"/>
      <c r="AI119" s="2349"/>
      <c r="AJ119" s="2350"/>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48"/>
      <c r="F120" s="2349"/>
      <c r="G120" s="2349"/>
      <c r="H120" s="2349"/>
      <c r="I120" s="2349"/>
      <c r="J120" s="2349"/>
      <c r="K120" s="2349"/>
      <c r="L120" s="2349"/>
      <c r="M120" s="2349"/>
      <c r="N120" s="2349"/>
      <c r="O120" s="2349"/>
      <c r="P120" s="2349"/>
      <c r="Q120" s="2349"/>
      <c r="R120" s="2349"/>
      <c r="S120" s="2349"/>
      <c r="T120" s="2349"/>
      <c r="U120" s="2349"/>
      <c r="V120" s="2349"/>
      <c r="W120" s="2349"/>
      <c r="X120" s="2349"/>
      <c r="Y120" s="2349"/>
      <c r="Z120" s="2349"/>
      <c r="AA120" s="2349"/>
      <c r="AB120" s="2349"/>
      <c r="AC120" s="2349"/>
      <c r="AD120" s="2349"/>
      <c r="AE120" s="2349"/>
      <c r="AF120" s="2349"/>
      <c r="AG120" s="2349"/>
      <c r="AH120" s="2349"/>
      <c r="AI120" s="2349"/>
      <c r="AJ120" s="2350"/>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48"/>
      <c r="F121" s="2349"/>
      <c r="G121" s="2349"/>
      <c r="H121" s="2349"/>
      <c r="I121" s="2349"/>
      <c r="J121" s="2349"/>
      <c r="K121" s="2349"/>
      <c r="L121" s="2349"/>
      <c r="M121" s="2349"/>
      <c r="N121" s="2349"/>
      <c r="O121" s="2349"/>
      <c r="P121" s="2349"/>
      <c r="Q121" s="2349"/>
      <c r="R121" s="2349"/>
      <c r="S121" s="2349"/>
      <c r="T121" s="2349"/>
      <c r="U121" s="2349"/>
      <c r="V121" s="2349"/>
      <c r="W121" s="2349"/>
      <c r="X121" s="2349"/>
      <c r="Y121" s="2349"/>
      <c r="Z121" s="2349"/>
      <c r="AA121" s="2349"/>
      <c r="AB121" s="2349"/>
      <c r="AC121" s="2349"/>
      <c r="AD121" s="2349"/>
      <c r="AE121" s="2349"/>
      <c r="AF121" s="2349"/>
      <c r="AG121" s="2349"/>
      <c r="AH121" s="2349"/>
      <c r="AI121" s="2349"/>
      <c r="AJ121" s="2350"/>
      <c r="AK121" s="440"/>
      <c r="AL121" s="440"/>
      <c r="AM121" s="440"/>
      <c r="AN121" s="435"/>
      <c r="AO121" s="436">
        <f>Application!B736</f>
        <v>0</v>
      </c>
      <c r="AQ121" s="436">
        <f>Application!O736</f>
        <v>0</v>
      </c>
      <c r="AV121" s="436">
        <f>SUM(AV115:AV120)</f>
        <v>35</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341" t="s">
        <v>2173</v>
      </c>
      <c r="F123" s="2342"/>
      <c r="G123" s="2342"/>
      <c r="H123" s="2342"/>
      <c r="I123" s="475"/>
      <c r="J123" s="2342" t="s">
        <v>2174</v>
      </c>
      <c r="K123" s="2342"/>
      <c r="L123" s="2342"/>
      <c r="M123" s="2342"/>
      <c r="N123" s="475"/>
      <c r="O123" s="2342" t="s">
        <v>2175</v>
      </c>
      <c r="P123" s="2342"/>
      <c r="Q123" s="2342"/>
      <c r="R123" s="2342"/>
      <c r="S123" s="475"/>
      <c r="T123" s="2342" t="s">
        <v>2176</v>
      </c>
      <c r="U123" s="2342"/>
      <c r="V123" s="2342"/>
      <c r="W123" s="2342"/>
      <c r="X123" s="475"/>
      <c r="Y123" s="2342" t="s">
        <v>2177</v>
      </c>
      <c r="Z123" s="2342"/>
      <c r="AA123" s="2342"/>
      <c r="AB123" s="2342"/>
      <c r="AC123" s="475"/>
      <c r="AD123" s="2342" t="s">
        <v>2178</v>
      </c>
      <c r="AE123" s="2342"/>
      <c r="AF123" s="2342"/>
      <c r="AG123" s="2342"/>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2179</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78">
        <v>0</v>
      </c>
      <c r="F126" s="2379"/>
      <c r="G126" s="2379"/>
      <c r="H126" s="2379"/>
      <c r="I126" s="759"/>
      <c r="J126" s="2379">
        <v>1638</v>
      </c>
      <c r="K126" s="2379"/>
      <c r="L126" s="2379"/>
      <c r="M126" s="2379"/>
      <c r="N126" s="759"/>
      <c r="O126" s="2379">
        <v>0</v>
      </c>
      <c r="P126" s="2379"/>
      <c r="Q126" s="2379"/>
      <c r="R126" s="2379"/>
      <c r="S126" s="759"/>
      <c r="T126" s="2379">
        <v>2361</v>
      </c>
      <c r="U126" s="2379"/>
      <c r="V126" s="2379"/>
      <c r="W126" s="2379"/>
      <c r="X126" s="759"/>
      <c r="Y126" s="2379">
        <v>0</v>
      </c>
      <c r="Z126" s="2379"/>
      <c r="AA126" s="2379"/>
      <c r="AB126" s="2379"/>
      <c r="AC126" s="759"/>
      <c r="AD126" s="2379">
        <v>0</v>
      </c>
      <c r="AE126" s="2379"/>
      <c r="AF126" s="2379"/>
      <c r="AG126" s="2379"/>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2180</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52">
        <f>Application!DX678</f>
        <v>0</v>
      </c>
      <c r="F129" s="2353"/>
      <c r="G129" s="2353"/>
      <c r="H129" s="2353"/>
      <c r="I129" s="759"/>
      <c r="J129" s="2353">
        <f>Application!EC678</f>
        <v>690.58333333333337</v>
      </c>
      <c r="K129" s="2353"/>
      <c r="L129" s="2353"/>
      <c r="M129" s="2353"/>
      <c r="N129" s="759"/>
      <c r="O129" s="2353">
        <f>Application!EH678</f>
        <v>0</v>
      </c>
      <c r="P129" s="2353"/>
      <c r="Q129" s="2353"/>
      <c r="R129" s="2353"/>
      <c r="S129" s="763"/>
      <c r="T129" s="2353">
        <f>Application!EM678</f>
        <v>897.47826086956525</v>
      </c>
      <c r="U129" s="2353"/>
      <c r="V129" s="2353"/>
      <c r="W129" s="2353"/>
      <c r="X129" s="763"/>
      <c r="Y129" s="2353">
        <f>Application!ER678</f>
        <v>0</v>
      </c>
      <c r="Z129" s="2353"/>
      <c r="AA129" s="2353"/>
      <c r="AB129" s="2353"/>
      <c r="AC129" s="763"/>
      <c r="AD129" s="2353">
        <f>Application!EW678</f>
        <v>0</v>
      </c>
      <c r="AE129" s="2353"/>
      <c r="AF129" s="2353"/>
      <c r="AG129" s="2353"/>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2181</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51" t="e">
        <f>(E126-E129)/E126</f>
        <v>#DIV/0!</v>
      </c>
      <c r="F132" s="2344"/>
      <c r="G132" s="2344"/>
      <c r="H132" s="2552"/>
      <c r="I132" s="475"/>
      <c r="J132" s="2551">
        <f>(J126-J129)/J126</f>
        <v>0.57839845339845342</v>
      </c>
      <c r="K132" s="2344"/>
      <c r="L132" s="2344"/>
      <c r="M132" s="2552"/>
      <c r="N132" s="475"/>
      <c r="O132" s="2551" t="e">
        <f>(O126-O129)/O126</f>
        <v>#DIV/0!</v>
      </c>
      <c r="P132" s="2344"/>
      <c r="Q132" s="2344"/>
      <c r="R132" s="2552"/>
      <c r="S132" s="475"/>
      <c r="T132" s="2551">
        <f>(T126-T129)/T126</f>
        <v>0.61987367180450437</v>
      </c>
      <c r="U132" s="2344"/>
      <c r="V132" s="2344"/>
      <c r="W132" s="2552"/>
      <c r="X132" s="475"/>
      <c r="Y132" s="2551" t="e">
        <f>(Y126-Y129)/Y126</f>
        <v>#DIV/0!</v>
      </c>
      <c r="Z132" s="2344"/>
      <c r="AA132" s="2344"/>
      <c r="AB132" s="2552"/>
      <c r="AC132" s="475"/>
      <c r="AD132" s="2551" t="e">
        <f>(AD126-AD129)/AD126</f>
        <v>#DIV/0!</v>
      </c>
      <c r="AE132" s="2344"/>
      <c r="AF132" s="2344"/>
      <c r="AG132" s="2552"/>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2182</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67" t="e">
        <f>IF(((E132-0.1)*AW115)&gt;0,((E132-0.1)*AW115),0)</f>
        <v>#DIV/0!</v>
      </c>
      <c r="F135" s="2368"/>
      <c r="G135" s="2368"/>
      <c r="H135" s="2369"/>
      <c r="I135" s="475"/>
      <c r="J135" s="2367">
        <f>IF(((J132-0.1)*AW116)&gt;0,((J132-0.1)*AW116),0)</f>
        <v>0.16402232687946974</v>
      </c>
      <c r="K135" s="2368"/>
      <c r="L135" s="2368"/>
      <c r="M135" s="2369"/>
      <c r="N135" s="475"/>
      <c r="O135" s="2367" t="e">
        <f>IF(((O132-0.1)*AW117)&gt;0,((O132-0.1)*AW117),0)</f>
        <v>#DIV/0!</v>
      </c>
      <c r="P135" s="2368"/>
      <c r="Q135" s="2368"/>
      <c r="R135" s="2369"/>
      <c r="S135" s="475"/>
      <c r="T135" s="2367">
        <f>IF(((T132-0.1)*AW118)&gt;0,((T132-0.1)*AW118),0)</f>
        <v>0.34163127004296001</v>
      </c>
      <c r="U135" s="2368"/>
      <c r="V135" s="2368"/>
      <c r="W135" s="2369"/>
      <c r="X135" s="475"/>
      <c r="Y135" s="2367" t="e">
        <f>IF(((Y132-0.1)*AW119)&gt;0,((Y132-0.1)*AW119),0)</f>
        <v>#DIV/0!</v>
      </c>
      <c r="Z135" s="2368"/>
      <c r="AA135" s="2368"/>
      <c r="AB135" s="2369"/>
      <c r="AC135" s="475"/>
      <c r="AD135" s="2367" t="e">
        <f>IF(((AD132-0.1)*AW120)&gt;0,((AD132-0.1)*AW120),0)</f>
        <v>#DIV/0!</v>
      </c>
      <c r="AE135" s="2368"/>
      <c r="AF135" s="2368"/>
      <c r="AG135" s="2369"/>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51">
        <f>ROUNDDOWN(SUMIF(E135:AG135,"&gt;0"),2)</f>
        <v>0.5</v>
      </c>
      <c r="F137" s="2344"/>
      <c r="G137" s="2344"/>
      <c r="H137" s="2552"/>
      <c r="I137" s="475"/>
      <c r="J137" s="478" t="s">
        <v>2183</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58">
        <f>IF((E137*100)&gt;10,10,E137*100)</f>
        <v>10</v>
      </c>
      <c r="F138" s="2359"/>
      <c r="G138" s="2359"/>
      <c r="H138" s="2360"/>
      <c r="I138" s="475"/>
      <c r="J138" s="478" t="s">
        <v>2163</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2184</v>
      </c>
      <c r="AK142" s="2358">
        <f>E138</f>
        <v>10</v>
      </c>
      <c r="AL142" s="2359"/>
      <c r="AM142" s="2360"/>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2185</v>
      </c>
      <c r="AE145" s="2347" t="s">
        <v>2142</v>
      </c>
      <c r="AF145" s="2347"/>
      <c r="AG145" s="2347"/>
      <c r="AH145" s="2347"/>
      <c r="AI145" s="2347"/>
      <c r="AJ145" s="2347"/>
      <c r="AK145" s="2347"/>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2186</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80" t="s">
        <v>2187</v>
      </c>
      <c r="AG147" s="2380"/>
      <c r="AH147" s="2380"/>
      <c r="AI147" s="2380"/>
      <c r="AJ147" s="2380"/>
      <c r="AK147" s="2380"/>
      <c r="AL147" s="2380"/>
      <c r="AM147" s="439"/>
      <c r="AN147" s="435"/>
    </row>
    <row r="148" spans="1:42" s="436" customFormat="1" ht="12.75" customHeight="1">
      <c r="A148" s="438"/>
      <c r="B148" s="438" t="s">
        <v>1100</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90" t="s">
        <v>673</v>
      </c>
      <c r="C149" s="2390"/>
      <c r="D149" s="2390"/>
      <c r="E149" s="2390"/>
      <c r="F149" s="2390"/>
      <c r="G149" s="2390"/>
      <c r="H149" s="2390"/>
      <c r="I149" s="2390"/>
      <c r="J149" s="2390"/>
      <c r="K149" s="2390"/>
      <c r="L149" s="2390"/>
      <c r="M149" s="2390"/>
      <c r="N149" s="2390"/>
      <c r="O149" s="2390"/>
      <c r="P149" s="2390"/>
      <c r="Q149" s="2390"/>
      <c r="R149" s="2390"/>
      <c r="S149" s="2390"/>
      <c r="T149" s="2390"/>
      <c r="U149" s="2390"/>
      <c r="V149" s="2390"/>
      <c r="W149" s="2390"/>
      <c r="X149" s="2390"/>
      <c r="Y149" s="2390"/>
      <c r="Z149" s="2390"/>
      <c r="AA149" s="2390"/>
      <c r="AB149" s="2390"/>
      <c r="AC149" s="2390"/>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2188</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2189</v>
      </c>
      <c r="AP151" s="390">
        <v>5</v>
      </c>
    </row>
    <row r="152" spans="1:42" s="436" customFormat="1" ht="12.75" customHeight="1">
      <c r="A152" s="438"/>
      <c r="B152" s="2391" t="s">
        <v>2190</v>
      </c>
      <c r="C152" s="2391"/>
      <c r="D152" s="2391"/>
      <c r="E152" s="2391"/>
      <c r="F152" s="2391"/>
      <c r="G152" s="2391"/>
      <c r="H152" s="2391"/>
      <c r="I152" s="2391"/>
      <c r="J152" s="2391"/>
      <c r="K152" s="2391"/>
      <c r="L152" s="2391"/>
      <c r="M152" s="2391"/>
      <c r="N152" s="2391"/>
      <c r="O152" s="2391"/>
      <c r="P152" s="2391"/>
      <c r="Q152" s="2391"/>
      <c r="R152" s="2391"/>
      <c r="S152" s="2391"/>
      <c r="T152" s="2391"/>
      <c r="U152" s="2391"/>
      <c r="V152" s="2391"/>
      <c r="W152" s="2391"/>
      <c r="X152" s="2391"/>
      <c r="Y152" s="2391"/>
      <c r="Z152" s="2391"/>
      <c r="AA152" s="2391"/>
      <c r="AB152" s="2391"/>
      <c r="AC152" s="2391"/>
      <c r="AD152" s="2391"/>
      <c r="AE152" s="2391"/>
      <c r="AF152" s="2391"/>
      <c r="AG152" s="2391"/>
      <c r="AH152" s="2391"/>
      <c r="AI152" s="2391"/>
      <c r="AM152" s="439"/>
      <c r="AN152" s="435"/>
      <c r="AO152" s="377" t="s">
        <v>2190</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2191</v>
      </c>
      <c r="AP153" s="390">
        <v>7</v>
      </c>
    </row>
    <row r="154" spans="1:42" s="436" customFormat="1" ht="12.75" customHeight="1">
      <c r="A154" s="438"/>
      <c r="B154" s="439" t="s">
        <v>2192</v>
      </c>
      <c r="AB154" s="2392" t="s">
        <v>826</v>
      </c>
      <c r="AC154" s="2392"/>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2193</v>
      </c>
      <c r="AP155" s="390"/>
    </row>
    <row r="156" spans="1:42" s="436" customFormat="1" ht="12.75" customHeight="1">
      <c r="A156" s="438"/>
      <c r="B156" s="438" t="s">
        <v>2194</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2195</v>
      </c>
      <c r="AP156" s="390">
        <v>5</v>
      </c>
    </row>
    <row r="157" spans="1:42" s="436" customFormat="1" ht="12.75" customHeight="1">
      <c r="A157" s="438"/>
      <c r="B157" s="2391" t="s">
        <v>2193</v>
      </c>
      <c r="C157" s="2391"/>
      <c r="D157" s="2391"/>
      <c r="E157" s="2391"/>
      <c r="F157" s="2391"/>
      <c r="G157" s="2391"/>
      <c r="H157" s="2391"/>
      <c r="I157" s="2391"/>
      <c r="J157" s="2391"/>
      <c r="K157" s="2391"/>
      <c r="L157" s="2391"/>
      <c r="M157" s="2391"/>
      <c r="N157" s="2391"/>
      <c r="O157" s="2391"/>
      <c r="P157" s="2391"/>
      <c r="Q157" s="2391"/>
      <c r="R157" s="2391"/>
      <c r="S157" s="2391"/>
      <c r="T157" s="2391"/>
      <c r="U157" s="2391"/>
      <c r="V157" s="2391"/>
      <c r="W157" s="2391"/>
      <c r="X157" s="2391"/>
      <c r="Y157" s="2391"/>
      <c r="Z157" s="2391"/>
      <c r="AA157" s="2391"/>
      <c r="AB157" s="2391"/>
      <c r="AC157" s="2391"/>
      <c r="AD157" s="2391"/>
      <c r="AE157" s="2391"/>
      <c r="AF157" s="2391"/>
      <c r="AG157" s="2391"/>
      <c r="AH157" s="2391"/>
      <c r="AI157" s="2391"/>
      <c r="AJ157" s="2391"/>
      <c r="AN157" s="435"/>
      <c r="AO157" s="377" t="s">
        <v>2196</v>
      </c>
      <c r="AP157" s="390">
        <v>7</v>
      </c>
    </row>
    <row r="158" spans="1:42" s="436" customFormat="1" ht="12.75" customHeight="1">
      <c r="B158" s="439" t="s">
        <v>2197</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56" t="s">
        <v>2198</v>
      </c>
      <c r="C160" s="2556"/>
      <c r="D160" s="2556"/>
      <c r="E160" s="2556"/>
      <c r="F160" s="2556"/>
      <c r="G160" s="2556"/>
      <c r="H160" s="2556"/>
      <c r="I160" s="2556"/>
      <c r="J160" s="2556"/>
      <c r="K160" s="2556"/>
      <c r="L160" s="2556"/>
      <c r="M160" s="2556"/>
      <c r="N160" s="2556"/>
      <c r="O160" s="2556"/>
      <c r="P160" s="2556"/>
      <c r="Q160" s="2556"/>
      <c r="R160" s="2556"/>
      <c r="S160" s="2556"/>
      <c r="T160" s="2556"/>
      <c r="U160" s="2556"/>
      <c r="V160" s="2556"/>
      <c r="W160" s="2556"/>
      <c r="X160" s="2556"/>
      <c r="Y160" s="2556"/>
      <c r="Z160" s="2556"/>
      <c r="AA160" s="2556"/>
      <c r="AB160" s="2556"/>
      <c r="AC160" s="2556"/>
      <c r="AD160" s="2556"/>
      <c r="AE160" s="2556"/>
      <c r="AF160" s="2556"/>
      <c r="AG160" s="2556"/>
      <c r="AH160" s="2556"/>
      <c r="AI160" s="2556"/>
      <c r="AJ160" s="2556"/>
      <c r="AK160" s="1062"/>
      <c r="AM160" s="439"/>
      <c r="AN160" s="435"/>
      <c r="AO160" s="377"/>
      <c r="AP160" s="390"/>
    </row>
    <row r="161" spans="1:42" s="436" customFormat="1" ht="12.75" customHeight="1">
      <c r="B161" s="2556"/>
      <c r="C161" s="2556"/>
      <c r="D161" s="2556"/>
      <c r="E161" s="2556"/>
      <c r="F161" s="2556"/>
      <c r="G161" s="2556"/>
      <c r="H161" s="2556"/>
      <c r="I161" s="2556"/>
      <c r="J161" s="2556"/>
      <c r="K161" s="2556"/>
      <c r="L161" s="2556"/>
      <c r="M161" s="2556"/>
      <c r="N161" s="2556"/>
      <c r="O161" s="2556"/>
      <c r="P161" s="2556"/>
      <c r="Q161" s="2556"/>
      <c r="R161" s="2556"/>
      <c r="S161" s="2556"/>
      <c r="T161" s="2556"/>
      <c r="U161" s="2556"/>
      <c r="V161" s="2556"/>
      <c r="W161" s="2556"/>
      <c r="X161" s="2556"/>
      <c r="Y161" s="2556"/>
      <c r="Z161" s="2556"/>
      <c r="AA161" s="2556"/>
      <c r="AB161" s="2556"/>
      <c r="AC161" s="2556"/>
      <c r="AD161" s="2556"/>
      <c r="AE161" s="2556"/>
      <c r="AF161" s="2556"/>
      <c r="AG161" s="2556"/>
      <c r="AH161" s="2556"/>
      <c r="AI161" s="2556"/>
      <c r="AJ161" s="2556"/>
      <c r="AK161" s="1062"/>
      <c r="AM161" s="439"/>
      <c r="AN161" s="435"/>
      <c r="AO161" s="377"/>
      <c r="AP161" s="390"/>
    </row>
    <row r="162" spans="1:42" s="436" customFormat="1" ht="12.75" customHeight="1">
      <c r="C162" s="2467" t="s">
        <v>2199</v>
      </c>
      <c r="D162" s="2467"/>
      <c r="E162" s="2467"/>
      <c r="F162" s="2467"/>
      <c r="G162" s="2467"/>
      <c r="H162" s="2467"/>
      <c r="I162" s="2467"/>
      <c r="J162" s="2467"/>
      <c r="K162" s="2467"/>
      <c r="L162" s="2467"/>
      <c r="M162" s="2467"/>
      <c r="N162" s="2467"/>
      <c r="O162" s="2467"/>
      <c r="P162" s="2467"/>
      <c r="Q162" s="2467"/>
      <c r="R162" s="2467"/>
      <c r="S162" s="2467"/>
      <c r="T162" s="2467"/>
      <c r="U162" s="2467"/>
      <c r="V162" s="2467"/>
      <c r="W162" s="2467"/>
      <c r="X162" s="2467"/>
      <c r="Y162" s="2467"/>
      <c r="Z162" s="2467"/>
      <c r="AA162" s="2467"/>
      <c r="AB162" s="2467"/>
      <c r="AC162" s="2467"/>
      <c r="AD162" s="2467"/>
      <c r="AE162" s="2467"/>
      <c r="AF162" s="2467"/>
      <c r="AG162" s="2467"/>
      <c r="AH162" s="2467"/>
      <c r="AI162" s="2467"/>
      <c r="AJ162" s="2467"/>
      <c r="AK162" s="1062"/>
      <c r="AM162" s="439"/>
      <c r="AN162" s="435"/>
      <c r="AO162" s="377"/>
      <c r="AP162" s="390"/>
    </row>
    <row r="163" spans="1:42" s="436" customFormat="1" ht="12.75" customHeight="1">
      <c r="B163" s="1062"/>
      <c r="C163" s="2389" t="s">
        <v>2200</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1052"/>
      <c r="AB163" s="1052"/>
      <c r="AC163" s="1052"/>
      <c r="AD163" s="1052"/>
      <c r="AE163" s="1052"/>
      <c r="AF163" s="1052"/>
      <c r="AG163" s="1052"/>
      <c r="AH163" s="1052"/>
      <c r="AJ163" s="2392" t="s">
        <v>826</v>
      </c>
      <c r="AK163" s="2392"/>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2201</v>
      </c>
      <c r="AJ165" s="2395">
        <f>IF($AB$154="N/A",VLOOKUP($B$152,$AO$150:$AP$153,2,FALSE),VLOOKUP($B$157,$AO$155:$AP$157,2,FALSE))</f>
        <v>7</v>
      </c>
      <c r="AK165" s="2395"/>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2202</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80" t="s">
        <v>2203</v>
      </c>
      <c r="AG167" s="2380"/>
      <c r="AH167" s="2380"/>
      <c r="AI167" s="2380"/>
      <c r="AJ167" s="2380"/>
      <c r="AK167" s="2380"/>
      <c r="AL167" s="2380"/>
      <c r="AM167" s="501"/>
      <c r="AN167" s="496"/>
    </row>
    <row r="168" spans="1:42" s="449" customFormat="1" ht="12.75" customHeight="1">
      <c r="A168" s="436"/>
      <c r="B168" s="439" t="s">
        <v>2204</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91" t="s">
        <v>2205</v>
      </c>
      <c r="D169" s="2391"/>
      <c r="E169" s="2391"/>
      <c r="F169" s="2391"/>
      <c r="G169" s="2391"/>
      <c r="H169" s="2391"/>
      <c r="I169" s="2391"/>
      <c r="J169" s="2391"/>
      <c r="K169" s="2391"/>
      <c r="L169" s="2391"/>
      <c r="M169" s="2391"/>
      <c r="N169" s="2391"/>
      <c r="O169" s="2391"/>
      <c r="P169" s="2391"/>
      <c r="Q169" s="2391"/>
      <c r="R169" s="2391"/>
      <c r="S169" s="2391"/>
      <c r="T169" s="2391"/>
      <c r="U169" s="2391"/>
      <c r="V169" s="2391"/>
      <c r="W169" s="2391"/>
      <c r="X169" s="2391"/>
      <c r="Y169" s="2391"/>
      <c r="Z169" s="2391"/>
      <c r="AA169" s="2391"/>
      <c r="AB169" s="2391"/>
      <c r="AC169" s="2391"/>
      <c r="AD169" s="2391"/>
      <c r="AE169" s="2391"/>
      <c r="AF169" s="2391"/>
      <c r="AG169" s="2391"/>
      <c r="AH169" s="2391"/>
      <c r="AI169" s="2391"/>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2206</v>
      </c>
      <c r="AP170" s="497">
        <v>2</v>
      </c>
    </row>
    <row r="171" spans="1:42" s="449" customFormat="1" ht="12.75" customHeight="1">
      <c r="A171" s="436"/>
      <c r="B171" s="436"/>
      <c r="C171" s="439" t="s">
        <v>2207</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92" t="s">
        <v>826</v>
      </c>
      <c r="AG171" s="2392"/>
      <c r="AH171" s="436"/>
      <c r="AI171" s="436"/>
      <c r="AJ171" s="436"/>
      <c r="AK171" s="436"/>
      <c r="AL171" s="436"/>
      <c r="AM171" s="501"/>
      <c r="AN171" s="495"/>
      <c r="AO171" s="377" t="s">
        <v>2205</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2208</v>
      </c>
      <c r="AP172" s="497">
        <v>3</v>
      </c>
    </row>
    <row r="173" spans="1:42" s="449" customFormat="1" ht="12.75" customHeight="1">
      <c r="A173" s="436"/>
      <c r="B173" s="436"/>
      <c r="C173" s="2391" t="s">
        <v>2193</v>
      </c>
      <c r="D173" s="2391"/>
      <c r="E173" s="2391"/>
      <c r="F173" s="2391"/>
      <c r="G173" s="2391"/>
      <c r="H173" s="2391"/>
      <c r="I173" s="2391"/>
      <c r="J173" s="2391"/>
      <c r="K173" s="2391"/>
      <c r="L173" s="2391"/>
      <c r="M173" s="2391"/>
      <c r="N173" s="2391"/>
      <c r="O173" s="2391"/>
      <c r="P173" s="2391"/>
      <c r="Q173" s="2391"/>
      <c r="R173" s="2391"/>
      <c r="S173" s="2391"/>
      <c r="T173" s="2391"/>
      <c r="U173" s="2391"/>
      <c r="V173" s="2391"/>
      <c r="W173" s="2391"/>
      <c r="X173" s="2391"/>
      <c r="Y173" s="2391"/>
      <c r="Z173" s="2391"/>
      <c r="AA173" s="2391"/>
      <c r="AB173" s="2391"/>
      <c r="AC173" s="2391"/>
      <c r="AD173" s="2391"/>
      <c r="AE173" s="436"/>
      <c r="AF173" s="436"/>
      <c r="AG173" s="436"/>
      <c r="AH173" s="436"/>
      <c r="AI173" s="436"/>
      <c r="AJ173" s="436"/>
      <c r="AK173" s="436"/>
      <c r="AL173" s="436"/>
      <c r="AM173" s="501"/>
      <c r="AN173" s="495"/>
      <c r="AO173" s="500"/>
      <c r="AP173" s="497"/>
    </row>
    <row r="174" spans="1:42" s="449" customFormat="1" ht="12.75" customHeight="1">
      <c r="A174" s="436"/>
      <c r="B174" s="436"/>
      <c r="C174" s="439" t="s">
        <v>2197</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2209</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2193</v>
      </c>
      <c r="AP176" s="377"/>
    </row>
    <row r="177" spans="1:73" s="449" customFormat="1" ht="12.75" customHeight="1">
      <c r="A177" s="436"/>
      <c r="B177" s="436"/>
      <c r="C177" s="2393" t="str">
        <f>Application!AA344</f>
        <v>Housing Authority of the County of Kern</v>
      </c>
      <c r="D177" s="2393"/>
      <c r="E177" s="2393"/>
      <c r="F177" s="2393"/>
      <c r="G177" s="2393"/>
      <c r="H177" s="2393"/>
      <c r="I177" s="2393"/>
      <c r="J177" s="2393"/>
      <c r="K177" s="2393"/>
      <c r="L177" s="2393"/>
      <c r="M177" s="2393"/>
      <c r="N177" s="2393"/>
      <c r="O177" s="2393"/>
      <c r="P177" s="2393"/>
      <c r="Q177" s="2393"/>
      <c r="R177" s="2393"/>
      <c r="S177" s="2393"/>
      <c r="T177" s="2393"/>
      <c r="U177" s="2393"/>
      <c r="V177" s="2393"/>
      <c r="W177" s="2393"/>
      <c r="X177" s="2393"/>
      <c r="Y177" s="2393"/>
      <c r="Z177" s="2393"/>
      <c r="AA177" s="2393"/>
      <c r="AB177" s="2393"/>
      <c r="AC177" s="2393"/>
      <c r="AD177" s="2393"/>
      <c r="AE177" s="436"/>
      <c r="AF177" s="436"/>
      <c r="AG177" s="436"/>
      <c r="AH177" s="436"/>
      <c r="AI177" s="436"/>
      <c r="AJ177" s="436"/>
      <c r="AK177" s="436"/>
      <c r="AL177" s="436"/>
      <c r="AM177" s="501"/>
      <c r="AN177" s="495"/>
      <c r="AO177" s="377" t="s">
        <v>2210</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2211</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2212</v>
      </c>
      <c r="AJ179" s="2394">
        <f>IF($AF$171="N/A",VLOOKUP($C$169,$AO$169:$AP$172,2,FALSE),VLOOKUP($C$173,$AO$176:$AP$178,2,FALSE))</f>
        <v>3</v>
      </c>
      <c r="AK179" s="2394"/>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2213</v>
      </c>
      <c r="AK182" s="2358">
        <f>$AJ$165+$AJ$179</f>
        <v>10</v>
      </c>
      <c r="AL182" s="2359"/>
      <c r="AM182" s="2360"/>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2214</v>
      </c>
      <c r="AQ184" s="510">
        <v>0</v>
      </c>
    </row>
    <row r="185" spans="1:73" s="449" customFormat="1" ht="12.75" customHeight="1">
      <c r="A185" s="438" t="s">
        <v>2215</v>
      </c>
      <c r="B185" s="438" t="s">
        <v>2216</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7" t="s">
        <v>2142</v>
      </c>
      <c r="AF185" s="2347"/>
      <c r="AG185" s="2347"/>
      <c r="AH185" s="2347"/>
      <c r="AI185" s="2347"/>
      <c r="AJ185" s="2347"/>
      <c r="AK185" s="2347"/>
      <c r="AL185" s="489"/>
      <c r="AN185" s="495"/>
      <c r="AP185" s="449" t="s">
        <v>952</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2217</v>
      </c>
      <c r="AQ186" s="449">
        <v>10</v>
      </c>
    </row>
    <row r="187" spans="1:73" s="449" customFormat="1" ht="12.75" customHeight="1">
      <c r="A187" s="436"/>
      <c r="B187" s="2388" t="s">
        <v>2214</v>
      </c>
      <c r="C187" s="2388"/>
      <c r="D187" s="2388"/>
      <c r="E187" s="2388"/>
      <c r="F187" s="2388"/>
      <c r="G187" s="2388"/>
      <c r="H187" s="2388"/>
      <c r="I187" s="2388"/>
      <c r="J187" s="2388"/>
      <c r="K187" s="2388"/>
      <c r="L187" s="2388"/>
      <c r="M187" s="2388"/>
      <c r="N187" s="2388"/>
      <c r="O187" s="2388"/>
      <c r="P187" s="2388"/>
      <c r="Q187" s="2388"/>
      <c r="R187" s="2388"/>
      <c r="S187" s="2388"/>
      <c r="T187" s="2388"/>
      <c r="U187" s="2388"/>
      <c r="V187" s="2388"/>
      <c r="W187" s="2388"/>
      <c r="X187" s="2388"/>
      <c r="Y187" s="2388"/>
      <c r="Z187" s="2388"/>
      <c r="AA187" s="2388"/>
      <c r="AB187" s="2388"/>
      <c r="AC187" s="2388"/>
      <c r="AD187" s="436"/>
      <c r="AE187" s="436"/>
      <c r="AF187" s="2380" t="s">
        <v>2218</v>
      </c>
      <c r="AG187" s="2380"/>
      <c r="AH187" s="2380"/>
      <c r="AI187" s="2380"/>
      <c r="AJ187" s="2380"/>
      <c r="AK187" s="2380"/>
      <c r="AL187" s="2380"/>
      <c r="AN187" s="495"/>
      <c r="AP187" s="449" t="s">
        <v>960</v>
      </c>
      <c r="AQ187" s="449">
        <v>10</v>
      </c>
    </row>
    <row r="188" spans="1:73" s="449" customFormat="1" ht="12.75" customHeight="1">
      <c r="A188" s="436"/>
      <c r="B188" s="2389" t="s">
        <v>2219</v>
      </c>
      <c r="C188" s="2389"/>
      <c r="D188" s="2389"/>
      <c r="E188" s="2389"/>
      <c r="F188" s="2389"/>
      <c r="G188" s="2389"/>
      <c r="H188" s="2389"/>
      <c r="I188" s="2389"/>
      <c r="J188" s="2389"/>
      <c r="K188" s="2389"/>
      <c r="L188" s="2389"/>
      <c r="M188" s="2389"/>
      <c r="N188" s="2389"/>
      <c r="O188" s="2389"/>
      <c r="P188" s="2389"/>
      <c r="Q188" s="2389"/>
      <c r="R188" s="2389"/>
      <c r="S188" s="2389"/>
      <c r="T188" s="2390" t="s">
        <v>826</v>
      </c>
      <c r="U188" s="2390"/>
      <c r="V188" s="2390"/>
      <c r="W188" s="2390"/>
      <c r="X188" s="2390"/>
      <c r="Y188" s="2390"/>
      <c r="Z188" s="2390"/>
      <c r="AA188" s="2390"/>
      <c r="AB188" s="2390"/>
      <c r="AC188" s="2390"/>
      <c r="AD188" s="436"/>
      <c r="AE188" s="436"/>
      <c r="AF188" s="436"/>
      <c r="AG188" s="436"/>
      <c r="AH188" s="436"/>
      <c r="AI188" s="436"/>
      <c r="AJ188" s="443"/>
      <c r="AK188" s="493"/>
      <c r="AL188" s="493"/>
      <c r="AM188" s="493"/>
      <c r="AN188" s="495"/>
      <c r="AP188" s="449" t="s">
        <v>961</v>
      </c>
      <c r="AQ188" s="449">
        <v>10</v>
      </c>
      <c r="AS188" s="449" t="s">
        <v>826</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2220</v>
      </c>
      <c r="AQ189" s="449">
        <v>10</v>
      </c>
      <c r="AS189" s="449" t="s">
        <v>2221</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2222</v>
      </c>
      <c r="AK190" s="2405">
        <f>IF(AK83&gt;0,VLOOKUP($B$187,AP184:AQ190,2,FALSE),0)</f>
        <v>0</v>
      </c>
      <c r="AL190" s="2406"/>
      <c r="AM190" s="2407"/>
      <c r="AN190" s="435"/>
      <c r="AP190" s="449" t="s">
        <v>2223</v>
      </c>
      <c r="AQ190" s="449">
        <v>10</v>
      </c>
      <c r="AS190" s="449" t="s">
        <v>2224</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2225</v>
      </c>
      <c r="B193" s="438" t="s">
        <v>2226</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7" t="s">
        <v>2227</v>
      </c>
      <c r="AF193" s="2347"/>
      <c r="AG193" s="2347"/>
      <c r="AH193" s="2347"/>
      <c r="AI193" s="2347"/>
      <c r="AJ193" s="2347"/>
      <c r="AK193" s="2347"/>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2228</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2229</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82"/>
      <c r="C198" s="2382"/>
      <c r="D198" s="2382"/>
      <c r="E198" s="2382"/>
      <c r="F198" s="2382"/>
      <c r="G198" s="2382"/>
      <c r="H198" s="2382"/>
      <c r="I198" s="2382"/>
      <c r="J198" s="2382"/>
      <c r="K198" s="2382"/>
      <c r="L198" s="2382"/>
      <c r="M198" s="2382"/>
      <c r="N198" s="2382"/>
      <c r="O198" s="2382"/>
      <c r="P198" s="2382"/>
      <c r="Q198" s="2382"/>
      <c r="R198" s="2382"/>
      <c r="S198" s="2382"/>
      <c r="T198" s="2382"/>
      <c r="U198" s="2382"/>
      <c r="V198" s="2382"/>
      <c r="W198" s="2382"/>
      <c r="X198" s="2382"/>
      <c r="Y198" s="2382"/>
      <c r="Z198" s="2382"/>
      <c r="AA198" s="2382"/>
      <c r="AB198" s="2382"/>
      <c r="AC198" s="742"/>
      <c r="AD198" s="2383"/>
      <c r="AE198" s="2383"/>
      <c r="AF198" s="2383"/>
      <c r="AG198" s="2383"/>
      <c r="AH198" s="2383"/>
      <c r="AI198" s="2383"/>
      <c r="AJ198" s="2383"/>
      <c r="AK198" s="508"/>
    </row>
    <row r="199" spans="1:37" hidden="1">
      <c r="A199" s="503"/>
      <c r="B199" s="2382"/>
      <c r="C199" s="2382"/>
      <c r="D199" s="2382"/>
      <c r="E199" s="2382"/>
      <c r="F199" s="2382"/>
      <c r="G199" s="2382"/>
      <c r="H199" s="2382"/>
      <c r="I199" s="2382"/>
      <c r="J199" s="2382"/>
      <c r="K199" s="2382"/>
      <c r="L199" s="2382"/>
      <c r="M199" s="2382"/>
      <c r="N199" s="2382"/>
      <c r="O199" s="2382"/>
      <c r="P199" s="2382"/>
      <c r="Q199" s="2382"/>
      <c r="R199" s="2382"/>
      <c r="S199" s="2382"/>
      <c r="T199" s="2382"/>
      <c r="U199" s="2382"/>
      <c r="V199" s="2382"/>
      <c r="W199" s="2382"/>
      <c r="X199" s="2382"/>
      <c r="Y199" s="2382"/>
      <c r="Z199" s="2382"/>
      <c r="AA199" s="2382"/>
      <c r="AB199" s="2382"/>
      <c r="AC199" s="742"/>
      <c r="AD199" s="2383"/>
      <c r="AE199" s="2383"/>
      <c r="AF199" s="2383"/>
      <c r="AG199" s="2383"/>
      <c r="AH199" s="2383"/>
      <c r="AI199" s="2383"/>
      <c r="AJ199" s="2383"/>
      <c r="AK199" s="508"/>
    </row>
    <row r="200" spans="1:37" hidden="1">
      <c r="A200" s="503"/>
      <c r="B200" s="2382"/>
      <c r="C200" s="2382"/>
      <c r="D200" s="2382"/>
      <c r="E200" s="2382"/>
      <c r="F200" s="2382"/>
      <c r="G200" s="2382"/>
      <c r="H200" s="2382"/>
      <c r="I200" s="2382"/>
      <c r="J200" s="2382"/>
      <c r="K200" s="2382"/>
      <c r="L200" s="2382"/>
      <c r="M200" s="2382"/>
      <c r="N200" s="2382"/>
      <c r="O200" s="2382"/>
      <c r="P200" s="2382"/>
      <c r="Q200" s="2382"/>
      <c r="R200" s="2382"/>
      <c r="S200" s="2382"/>
      <c r="T200" s="2382"/>
      <c r="U200" s="2382"/>
      <c r="V200" s="2382"/>
      <c r="W200" s="2382"/>
      <c r="X200" s="2382"/>
      <c r="Y200" s="2382"/>
      <c r="Z200" s="2382"/>
      <c r="AA200" s="2382"/>
      <c r="AB200" s="2382"/>
      <c r="AC200" s="742"/>
      <c r="AD200" s="2383"/>
      <c r="AE200" s="2383"/>
      <c r="AF200" s="2383"/>
      <c r="AG200" s="2383"/>
      <c r="AH200" s="2383"/>
      <c r="AI200" s="2383"/>
      <c r="AJ200" s="2383"/>
      <c r="AK200" s="508"/>
    </row>
    <row r="201" spans="1:37" hidden="1">
      <c r="A201" s="503"/>
      <c r="B201" s="2382"/>
      <c r="C201" s="2382"/>
      <c r="D201" s="2382"/>
      <c r="E201" s="2382"/>
      <c r="F201" s="2382"/>
      <c r="G201" s="2382"/>
      <c r="H201" s="2382"/>
      <c r="I201" s="2382"/>
      <c r="J201" s="2382"/>
      <c r="K201" s="2382"/>
      <c r="L201" s="2382"/>
      <c r="M201" s="2382"/>
      <c r="N201" s="2382"/>
      <c r="O201" s="2382"/>
      <c r="P201" s="2382"/>
      <c r="Q201" s="2382"/>
      <c r="R201" s="2382"/>
      <c r="S201" s="2382"/>
      <c r="T201" s="2382"/>
      <c r="U201" s="2382"/>
      <c r="V201" s="2382"/>
      <c r="W201" s="2382"/>
      <c r="X201" s="2382"/>
      <c r="Y201" s="2382"/>
      <c r="Z201" s="2382"/>
      <c r="AA201" s="2382"/>
      <c r="AB201" s="2382"/>
      <c r="AC201" s="742"/>
      <c r="AD201" s="2383"/>
      <c r="AE201" s="2383"/>
      <c r="AF201" s="2383"/>
      <c r="AG201" s="2383"/>
      <c r="AH201" s="2383"/>
      <c r="AI201" s="2383"/>
      <c r="AJ201" s="2383"/>
      <c r="AK201" s="508"/>
    </row>
    <row r="202" spans="1:37" hidden="1">
      <c r="A202" s="503"/>
      <c r="B202" s="2382"/>
      <c r="C202" s="2382"/>
      <c r="D202" s="2382"/>
      <c r="E202" s="2382"/>
      <c r="F202" s="2382"/>
      <c r="G202" s="2382"/>
      <c r="H202" s="2382"/>
      <c r="I202" s="2382"/>
      <c r="J202" s="2382"/>
      <c r="K202" s="2382"/>
      <c r="L202" s="2382"/>
      <c r="M202" s="2382"/>
      <c r="N202" s="2382"/>
      <c r="O202" s="2382"/>
      <c r="P202" s="2382"/>
      <c r="Q202" s="2382"/>
      <c r="R202" s="2382"/>
      <c r="S202" s="2382"/>
      <c r="T202" s="2382"/>
      <c r="U202" s="2382"/>
      <c r="V202" s="2382"/>
      <c r="W202" s="2382"/>
      <c r="X202" s="2382"/>
      <c r="Y202" s="2382"/>
      <c r="Z202" s="2382"/>
      <c r="AA202" s="2382"/>
      <c r="AB202" s="2382"/>
      <c r="AC202" s="742"/>
      <c r="AD202" s="2383"/>
      <c r="AE202" s="2383"/>
      <c r="AF202" s="2383"/>
      <c r="AG202" s="2383"/>
      <c r="AH202" s="2383"/>
      <c r="AI202" s="2383"/>
      <c r="AJ202" s="2383"/>
      <c r="AK202" s="508"/>
    </row>
    <row r="203" spans="1:37" hidden="1">
      <c r="A203" s="503"/>
      <c r="B203" s="2382"/>
      <c r="C203" s="2382"/>
      <c r="D203" s="2382"/>
      <c r="E203" s="2382"/>
      <c r="F203" s="2382"/>
      <c r="G203" s="2382"/>
      <c r="H203" s="2382"/>
      <c r="I203" s="2382"/>
      <c r="J203" s="2382"/>
      <c r="K203" s="2382"/>
      <c r="L203" s="2382"/>
      <c r="M203" s="2382"/>
      <c r="N203" s="2382"/>
      <c r="O203" s="2382"/>
      <c r="P203" s="2382"/>
      <c r="Q203" s="2382"/>
      <c r="R203" s="2382"/>
      <c r="S203" s="2382"/>
      <c r="T203" s="2382"/>
      <c r="U203" s="2382"/>
      <c r="V203" s="2382"/>
      <c r="W203" s="2382"/>
      <c r="X203" s="2382"/>
      <c r="Y203" s="2382"/>
      <c r="Z203" s="2382"/>
      <c r="AA203" s="2382"/>
      <c r="AB203" s="2382"/>
      <c r="AC203" s="742"/>
      <c r="AD203" s="2383"/>
      <c r="AE203" s="2383"/>
      <c r="AF203" s="2383"/>
      <c r="AG203" s="2383"/>
      <c r="AH203" s="2383"/>
      <c r="AI203" s="2383"/>
      <c r="AJ203" s="2383"/>
      <c r="AK203" s="508"/>
    </row>
    <row r="204" spans="1:37" hidden="1">
      <c r="A204" s="503"/>
      <c r="B204" s="2382"/>
      <c r="C204" s="2382"/>
      <c r="D204" s="2382"/>
      <c r="E204" s="2382"/>
      <c r="F204" s="2382"/>
      <c r="G204" s="2382"/>
      <c r="H204" s="2382"/>
      <c r="I204" s="2382"/>
      <c r="J204" s="2382"/>
      <c r="K204" s="2382"/>
      <c r="L204" s="2382"/>
      <c r="M204" s="2382"/>
      <c r="N204" s="2382"/>
      <c r="O204" s="2382"/>
      <c r="P204" s="2382"/>
      <c r="Q204" s="2382"/>
      <c r="R204" s="2382"/>
      <c r="S204" s="2382"/>
      <c r="T204" s="2382"/>
      <c r="U204" s="2382"/>
      <c r="V204" s="2382"/>
      <c r="W204" s="2382"/>
      <c r="X204" s="2382"/>
      <c r="Y204" s="2382"/>
      <c r="Z204" s="2382"/>
      <c r="AA204" s="2382"/>
      <c r="AB204" s="2382"/>
      <c r="AC204" s="742"/>
      <c r="AD204" s="2383"/>
      <c r="AE204" s="2383"/>
      <c r="AF204" s="2383"/>
      <c r="AG204" s="2383"/>
      <c r="AH204" s="2383"/>
      <c r="AI204" s="2383"/>
      <c r="AJ204" s="2383"/>
      <c r="AK204" s="508"/>
    </row>
    <row r="205" spans="1:37" hidden="1">
      <c r="A205" s="503"/>
      <c r="B205" s="2382"/>
      <c r="C205" s="2382"/>
      <c r="D205" s="2382"/>
      <c r="E205" s="2382"/>
      <c r="F205" s="2382"/>
      <c r="G205" s="2382"/>
      <c r="H205" s="2382"/>
      <c r="I205" s="2382"/>
      <c r="J205" s="2382"/>
      <c r="K205" s="2382"/>
      <c r="L205" s="2382"/>
      <c r="M205" s="2382"/>
      <c r="N205" s="2382"/>
      <c r="O205" s="2382"/>
      <c r="P205" s="2382"/>
      <c r="Q205" s="2382"/>
      <c r="R205" s="2382"/>
      <c r="S205" s="2382"/>
      <c r="T205" s="2382"/>
      <c r="U205" s="2382"/>
      <c r="V205" s="2382"/>
      <c r="W205" s="2382"/>
      <c r="X205" s="2382"/>
      <c r="Y205" s="2382"/>
      <c r="Z205" s="2382"/>
      <c r="AA205" s="2382"/>
      <c r="AB205" s="2382"/>
      <c r="AC205" s="742"/>
      <c r="AD205" s="2383"/>
      <c r="AE205" s="2383"/>
      <c r="AF205" s="2383"/>
      <c r="AG205" s="2383"/>
      <c r="AH205" s="2383"/>
      <c r="AI205" s="2383"/>
      <c r="AJ205" s="2383"/>
      <c r="AK205" s="508"/>
    </row>
    <row r="206" spans="1:37" hidden="1">
      <c r="A206" s="503"/>
      <c r="B206" s="2382"/>
      <c r="C206" s="2382"/>
      <c r="D206" s="2382"/>
      <c r="E206" s="2382"/>
      <c r="F206" s="2382"/>
      <c r="G206" s="2382"/>
      <c r="H206" s="2382"/>
      <c r="I206" s="2382"/>
      <c r="J206" s="2382"/>
      <c r="K206" s="2382"/>
      <c r="L206" s="2382"/>
      <c r="M206" s="2382"/>
      <c r="N206" s="2382"/>
      <c r="O206" s="2382"/>
      <c r="P206" s="2382"/>
      <c r="Q206" s="2382"/>
      <c r="R206" s="2382"/>
      <c r="S206" s="2382"/>
      <c r="T206" s="2382"/>
      <c r="U206" s="2382"/>
      <c r="V206" s="2382"/>
      <c r="W206" s="2382"/>
      <c r="X206" s="2382"/>
      <c r="Y206" s="2382"/>
      <c r="Z206" s="2382"/>
      <c r="AA206" s="2382"/>
      <c r="AB206" s="2382"/>
      <c r="AC206" s="742"/>
      <c r="AD206" s="2383"/>
      <c r="AE206" s="2383"/>
      <c r="AF206" s="2383"/>
      <c r="AG206" s="2383"/>
      <c r="AH206" s="2383"/>
      <c r="AI206" s="2383"/>
      <c r="AJ206" s="2383"/>
      <c r="AK206" s="508"/>
    </row>
    <row r="207" spans="1:37" hidden="1">
      <c r="A207" s="503"/>
      <c r="B207" s="2382"/>
      <c r="C207" s="2382"/>
      <c r="D207" s="2382"/>
      <c r="E207" s="2382"/>
      <c r="F207" s="2382"/>
      <c r="G207" s="2382"/>
      <c r="H207" s="2382"/>
      <c r="I207" s="2382"/>
      <c r="J207" s="2382"/>
      <c r="K207" s="2382"/>
      <c r="L207" s="2382"/>
      <c r="M207" s="2382"/>
      <c r="N207" s="2382"/>
      <c r="O207" s="2382"/>
      <c r="P207" s="2382"/>
      <c r="Q207" s="2382"/>
      <c r="R207" s="2382"/>
      <c r="S207" s="2382"/>
      <c r="T207" s="2382"/>
      <c r="U207" s="2382"/>
      <c r="V207" s="2382"/>
      <c r="W207" s="2382"/>
      <c r="X207" s="2382"/>
      <c r="Y207" s="2382"/>
      <c r="Z207" s="2382"/>
      <c r="AA207" s="2382"/>
      <c r="AB207" s="2382"/>
      <c r="AC207" s="742"/>
      <c r="AD207" s="2383"/>
      <c r="AE207" s="2383"/>
      <c r="AF207" s="2383"/>
      <c r="AG207" s="2383"/>
      <c r="AH207" s="2383"/>
      <c r="AI207" s="2383"/>
      <c r="AJ207" s="2383"/>
      <c r="AK207" s="508"/>
    </row>
    <row r="208" spans="1:37" hidden="1">
      <c r="A208" s="503"/>
      <c r="B208" s="2429" t="s">
        <v>2230</v>
      </c>
      <c r="C208" s="2429"/>
      <c r="D208" s="2429"/>
      <c r="E208" s="2429"/>
      <c r="F208" s="2429"/>
      <c r="G208" s="2429"/>
      <c r="H208" s="2429"/>
      <c r="I208" s="2429"/>
      <c r="J208" s="2429"/>
      <c r="K208" s="2429"/>
      <c r="L208" s="2429"/>
      <c r="M208" s="2429"/>
      <c r="N208" s="2429"/>
      <c r="O208" s="2429"/>
      <c r="P208" s="2429"/>
      <c r="Q208" s="2429"/>
      <c r="R208" s="2429"/>
      <c r="S208" s="2429"/>
      <c r="T208" s="2429"/>
      <c r="U208" s="2429"/>
      <c r="V208" s="2429"/>
      <c r="W208" s="2429"/>
      <c r="X208" s="2429"/>
      <c r="Y208" s="2429"/>
      <c r="Z208" s="2429"/>
      <c r="AA208" s="2429"/>
      <c r="AB208" s="2429"/>
      <c r="AC208" s="436"/>
      <c r="AD208" s="2412">
        <f>AB259</f>
        <v>0</v>
      </c>
      <c r="AE208" s="2412"/>
      <c r="AF208" s="2412"/>
      <c r="AG208" s="2412"/>
      <c r="AH208" s="2412"/>
      <c r="AI208" s="2412"/>
      <c r="AJ208" s="2412"/>
      <c r="AK208" s="508"/>
    </row>
    <row r="209" spans="1:37" hidden="1">
      <c r="A209" s="503"/>
      <c r="B209" s="2567" t="s">
        <v>2231</v>
      </c>
      <c r="C209" s="2567"/>
      <c r="D209" s="2567"/>
      <c r="E209" s="2567"/>
      <c r="F209" s="2567"/>
      <c r="G209" s="2567"/>
      <c r="H209" s="2567"/>
      <c r="I209" s="2567"/>
      <c r="J209" s="2567"/>
      <c r="K209" s="2567"/>
      <c r="L209" s="2567"/>
      <c r="M209" s="2567"/>
      <c r="N209" s="2567"/>
      <c r="O209" s="2567"/>
      <c r="P209" s="2567"/>
      <c r="Q209" s="2567"/>
      <c r="R209" s="2567"/>
      <c r="S209" s="2567"/>
      <c r="T209" s="2567"/>
      <c r="U209" s="2567"/>
      <c r="V209" s="2567"/>
      <c r="W209" s="2567"/>
      <c r="X209" s="2567"/>
      <c r="Y209" s="2567"/>
      <c r="Z209" s="2567"/>
      <c r="AA209" s="2567"/>
      <c r="AB209" s="2567"/>
      <c r="AC209" s="742"/>
      <c r="AD209" s="2413">
        <f>'Sources and Uses Budget'!B15</f>
        <v>0</v>
      </c>
      <c r="AE209" s="2413"/>
      <c r="AF209" s="2413"/>
      <c r="AG209" s="2413"/>
      <c r="AH209" s="2413"/>
      <c r="AI209" s="2413"/>
      <c r="AJ209" s="2413"/>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1473</v>
      </c>
      <c r="AC210" s="436"/>
      <c r="AD210" s="2417">
        <f>SUM(AD198:AJ208)-AD209</f>
        <v>0</v>
      </c>
      <c r="AE210" s="2417"/>
      <c r="AF210" s="2417"/>
      <c r="AG210" s="2417"/>
      <c r="AH210" s="2417"/>
      <c r="AI210" s="2417"/>
      <c r="AJ210" s="2417"/>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2232</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2233</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2234</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2235</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2236</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2237</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2238</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2239</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86" t="s">
        <v>2240</v>
      </c>
      <c r="J221" s="2386"/>
      <c r="K221" s="2386"/>
      <c r="L221" s="436"/>
      <c r="M221" s="436"/>
      <c r="N221" s="436"/>
      <c r="O221" s="436"/>
      <c r="P221" s="436"/>
      <c r="Q221" s="436"/>
      <c r="R221" s="436"/>
      <c r="S221" s="436"/>
      <c r="T221" s="2554" t="s">
        <v>2241</v>
      </c>
      <c r="U221" s="2554"/>
      <c r="V221" s="2554"/>
      <c r="W221" s="2554"/>
      <c r="X221" s="2554"/>
      <c r="Y221" s="2554"/>
      <c r="Z221" s="745"/>
      <c r="AA221" s="390"/>
      <c r="AB221" s="2381" t="s">
        <v>2242</v>
      </c>
      <c r="AC221" s="2381"/>
      <c r="AD221" s="2381"/>
      <c r="AE221" s="2381"/>
      <c r="AF221" s="2381"/>
      <c r="AG221" s="2381"/>
      <c r="AH221" s="723"/>
      <c r="AI221" s="723"/>
      <c r="AJ221" s="723"/>
      <c r="AK221" s="508"/>
    </row>
    <row r="222" spans="1:37" hidden="1">
      <c r="A222" s="503"/>
      <c r="B222" s="2384" t="s">
        <v>2243</v>
      </c>
      <c r="C222" s="2384"/>
      <c r="D222" s="2384"/>
      <c r="E222" s="2384"/>
      <c r="F222" s="2384"/>
      <c r="G222" s="2384"/>
      <c r="I222" s="2385" t="s">
        <v>2244</v>
      </c>
      <c r="J222" s="2385"/>
      <c r="K222" s="2385"/>
      <c r="L222" s="897"/>
      <c r="N222" s="2375" t="s">
        <v>2245</v>
      </c>
      <c r="O222" s="2375"/>
      <c r="P222" s="2375"/>
      <c r="Q222" s="2375"/>
      <c r="R222" s="2375"/>
      <c r="T222" s="2375" t="s">
        <v>2246</v>
      </c>
      <c r="U222" s="2375"/>
      <c r="V222" s="2375"/>
      <c r="W222" s="2375"/>
      <c r="X222" s="2375"/>
      <c r="Y222" s="2375"/>
      <c r="Z222" s="746"/>
      <c r="AA222" s="390"/>
      <c r="AB222" s="2533" t="s">
        <v>2247</v>
      </c>
      <c r="AC222" s="2533"/>
      <c r="AD222" s="2533"/>
      <c r="AE222" s="2533"/>
      <c r="AF222" s="2533"/>
      <c r="AG222" s="2533"/>
      <c r="AH222" s="723"/>
      <c r="AI222" s="723"/>
      <c r="AJ222" s="723"/>
      <c r="AK222" s="508"/>
    </row>
    <row r="223" spans="1:37" hidden="1">
      <c r="A223" s="503"/>
      <c r="B223" s="2387" t="s">
        <v>1016</v>
      </c>
      <c r="C223" s="2387"/>
      <c r="D223" s="2387"/>
      <c r="E223" s="2387"/>
      <c r="F223" s="2387"/>
      <c r="G223" s="2387"/>
      <c r="H223" s="748"/>
      <c r="I223" s="2373"/>
      <c r="J223" s="2373"/>
      <c r="K223" s="2373"/>
      <c r="L223" s="897"/>
      <c r="N223" s="2428"/>
      <c r="O223" s="2428"/>
      <c r="P223" s="2428"/>
      <c r="Q223" s="2428"/>
      <c r="R223" s="2428"/>
      <c r="T223" s="2532"/>
      <c r="U223" s="2532"/>
      <c r="V223" s="2532"/>
      <c r="W223" s="2532"/>
      <c r="X223" s="2532"/>
      <c r="Y223" s="2532"/>
      <c r="Z223" s="747"/>
      <c r="AA223" s="747"/>
      <c r="AB223" s="2372">
        <f t="shared" ref="AB223:AB232" si="0">MAX(($T223-$N223)*$I223*12,0)</f>
        <v>0</v>
      </c>
      <c r="AC223" s="2372"/>
      <c r="AD223" s="2372"/>
      <c r="AE223" s="2372"/>
      <c r="AF223" s="2372"/>
      <c r="AG223" s="2372"/>
      <c r="AH223" s="723"/>
      <c r="AI223" s="723"/>
      <c r="AJ223" s="723"/>
      <c r="AK223" s="508"/>
    </row>
    <row r="224" spans="1:37" hidden="1">
      <c r="A224" s="503"/>
      <c r="B224" s="2387" t="s">
        <v>1016</v>
      </c>
      <c r="C224" s="2387"/>
      <c r="D224" s="2387"/>
      <c r="E224" s="2387"/>
      <c r="F224" s="2387"/>
      <c r="G224" s="2387"/>
      <c r="I224" s="2373"/>
      <c r="J224" s="2373"/>
      <c r="K224" s="2373"/>
      <c r="L224" s="897"/>
      <c r="N224" s="2428"/>
      <c r="O224" s="2428"/>
      <c r="P224" s="2428"/>
      <c r="Q224" s="2428"/>
      <c r="R224" s="2428"/>
      <c r="T224" s="2532"/>
      <c r="U224" s="2532"/>
      <c r="V224" s="2532"/>
      <c r="W224" s="2532"/>
      <c r="X224" s="2532"/>
      <c r="Y224" s="2532"/>
      <c r="Z224" s="747"/>
      <c r="AA224" s="747"/>
      <c r="AB224" s="2372">
        <f t="shared" si="0"/>
        <v>0</v>
      </c>
      <c r="AC224" s="2372"/>
      <c r="AD224" s="2372"/>
      <c r="AE224" s="2372"/>
      <c r="AF224" s="2372"/>
      <c r="AG224" s="2372"/>
      <c r="AH224" s="723"/>
      <c r="AI224" s="723"/>
      <c r="AJ224" s="723"/>
      <c r="AK224" s="508"/>
    </row>
    <row r="225" spans="1:37" hidden="1">
      <c r="A225" s="503"/>
      <c r="B225" s="2387" t="s">
        <v>1016</v>
      </c>
      <c r="C225" s="2387"/>
      <c r="D225" s="2387"/>
      <c r="E225" s="2387"/>
      <c r="F225" s="2387"/>
      <c r="G225" s="2387"/>
      <c r="I225" s="2373"/>
      <c r="J225" s="2373"/>
      <c r="K225" s="2373"/>
      <c r="L225" s="897"/>
      <c r="N225" s="2428"/>
      <c r="O225" s="2428"/>
      <c r="P225" s="2428"/>
      <c r="Q225" s="2428"/>
      <c r="R225" s="2428"/>
      <c r="T225" s="2532"/>
      <c r="U225" s="2532"/>
      <c r="V225" s="2532"/>
      <c r="W225" s="2532"/>
      <c r="X225" s="2532"/>
      <c r="Y225" s="2532"/>
      <c r="Z225" s="747"/>
      <c r="AA225" s="747"/>
      <c r="AB225" s="2372">
        <f t="shared" si="0"/>
        <v>0</v>
      </c>
      <c r="AC225" s="2372"/>
      <c r="AD225" s="2372"/>
      <c r="AE225" s="2372"/>
      <c r="AF225" s="2372"/>
      <c r="AG225" s="2372"/>
      <c r="AH225" s="723"/>
      <c r="AI225" s="723"/>
      <c r="AJ225" s="723"/>
      <c r="AK225" s="508"/>
    </row>
    <row r="226" spans="1:37" hidden="1">
      <c r="A226" s="503"/>
      <c r="B226" s="2387" t="s">
        <v>1016</v>
      </c>
      <c r="C226" s="2387"/>
      <c r="D226" s="2387"/>
      <c r="E226" s="2387"/>
      <c r="F226" s="2387"/>
      <c r="G226" s="2387"/>
      <c r="I226" s="2373"/>
      <c r="J226" s="2373"/>
      <c r="K226" s="2373"/>
      <c r="L226" s="897"/>
      <c r="N226" s="2428"/>
      <c r="O226" s="2428"/>
      <c r="P226" s="2428"/>
      <c r="Q226" s="2428"/>
      <c r="R226" s="2428"/>
      <c r="T226" s="2532"/>
      <c r="U226" s="2532"/>
      <c r="V226" s="2532"/>
      <c r="W226" s="2532"/>
      <c r="X226" s="2532"/>
      <c r="Y226" s="2532"/>
      <c r="Z226" s="747"/>
      <c r="AA226" s="747"/>
      <c r="AB226" s="2372">
        <f t="shared" si="0"/>
        <v>0</v>
      </c>
      <c r="AC226" s="2372"/>
      <c r="AD226" s="2372"/>
      <c r="AE226" s="2372"/>
      <c r="AF226" s="2372"/>
      <c r="AG226" s="2372"/>
      <c r="AH226" s="723"/>
      <c r="AI226" s="723"/>
      <c r="AJ226" s="723"/>
      <c r="AK226" s="508"/>
    </row>
    <row r="227" spans="1:37" hidden="1">
      <c r="A227" s="503"/>
      <c r="B227" s="2387" t="s">
        <v>1016</v>
      </c>
      <c r="C227" s="2387"/>
      <c r="D227" s="2387"/>
      <c r="E227" s="2387"/>
      <c r="F227" s="2387"/>
      <c r="G227" s="2387"/>
      <c r="I227" s="2373"/>
      <c r="J227" s="2373"/>
      <c r="K227" s="2373"/>
      <c r="L227" s="902"/>
      <c r="N227" s="2428"/>
      <c r="O227" s="2428"/>
      <c r="P227" s="2428"/>
      <c r="Q227" s="2428"/>
      <c r="R227" s="2428"/>
      <c r="T227" s="2532"/>
      <c r="U227" s="2532"/>
      <c r="V227" s="2532"/>
      <c r="W227" s="2532"/>
      <c r="X227" s="2532"/>
      <c r="Y227" s="2532"/>
      <c r="Z227" s="747"/>
      <c r="AA227" s="747"/>
      <c r="AB227" s="2372">
        <f t="shared" si="0"/>
        <v>0</v>
      </c>
      <c r="AC227" s="2372"/>
      <c r="AD227" s="2372"/>
      <c r="AE227" s="2372"/>
      <c r="AF227" s="2372"/>
      <c r="AG227" s="2372"/>
      <c r="AH227" s="723"/>
      <c r="AI227" s="723"/>
      <c r="AJ227" s="723"/>
      <c r="AK227" s="508"/>
    </row>
    <row r="228" spans="1:37" hidden="1">
      <c r="A228" s="503"/>
      <c r="B228" s="2387" t="s">
        <v>1016</v>
      </c>
      <c r="C228" s="2387"/>
      <c r="D228" s="2387"/>
      <c r="E228" s="2387"/>
      <c r="F228" s="2387"/>
      <c r="G228" s="2387"/>
      <c r="I228" s="2373"/>
      <c r="J228" s="2373"/>
      <c r="K228" s="2373"/>
      <c r="L228" s="902"/>
      <c r="N228" s="2428"/>
      <c r="O228" s="2428"/>
      <c r="P228" s="2428"/>
      <c r="Q228" s="2428"/>
      <c r="R228" s="2428"/>
      <c r="T228" s="2532"/>
      <c r="U228" s="2532"/>
      <c r="V228" s="2532"/>
      <c r="W228" s="2532"/>
      <c r="X228" s="2532"/>
      <c r="Y228" s="2532"/>
      <c r="Z228" s="747"/>
      <c r="AA228" s="747"/>
      <c r="AB228" s="2372">
        <f t="shared" si="0"/>
        <v>0</v>
      </c>
      <c r="AC228" s="2372"/>
      <c r="AD228" s="2372"/>
      <c r="AE228" s="2372"/>
      <c r="AF228" s="2372"/>
      <c r="AG228" s="2372"/>
      <c r="AH228" s="723"/>
      <c r="AI228" s="723"/>
      <c r="AJ228" s="723"/>
      <c r="AK228" s="508"/>
    </row>
    <row r="229" spans="1:37" hidden="1">
      <c r="A229" s="503"/>
      <c r="B229" s="2387" t="s">
        <v>1016</v>
      </c>
      <c r="C229" s="2387"/>
      <c r="D229" s="2387"/>
      <c r="E229" s="2387"/>
      <c r="F229" s="2387"/>
      <c r="G229" s="2387"/>
      <c r="I229" s="2373"/>
      <c r="J229" s="2373"/>
      <c r="K229" s="2373"/>
      <c r="L229" s="902"/>
      <c r="N229" s="2428"/>
      <c r="O229" s="2428"/>
      <c r="P229" s="2428"/>
      <c r="Q229" s="2428"/>
      <c r="R229" s="2428"/>
      <c r="T229" s="2532"/>
      <c r="U229" s="2532"/>
      <c r="V229" s="2532"/>
      <c r="W229" s="2532"/>
      <c r="X229" s="2532"/>
      <c r="Y229" s="2532"/>
      <c r="Z229" s="747"/>
      <c r="AA229" s="747"/>
      <c r="AB229" s="2372">
        <f t="shared" si="0"/>
        <v>0</v>
      </c>
      <c r="AC229" s="2372"/>
      <c r="AD229" s="2372"/>
      <c r="AE229" s="2372"/>
      <c r="AF229" s="2372"/>
      <c r="AG229" s="2372"/>
      <c r="AH229" s="723"/>
      <c r="AI229" s="723"/>
      <c r="AJ229" s="723"/>
      <c r="AK229" s="508"/>
    </row>
    <row r="230" spans="1:37" hidden="1">
      <c r="A230" s="503"/>
      <c r="B230" s="2387" t="s">
        <v>1016</v>
      </c>
      <c r="C230" s="2387"/>
      <c r="D230" s="2387"/>
      <c r="E230" s="2387"/>
      <c r="F230" s="2387"/>
      <c r="G230" s="2387"/>
      <c r="I230" s="2373"/>
      <c r="J230" s="2373"/>
      <c r="K230" s="2373"/>
      <c r="L230" s="902"/>
      <c r="N230" s="2428"/>
      <c r="O230" s="2428"/>
      <c r="P230" s="2428"/>
      <c r="Q230" s="2428"/>
      <c r="R230" s="2428"/>
      <c r="T230" s="2532"/>
      <c r="U230" s="2532"/>
      <c r="V230" s="2532"/>
      <c r="W230" s="2532"/>
      <c r="X230" s="2532"/>
      <c r="Y230" s="2532"/>
      <c r="Z230" s="747"/>
      <c r="AA230" s="747"/>
      <c r="AB230" s="2372">
        <f t="shared" si="0"/>
        <v>0</v>
      </c>
      <c r="AC230" s="2372"/>
      <c r="AD230" s="2372"/>
      <c r="AE230" s="2372"/>
      <c r="AF230" s="2372"/>
      <c r="AG230" s="2372"/>
      <c r="AH230" s="723"/>
      <c r="AI230" s="723"/>
      <c r="AJ230" s="723"/>
      <c r="AK230" s="508"/>
    </row>
    <row r="231" spans="1:37" hidden="1">
      <c r="A231" s="503"/>
      <c r="B231" s="2387" t="s">
        <v>1016</v>
      </c>
      <c r="C231" s="2387"/>
      <c r="D231" s="2387"/>
      <c r="E231" s="2387"/>
      <c r="F231" s="2387"/>
      <c r="G231" s="2387"/>
      <c r="I231" s="2373"/>
      <c r="J231" s="2373"/>
      <c r="K231" s="2373"/>
      <c r="L231" s="902"/>
      <c r="N231" s="2428"/>
      <c r="O231" s="2428"/>
      <c r="P231" s="2428"/>
      <c r="Q231" s="2428"/>
      <c r="R231" s="2428"/>
      <c r="T231" s="2532"/>
      <c r="U231" s="2532"/>
      <c r="V231" s="2532"/>
      <c r="W231" s="2532"/>
      <c r="X231" s="2532"/>
      <c r="Y231" s="2532"/>
      <c r="Z231" s="747"/>
      <c r="AA231" s="747"/>
      <c r="AB231" s="2372">
        <f t="shared" si="0"/>
        <v>0</v>
      </c>
      <c r="AC231" s="2372"/>
      <c r="AD231" s="2372"/>
      <c r="AE231" s="2372"/>
      <c r="AF231" s="2372"/>
      <c r="AG231" s="2372"/>
      <c r="AH231" s="723"/>
      <c r="AI231" s="723"/>
      <c r="AJ231" s="723"/>
      <c r="AK231" s="508"/>
    </row>
    <row r="232" spans="1:37" hidden="1">
      <c r="A232" s="503"/>
      <c r="B232" s="2387" t="s">
        <v>1016</v>
      </c>
      <c r="C232" s="2387"/>
      <c r="D232" s="2387"/>
      <c r="E232" s="2387"/>
      <c r="F232" s="2387"/>
      <c r="G232" s="2387"/>
      <c r="I232" s="2374"/>
      <c r="J232" s="2374"/>
      <c r="K232" s="2374"/>
      <c r="L232" s="902"/>
      <c r="N232" s="2428"/>
      <c r="O232" s="2428"/>
      <c r="P232" s="2428"/>
      <c r="Q232" s="2428"/>
      <c r="R232" s="2428"/>
      <c r="T232" s="2532"/>
      <c r="U232" s="2532"/>
      <c r="V232" s="2532"/>
      <c r="W232" s="2532"/>
      <c r="X232" s="2532"/>
      <c r="Y232" s="2532"/>
      <c r="Z232" s="747"/>
      <c r="AA232" s="747"/>
      <c r="AB232" s="2541">
        <f t="shared" si="0"/>
        <v>0</v>
      </c>
      <c r="AC232" s="2541"/>
      <c r="AD232" s="2541"/>
      <c r="AE232" s="2541"/>
      <c r="AF232" s="2541"/>
      <c r="AG232" s="2541"/>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2248</v>
      </c>
      <c r="AA233" s="749"/>
      <c r="AB233" s="2372">
        <f>SUM(AB223:AB232)</f>
        <v>0</v>
      </c>
      <c r="AC233" s="2372"/>
      <c r="AD233" s="2372"/>
      <c r="AE233" s="2372"/>
      <c r="AF233" s="2372"/>
      <c r="AG233" s="2372"/>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2249</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2250</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2251</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2252</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42"/>
      <c r="AC239" s="2542"/>
      <c r="AD239" s="2542"/>
      <c r="AE239" s="2542"/>
      <c r="AF239" s="2542"/>
      <c r="AG239" s="2542"/>
      <c r="AH239" s="508"/>
      <c r="AI239" s="508"/>
      <c r="AJ239" s="508"/>
      <c r="AK239" s="508"/>
    </row>
    <row r="240" spans="1:37" hidden="1">
      <c r="A240" s="503"/>
      <c r="B240" s="733" t="s">
        <v>2253</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2254</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2255</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42"/>
      <c r="AC242" s="2542"/>
      <c r="AD242" s="2542"/>
      <c r="AE242" s="2542"/>
      <c r="AF242" s="2542"/>
      <c r="AG242" s="2542"/>
      <c r="AH242" s="508"/>
      <c r="AI242" s="508"/>
      <c r="AJ242" s="508"/>
      <c r="AK242" s="508"/>
    </row>
    <row r="243" spans="1:37" hidden="1">
      <c r="A243" s="503"/>
      <c r="B243" s="734" t="s">
        <v>2256</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53"/>
      <c r="AC243" s="2553"/>
      <c r="AD243" s="2553"/>
      <c r="AE243" s="2553"/>
      <c r="AF243" s="2553"/>
      <c r="AG243" s="2553"/>
      <c r="AH243" s="508"/>
      <c r="AI243" s="508"/>
      <c r="AJ243" s="508"/>
      <c r="AK243" s="508"/>
    </row>
    <row r="244" spans="1:37" hidden="1">
      <c r="A244" s="503"/>
      <c r="B244" s="734" t="s">
        <v>2257</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66">
        <f>IFERROR(AB242/AB243,0)</f>
        <v>0</v>
      </c>
      <c r="AC244" s="2566"/>
      <c r="AD244" s="2566"/>
      <c r="AE244" s="2566"/>
      <c r="AF244" s="2566"/>
      <c r="AG244" s="2566"/>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2258</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41">
        <f>MAX(AB239,AB244)</f>
        <v>0</v>
      </c>
      <c r="AC246" s="2541"/>
      <c r="AD246" s="2541"/>
      <c r="AE246" s="2541"/>
      <c r="AF246" s="2541"/>
      <c r="AG246" s="2541"/>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2259</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72">
        <f>AB233+AB246</f>
        <v>0</v>
      </c>
      <c r="AC249" s="2372"/>
      <c r="AD249" s="2372"/>
      <c r="AE249" s="2372"/>
      <c r="AF249" s="2372"/>
      <c r="AG249" s="2372"/>
      <c r="AH249" s="508"/>
      <c r="AI249" s="508"/>
      <c r="AJ249" s="508"/>
      <c r="AK249" s="508"/>
    </row>
    <row r="250" spans="1:37" hidden="1">
      <c r="A250" s="503"/>
      <c r="B250" s="377" t="s">
        <v>2260</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21">
        <v>0.05</v>
      </c>
      <c r="AC250" s="2421"/>
      <c r="AD250" s="2421"/>
      <c r="AE250" s="2421"/>
      <c r="AF250" s="2421"/>
      <c r="AG250" s="2421"/>
      <c r="AH250" s="508"/>
      <c r="AI250" s="508"/>
      <c r="AJ250" s="508"/>
      <c r="AK250" s="508"/>
    </row>
    <row r="251" spans="1:37" hidden="1">
      <c r="A251" s="503"/>
      <c r="B251" s="377" t="s">
        <v>2261</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22">
        <f>AB249-(AB249*AB250)</f>
        <v>0</v>
      </c>
      <c r="AC251" s="2422"/>
      <c r="AD251" s="2422"/>
      <c r="AE251" s="2422"/>
      <c r="AF251" s="2422"/>
      <c r="AG251" s="2422"/>
      <c r="AH251" s="508"/>
      <c r="AI251" s="508"/>
      <c r="AJ251" s="508"/>
      <c r="AK251" s="508"/>
    </row>
    <row r="252" spans="1:37" hidden="1">
      <c r="A252" s="503"/>
      <c r="B252" s="377" t="s">
        <v>2262</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2263</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72">
        <f>AB251/AB257</f>
        <v>0</v>
      </c>
      <c r="AC253" s="2372"/>
      <c r="AD253" s="2372"/>
      <c r="AE253" s="2372"/>
      <c r="AF253" s="2372"/>
      <c r="AG253" s="2372"/>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2264</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81">
        <v>15</v>
      </c>
      <c r="AC255" s="2381"/>
      <c r="AD255" s="2381"/>
      <c r="AE255" s="2381"/>
      <c r="AF255" s="2381"/>
      <c r="AG255" s="2381"/>
      <c r="AH255" s="508"/>
      <c r="AI255" s="508"/>
      <c r="AJ255" s="508"/>
      <c r="AK255" s="508"/>
    </row>
    <row r="256" spans="1:37" hidden="1">
      <c r="A256" s="503"/>
      <c r="B256" s="377" t="s">
        <v>2265</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23">
        <v>0.04</v>
      </c>
      <c r="AC256" s="2423"/>
      <c r="AD256" s="2423"/>
      <c r="AE256" s="2423"/>
      <c r="AF256" s="2423"/>
      <c r="AG256" s="2423"/>
      <c r="AH256" s="508"/>
      <c r="AI256" s="508"/>
      <c r="AJ256" s="508"/>
      <c r="AK256" s="508"/>
    </row>
    <row r="257" spans="1:39" hidden="1">
      <c r="A257" s="503"/>
      <c r="B257" s="377" t="s">
        <v>2266</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30">
        <v>1.1499999999999999</v>
      </c>
      <c r="AC257" s="2430"/>
      <c r="AD257" s="2430"/>
      <c r="AE257" s="2430"/>
      <c r="AF257" s="2430"/>
      <c r="AG257" s="2430"/>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2267</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14">
        <f>PV(AB256/12,AB255*12,-AB253/12, ,0)</f>
        <v>0</v>
      </c>
      <c r="AC259" s="2415"/>
      <c r="AD259" s="2415"/>
      <c r="AE259" s="2415"/>
      <c r="AF259" s="2415"/>
      <c r="AG259" s="2416"/>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2268</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2269</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2270</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2271</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18">
        <f>IFERROR(('Sources and Uses Budget'!D105/'Sources and Uses Budget'!B105),0)</f>
        <v>0</v>
      </c>
      <c r="AC265" s="2419"/>
      <c r="AD265" s="2419"/>
      <c r="AE265" s="2419"/>
      <c r="AF265" s="2419"/>
      <c r="AG265" s="2420"/>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2272</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408">
        <f>AD210*(1-AB265)</f>
        <v>0</v>
      </c>
      <c r="AH267" s="2408"/>
      <c r="AI267" s="2408"/>
      <c r="AJ267" s="2408"/>
      <c r="AK267" s="2408"/>
    </row>
    <row r="268" spans="1:39" hidden="1">
      <c r="A268" s="520"/>
      <c r="B268" s="523" t="s">
        <v>2273</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408">
        <f>'Sources and Uses Budget'!C105</f>
        <v>18560657</v>
      </c>
      <c r="AH268" s="2408"/>
      <c r="AI268" s="2408"/>
      <c r="AJ268" s="2408"/>
      <c r="AK268" s="2408"/>
    </row>
    <row r="269" spans="1:39" hidden="1">
      <c r="A269" s="520"/>
      <c r="B269" s="522" t="s">
        <v>1630</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09">
        <f>ROUNDDOWN(IF(AND(C305="Yes",AK83=10),((AG267*2)/AG268),AG267/AG268),2)</f>
        <v>0</v>
      </c>
      <c r="AH269" s="2409"/>
      <c r="AI269" s="2409"/>
      <c r="AJ269" s="2409"/>
      <c r="AK269" s="2409"/>
    </row>
    <row r="270" spans="1:39" hidden="1">
      <c r="A270" s="520"/>
      <c r="B270" s="867" t="s">
        <v>2274</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2275</v>
      </c>
      <c r="AK272" s="2410">
        <f>IFERROR(IF(AG269=0,0,IF((AG269*100)&gt;8,8,(AG269*100))),0)</f>
        <v>0</v>
      </c>
      <c r="AL272" s="2410"/>
      <c r="AM272" s="2411"/>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2225</v>
      </c>
      <c r="B275" s="438" t="s">
        <v>2276</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2142</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2277</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402" t="s">
        <v>860</v>
      </c>
      <c r="D279" s="2402"/>
      <c r="E279" s="446"/>
      <c r="F279" s="2557" t="s">
        <v>2278</v>
      </c>
      <c r="G279" s="2558"/>
      <c r="H279" s="2558"/>
      <c r="I279" s="2558"/>
      <c r="J279" s="2558"/>
      <c r="K279" s="2558"/>
      <c r="L279" s="2558"/>
      <c r="M279" s="2558"/>
      <c r="N279" s="2558"/>
      <c r="O279" s="2558"/>
      <c r="P279" s="2558"/>
      <c r="Q279" s="2558"/>
      <c r="R279" s="2558"/>
      <c r="S279" s="2558"/>
      <c r="T279" s="2558"/>
      <c r="U279" s="2558"/>
      <c r="V279" s="2558"/>
      <c r="W279" s="2558"/>
      <c r="X279" s="2558"/>
      <c r="Y279" s="2558"/>
      <c r="Z279" s="2558"/>
      <c r="AA279" s="2558"/>
      <c r="AB279" s="2558"/>
      <c r="AC279" s="2558"/>
      <c r="AD279" s="2559"/>
      <c r="AE279" s="449"/>
      <c r="AF279" s="533"/>
      <c r="AG279" s="2403" t="s">
        <v>2218</v>
      </c>
      <c r="AH279" s="2403"/>
      <c r="AI279" s="2403"/>
      <c r="AJ279" s="2403"/>
      <c r="AK279" s="449"/>
      <c r="AL279" s="449"/>
      <c r="AM279" s="449"/>
      <c r="AO279" s="449"/>
    </row>
    <row r="280" spans="1:52" ht="13.7" customHeight="1">
      <c r="A280" s="449"/>
      <c r="B280" s="494"/>
      <c r="C280" s="534"/>
      <c r="D280" s="449"/>
      <c r="E280" s="446"/>
      <c r="F280" s="2560"/>
      <c r="G280" s="2561"/>
      <c r="H280" s="2561"/>
      <c r="I280" s="2561"/>
      <c r="J280" s="2561"/>
      <c r="K280" s="2561"/>
      <c r="L280" s="2561"/>
      <c r="M280" s="2561"/>
      <c r="N280" s="2561"/>
      <c r="O280" s="2561"/>
      <c r="P280" s="2561"/>
      <c r="Q280" s="2561"/>
      <c r="R280" s="2561"/>
      <c r="S280" s="2561"/>
      <c r="T280" s="2561"/>
      <c r="U280" s="2561"/>
      <c r="V280" s="2561"/>
      <c r="W280" s="2561"/>
      <c r="X280" s="2561"/>
      <c r="Y280" s="2561"/>
      <c r="Z280" s="2561"/>
      <c r="AA280" s="2561"/>
      <c r="AB280" s="2561"/>
      <c r="AC280" s="2561"/>
      <c r="AD280" s="2562"/>
      <c r="AE280" s="449"/>
      <c r="AF280" s="533"/>
      <c r="AG280" s="533"/>
      <c r="AH280" s="533"/>
      <c r="AI280" s="533"/>
      <c r="AJ280" s="449"/>
      <c r="AK280" s="449"/>
      <c r="AL280" s="449"/>
      <c r="AM280" s="449"/>
      <c r="AO280" s="449"/>
    </row>
    <row r="281" spans="1:52" ht="13.7" customHeight="1">
      <c r="A281" s="449"/>
      <c r="B281" s="494"/>
      <c r="C281" s="534"/>
      <c r="D281" s="449"/>
      <c r="E281" s="446"/>
      <c r="F281" s="2560"/>
      <c r="G281" s="2561"/>
      <c r="H281" s="2561"/>
      <c r="I281" s="2561"/>
      <c r="J281" s="2561"/>
      <c r="K281" s="2561"/>
      <c r="L281" s="2561"/>
      <c r="M281" s="2561"/>
      <c r="N281" s="2561"/>
      <c r="O281" s="2561"/>
      <c r="P281" s="2561"/>
      <c r="Q281" s="2561"/>
      <c r="R281" s="2561"/>
      <c r="S281" s="2561"/>
      <c r="T281" s="2561"/>
      <c r="U281" s="2561"/>
      <c r="V281" s="2561"/>
      <c r="W281" s="2561"/>
      <c r="X281" s="2561"/>
      <c r="Y281" s="2561"/>
      <c r="Z281" s="2561"/>
      <c r="AA281" s="2561"/>
      <c r="AB281" s="2561"/>
      <c r="AC281" s="2561"/>
      <c r="AD281" s="2562"/>
      <c r="AE281" s="449"/>
      <c r="AF281" s="533"/>
      <c r="AG281" s="533"/>
      <c r="AH281" s="533"/>
      <c r="AI281" s="533"/>
      <c r="AJ281" s="449"/>
      <c r="AK281" s="449"/>
      <c r="AL281" s="449"/>
      <c r="AM281" s="449"/>
      <c r="AO281" s="449"/>
    </row>
    <row r="282" spans="1:52" ht="13.7" customHeight="1">
      <c r="A282" s="449"/>
      <c r="B282" s="494"/>
      <c r="C282" s="534"/>
      <c r="D282" s="449"/>
      <c r="E282" s="446"/>
      <c r="F282" s="2560"/>
      <c r="G282" s="2561"/>
      <c r="H282" s="2561"/>
      <c r="I282" s="2561"/>
      <c r="J282" s="2561"/>
      <c r="K282" s="2561"/>
      <c r="L282" s="2561"/>
      <c r="M282" s="2561"/>
      <c r="N282" s="2561"/>
      <c r="O282" s="2561"/>
      <c r="P282" s="2561"/>
      <c r="Q282" s="2561"/>
      <c r="R282" s="2561"/>
      <c r="S282" s="2561"/>
      <c r="T282" s="2561"/>
      <c r="U282" s="2561"/>
      <c r="V282" s="2561"/>
      <c r="W282" s="2561"/>
      <c r="X282" s="2561"/>
      <c r="Y282" s="2561"/>
      <c r="Z282" s="2561"/>
      <c r="AA282" s="2561"/>
      <c r="AB282" s="2561"/>
      <c r="AC282" s="2561"/>
      <c r="AD282" s="2562"/>
      <c r="AE282" s="449"/>
      <c r="AF282" s="533"/>
      <c r="AG282" s="533"/>
      <c r="AH282" s="533"/>
      <c r="AI282" s="533"/>
      <c r="AJ282" s="449"/>
      <c r="AK282" s="449"/>
      <c r="AL282" s="449"/>
      <c r="AM282" s="449"/>
      <c r="AO282" s="449"/>
    </row>
    <row r="283" spans="1:52" ht="13.7" customHeight="1">
      <c r="A283" s="449"/>
      <c r="B283" s="494"/>
      <c r="C283" s="534"/>
      <c r="D283" s="449"/>
      <c r="E283" s="446"/>
      <c r="F283" s="2560"/>
      <c r="G283" s="2561"/>
      <c r="H283" s="2561"/>
      <c r="I283" s="2561"/>
      <c r="J283" s="2561"/>
      <c r="K283" s="2561"/>
      <c r="L283" s="2561"/>
      <c r="M283" s="2561"/>
      <c r="N283" s="2561"/>
      <c r="O283" s="2561"/>
      <c r="P283" s="2561"/>
      <c r="Q283" s="2561"/>
      <c r="R283" s="2561"/>
      <c r="S283" s="2561"/>
      <c r="T283" s="2561"/>
      <c r="U283" s="2561"/>
      <c r="V283" s="2561"/>
      <c r="W283" s="2561"/>
      <c r="X283" s="2561"/>
      <c r="Y283" s="2561"/>
      <c r="Z283" s="2561"/>
      <c r="AA283" s="2561"/>
      <c r="AB283" s="2561"/>
      <c r="AC283" s="2561"/>
      <c r="AD283" s="2562"/>
      <c r="AE283" s="449"/>
      <c r="AF283" s="533"/>
      <c r="AG283" s="533"/>
      <c r="AH283" s="533"/>
      <c r="AI283" s="533"/>
      <c r="AJ283" s="449"/>
      <c r="AK283" s="449"/>
      <c r="AL283" s="449"/>
      <c r="AM283" s="449"/>
      <c r="AO283" s="449"/>
    </row>
    <row r="284" spans="1:52">
      <c r="A284" s="449"/>
      <c r="B284" s="494"/>
      <c r="C284" s="534"/>
      <c r="D284" s="449"/>
      <c r="E284" s="446"/>
      <c r="F284" s="2560"/>
      <c r="G284" s="2561"/>
      <c r="H284" s="2561"/>
      <c r="I284" s="2561"/>
      <c r="J284" s="2561"/>
      <c r="K284" s="2561"/>
      <c r="L284" s="2561"/>
      <c r="M284" s="2561"/>
      <c r="N284" s="2561"/>
      <c r="O284" s="2561"/>
      <c r="P284" s="2561"/>
      <c r="Q284" s="2561"/>
      <c r="R284" s="2561"/>
      <c r="S284" s="2561"/>
      <c r="T284" s="2561"/>
      <c r="U284" s="2561"/>
      <c r="V284" s="2561"/>
      <c r="W284" s="2561"/>
      <c r="X284" s="2561"/>
      <c r="Y284" s="2561"/>
      <c r="Z284" s="2561"/>
      <c r="AA284" s="2561"/>
      <c r="AB284" s="2561"/>
      <c r="AC284" s="2561"/>
      <c r="AD284" s="2562"/>
      <c r="AE284" s="449"/>
      <c r="AF284" s="533"/>
      <c r="AG284" s="533"/>
      <c r="AH284" s="533"/>
      <c r="AI284" s="533"/>
      <c r="AJ284" s="449"/>
      <c r="AK284" s="449"/>
      <c r="AL284" s="449"/>
      <c r="AM284" s="449"/>
      <c r="AO284" s="449"/>
      <c r="AP284" s="535"/>
    </row>
    <row r="285" spans="1:52">
      <c r="A285" s="449"/>
      <c r="B285" s="494"/>
      <c r="C285" s="534"/>
      <c r="D285" s="449"/>
      <c r="E285" s="446"/>
      <c r="F285" s="2560"/>
      <c r="G285" s="2561"/>
      <c r="H285" s="2561"/>
      <c r="I285" s="2561"/>
      <c r="J285" s="2561"/>
      <c r="K285" s="2561"/>
      <c r="L285" s="2561"/>
      <c r="M285" s="2561"/>
      <c r="N285" s="2561"/>
      <c r="O285" s="2561"/>
      <c r="P285" s="2561"/>
      <c r="Q285" s="2561"/>
      <c r="R285" s="2561"/>
      <c r="S285" s="2561"/>
      <c r="T285" s="2561"/>
      <c r="U285" s="2561"/>
      <c r="V285" s="2561"/>
      <c r="W285" s="2561"/>
      <c r="X285" s="2561"/>
      <c r="Y285" s="2561"/>
      <c r="Z285" s="2561"/>
      <c r="AA285" s="2561"/>
      <c r="AB285" s="2561"/>
      <c r="AC285" s="2561"/>
      <c r="AD285" s="2562"/>
      <c r="AE285" s="449"/>
      <c r="AF285" s="533"/>
      <c r="AG285" s="533"/>
      <c r="AH285" s="533"/>
      <c r="AI285" s="533"/>
      <c r="AJ285" s="449"/>
      <c r="AK285" s="449"/>
      <c r="AL285" s="449"/>
      <c r="AM285" s="449"/>
      <c r="AO285" s="449"/>
      <c r="AP285" s="535"/>
    </row>
    <row r="286" spans="1:52" ht="13.7" customHeight="1">
      <c r="A286" s="449"/>
      <c r="B286" s="494"/>
      <c r="C286" s="2404"/>
      <c r="D286" s="2404"/>
      <c r="E286" s="446"/>
      <c r="F286" s="2563"/>
      <c r="G286" s="2564"/>
      <c r="H286" s="2564"/>
      <c r="I286" s="2564"/>
      <c r="J286" s="2564"/>
      <c r="K286" s="2564"/>
      <c r="L286" s="2564"/>
      <c r="M286" s="2564"/>
      <c r="N286" s="2564"/>
      <c r="O286" s="2564"/>
      <c r="P286" s="2564"/>
      <c r="Q286" s="2564"/>
      <c r="R286" s="2564"/>
      <c r="S286" s="2564"/>
      <c r="T286" s="2564"/>
      <c r="U286" s="2564"/>
      <c r="V286" s="2564"/>
      <c r="W286" s="2564"/>
      <c r="X286" s="2564"/>
      <c r="Y286" s="2564"/>
      <c r="Z286" s="2564"/>
      <c r="AA286" s="2564"/>
      <c r="AB286" s="2564"/>
      <c r="AC286" s="2564"/>
      <c r="AD286" s="2565"/>
      <c r="AE286" s="449"/>
      <c r="AF286" s="533"/>
      <c r="AG286" s="2403"/>
      <c r="AH286" s="2403"/>
      <c r="AI286" s="2403"/>
      <c r="AJ286" s="2403"/>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18" t="s">
        <v>2279</v>
      </c>
      <c r="C289" s="2318"/>
      <c r="D289" s="2318"/>
      <c r="E289" s="2318"/>
      <c r="F289" s="2318"/>
      <c r="G289" s="2318"/>
      <c r="H289" s="2318"/>
      <c r="I289" s="2318"/>
      <c r="J289" s="2318"/>
      <c r="K289" s="2318"/>
      <c r="L289" s="2318"/>
      <c r="M289" s="2318"/>
      <c r="N289" s="2318"/>
      <c r="O289" s="2318"/>
      <c r="P289" s="2318"/>
      <c r="Q289" s="2318"/>
      <c r="R289" s="2318"/>
      <c r="S289" s="2318"/>
      <c r="T289" s="2318"/>
      <c r="U289" s="2318"/>
      <c r="V289" s="2318"/>
      <c r="W289" s="2318"/>
      <c r="X289" s="2318"/>
      <c r="Y289" s="2318"/>
      <c r="Z289" s="2318"/>
      <c r="AA289" s="2318"/>
      <c r="AB289" s="2318"/>
      <c r="AC289" s="2318"/>
      <c r="AD289" s="2318"/>
      <c r="AE289" s="2318"/>
      <c r="AF289" s="2318"/>
      <c r="AG289" s="2318"/>
      <c r="AH289" s="2318"/>
      <c r="AI289" s="2318"/>
      <c r="AJ289" s="2318"/>
      <c r="AK289" s="2318"/>
      <c r="AL289" s="2318"/>
      <c r="AM289" s="449"/>
      <c r="AN289" s="58"/>
    </row>
    <row r="290" spans="1:49">
      <c r="A290" s="449"/>
      <c r="B290" s="2318"/>
      <c r="C290" s="2318"/>
      <c r="D290" s="2318"/>
      <c r="E290" s="2318"/>
      <c r="F290" s="2318"/>
      <c r="G290" s="2318"/>
      <c r="H290" s="2318"/>
      <c r="I290" s="2318"/>
      <c r="J290" s="2318"/>
      <c r="K290" s="2318"/>
      <c r="L290" s="2318"/>
      <c r="M290" s="2318"/>
      <c r="N290" s="2318"/>
      <c r="O290" s="2318"/>
      <c r="P290" s="2318"/>
      <c r="Q290" s="2318"/>
      <c r="R290" s="2318"/>
      <c r="S290" s="2318"/>
      <c r="T290" s="2318"/>
      <c r="U290" s="2318"/>
      <c r="V290" s="2318"/>
      <c r="W290" s="2318"/>
      <c r="X290" s="2318"/>
      <c r="Y290" s="2318"/>
      <c r="Z290" s="2318"/>
      <c r="AA290" s="2318"/>
      <c r="AB290" s="2318"/>
      <c r="AC290" s="2318"/>
      <c r="AD290" s="2318"/>
      <c r="AE290" s="2318"/>
      <c r="AF290" s="2318"/>
      <c r="AG290" s="2318"/>
      <c r="AH290" s="2318"/>
      <c r="AI290" s="2318"/>
      <c r="AJ290" s="2318"/>
      <c r="AK290" s="2318"/>
      <c r="AL290" s="2318"/>
      <c r="AM290" s="449"/>
      <c r="AN290" s="58"/>
    </row>
    <row r="291" spans="1:49">
      <c r="A291" s="449"/>
      <c r="B291" s="2318"/>
      <c r="C291" s="2318"/>
      <c r="D291" s="2318"/>
      <c r="E291" s="2318"/>
      <c r="F291" s="2318"/>
      <c r="G291" s="2318"/>
      <c r="H291" s="2318"/>
      <c r="I291" s="2318"/>
      <c r="J291" s="2318"/>
      <c r="K291" s="2318"/>
      <c r="L291" s="2318"/>
      <c r="M291" s="2318"/>
      <c r="N291" s="2318"/>
      <c r="O291" s="2318"/>
      <c r="P291" s="2318"/>
      <c r="Q291" s="2318"/>
      <c r="R291" s="2318"/>
      <c r="S291" s="2318"/>
      <c r="T291" s="2318"/>
      <c r="U291" s="2318"/>
      <c r="V291" s="2318"/>
      <c r="W291" s="2318"/>
      <c r="X291" s="2318"/>
      <c r="Y291" s="2318"/>
      <c r="Z291" s="2318"/>
      <c r="AA291" s="2318"/>
      <c r="AB291" s="2318"/>
      <c r="AC291" s="2318"/>
      <c r="AD291" s="2318"/>
      <c r="AE291" s="2318"/>
      <c r="AF291" s="2318"/>
      <c r="AG291" s="2318"/>
      <c r="AH291" s="2318"/>
      <c r="AI291" s="2318"/>
      <c r="AJ291" s="2318"/>
      <c r="AK291" s="2318"/>
      <c r="AL291" s="2318"/>
      <c r="AM291" s="449"/>
      <c r="AN291" s="58"/>
    </row>
    <row r="292" spans="1:49">
      <c r="A292" s="449"/>
      <c r="B292" s="2318"/>
      <c r="C292" s="2318"/>
      <c r="D292" s="2318"/>
      <c r="E292" s="2318"/>
      <c r="F292" s="2318"/>
      <c r="G292" s="2318"/>
      <c r="H292" s="2318"/>
      <c r="I292" s="2318"/>
      <c r="J292" s="2318"/>
      <c r="K292" s="2318"/>
      <c r="L292" s="2318"/>
      <c r="M292" s="2318"/>
      <c r="N292" s="2318"/>
      <c r="O292" s="2318"/>
      <c r="P292" s="2318"/>
      <c r="Q292" s="2318"/>
      <c r="R292" s="2318"/>
      <c r="S292" s="2318"/>
      <c r="T292" s="2318"/>
      <c r="U292" s="2318"/>
      <c r="V292" s="2318"/>
      <c r="W292" s="2318"/>
      <c r="X292" s="2318"/>
      <c r="Y292" s="2318"/>
      <c r="Z292" s="2318"/>
      <c r="AA292" s="2318"/>
      <c r="AB292" s="2318"/>
      <c r="AC292" s="2318"/>
      <c r="AD292" s="2318"/>
      <c r="AE292" s="2318"/>
      <c r="AF292" s="2318"/>
      <c r="AG292" s="2318"/>
      <c r="AH292" s="2318"/>
      <c r="AI292" s="2318"/>
      <c r="AJ292" s="2318"/>
      <c r="AK292" s="2318"/>
      <c r="AL292" s="2318"/>
      <c r="AM292" s="449"/>
      <c r="AN292" s="58"/>
    </row>
    <row r="293" spans="1:49">
      <c r="A293" s="449"/>
      <c r="B293" s="2318"/>
      <c r="C293" s="2318"/>
      <c r="D293" s="2318"/>
      <c r="E293" s="2318"/>
      <c r="F293" s="2318"/>
      <c r="G293" s="2318"/>
      <c r="H293" s="2318"/>
      <c r="I293" s="2318"/>
      <c r="J293" s="2318"/>
      <c r="K293" s="2318"/>
      <c r="L293" s="2318"/>
      <c r="M293" s="2318"/>
      <c r="N293" s="2318"/>
      <c r="O293" s="2318"/>
      <c r="P293" s="2318"/>
      <c r="Q293" s="2318"/>
      <c r="R293" s="2318"/>
      <c r="S293" s="2318"/>
      <c r="T293" s="2318"/>
      <c r="U293" s="2318"/>
      <c r="V293" s="2318"/>
      <c r="W293" s="2318"/>
      <c r="X293" s="2318"/>
      <c r="Y293" s="2318"/>
      <c r="Z293" s="2318"/>
      <c r="AA293" s="2318"/>
      <c r="AB293" s="2318"/>
      <c r="AC293" s="2318"/>
      <c r="AD293" s="2318"/>
      <c r="AE293" s="2318"/>
      <c r="AF293" s="2318"/>
      <c r="AG293" s="2318"/>
      <c r="AH293" s="2318"/>
      <c r="AI293" s="2318"/>
      <c r="AJ293" s="2318"/>
      <c r="AK293" s="2318"/>
      <c r="AL293" s="2318"/>
      <c r="AM293" s="449"/>
      <c r="AN293" s="58"/>
    </row>
    <row r="294" spans="1:49">
      <c r="A294" s="449"/>
      <c r="B294" s="2318"/>
      <c r="C294" s="2318"/>
      <c r="D294" s="2318"/>
      <c r="E294" s="2318"/>
      <c r="F294" s="2318"/>
      <c r="G294" s="2318"/>
      <c r="H294" s="2318"/>
      <c r="I294" s="2318"/>
      <c r="J294" s="2318"/>
      <c r="K294" s="2318"/>
      <c r="L294" s="2318"/>
      <c r="M294" s="2318"/>
      <c r="N294" s="2318"/>
      <c r="O294" s="2318"/>
      <c r="P294" s="2318"/>
      <c r="Q294" s="2318"/>
      <c r="R294" s="2318"/>
      <c r="S294" s="2318"/>
      <c r="T294" s="2318"/>
      <c r="U294" s="2318"/>
      <c r="V294" s="2318"/>
      <c r="W294" s="2318"/>
      <c r="X294" s="2318"/>
      <c r="Y294" s="2318"/>
      <c r="Z294" s="2318"/>
      <c r="AA294" s="2318"/>
      <c r="AB294" s="2318"/>
      <c r="AC294" s="2318"/>
      <c r="AD294" s="2318"/>
      <c r="AE294" s="2318"/>
      <c r="AF294" s="2318"/>
      <c r="AG294" s="2318"/>
      <c r="AH294" s="2318"/>
      <c r="AI294" s="2318"/>
      <c r="AJ294" s="2318"/>
      <c r="AK294" s="2318"/>
      <c r="AL294" s="2318"/>
      <c r="AM294" s="449"/>
      <c r="AN294" s="58"/>
    </row>
    <row r="295" spans="1:49">
      <c r="A295" s="449"/>
      <c r="B295" s="2318"/>
      <c r="C295" s="2318"/>
      <c r="D295" s="2318"/>
      <c r="E295" s="2318"/>
      <c r="F295" s="2318"/>
      <c r="G295" s="2318"/>
      <c r="H295" s="2318"/>
      <c r="I295" s="2318"/>
      <c r="J295" s="2318"/>
      <c r="K295" s="2318"/>
      <c r="L295" s="2318"/>
      <c r="M295" s="2318"/>
      <c r="N295" s="2318"/>
      <c r="O295" s="2318"/>
      <c r="P295" s="2318"/>
      <c r="Q295" s="2318"/>
      <c r="R295" s="2318"/>
      <c r="S295" s="2318"/>
      <c r="T295" s="2318"/>
      <c r="U295" s="2318"/>
      <c r="V295" s="2318"/>
      <c r="W295" s="2318"/>
      <c r="X295" s="2318"/>
      <c r="Y295" s="2318"/>
      <c r="Z295" s="2318"/>
      <c r="AA295" s="2318"/>
      <c r="AB295" s="2318"/>
      <c r="AC295" s="2318"/>
      <c r="AD295" s="2318"/>
      <c r="AE295" s="2318"/>
      <c r="AF295" s="2318"/>
      <c r="AG295" s="2318"/>
      <c r="AH295" s="2318"/>
      <c r="AI295" s="2318"/>
      <c r="AJ295" s="2318"/>
      <c r="AK295" s="2318"/>
      <c r="AL295" s="2318"/>
      <c r="AM295" s="449"/>
      <c r="AN295" s="58"/>
    </row>
    <row r="296" spans="1:49">
      <c r="A296" s="449"/>
      <c r="B296" s="2318"/>
      <c r="C296" s="2318"/>
      <c r="D296" s="2318"/>
      <c r="E296" s="2318"/>
      <c r="F296" s="2318"/>
      <c r="G296" s="2318"/>
      <c r="H296" s="2318"/>
      <c r="I296" s="2318"/>
      <c r="J296" s="2318"/>
      <c r="K296" s="2318"/>
      <c r="L296" s="2318"/>
      <c r="M296" s="2318"/>
      <c r="N296" s="2318"/>
      <c r="O296" s="2318"/>
      <c r="P296" s="2318"/>
      <c r="Q296" s="2318"/>
      <c r="R296" s="2318"/>
      <c r="S296" s="2318"/>
      <c r="T296" s="2318"/>
      <c r="U296" s="2318"/>
      <c r="V296" s="2318"/>
      <c r="W296" s="2318"/>
      <c r="X296" s="2318"/>
      <c r="Y296" s="2318"/>
      <c r="Z296" s="2318"/>
      <c r="AA296" s="2318"/>
      <c r="AB296" s="2318"/>
      <c r="AC296" s="2318"/>
      <c r="AD296" s="2318"/>
      <c r="AE296" s="2318"/>
      <c r="AF296" s="2318"/>
      <c r="AG296" s="2318"/>
      <c r="AH296" s="2318"/>
      <c r="AI296" s="2318"/>
      <c r="AJ296" s="2318"/>
      <c r="AK296" s="2318"/>
      <c r="AL296" s="2318"/>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2280</v>
      </c>
      <c r="AK298" s="2410">
        <f>IF($C$279="yes",10,0)</f>
        <v>10</v>
      </c>
      <c r="AL298" s="2410"/>
      <c r="AM298" s="2411"/>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2281</v>
      </c>
      <c r="B301" s="438" t="s">
        <v>2282</v>
      </c>
      <c r="AH301" s="489" t="s">
        <v>2142</v>
      </c>
    </row>
    <row r="302" spans="1:49" ht="15" customHeight="1">
      <c r="B302" s="439"/>
    </row>
    <row r="303" spans="1:49" ht="15" customHeight="1">
      <c r="B303" s="439" t="s">
        <v>2143</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309" t="s">
        <v>2283</v>
      </c>
      <c r="B305" s="1309"/>
      <c r="C305" s="2392" t="s">
        <v>826</v>
      </c>
      <c r="D305" s="2402"/>
      <c r="E305" s="446"/>
      <c r="F305" s="2424" t="s">
        <v>2284</v>
      </c>
      <c r="G305" s="2425"/>
      <c r="H305" s="2425"/>
      <c r="I305" s="2425"/>
      <c r="J305" s="2425"/>
      <c r="K305" s="2425"/>
      <c r="L305" s="2425"/>
      <c r="M305" s="2425"/>
      <c r="N305" s="2425"/>
      <c r="O305" s="2425"/>
      <c r="P305" s="2425"/>
      <c r="Q305" s="2425"/>
      <c r="R305" s="2425"/>
      <c r="S305" s="2425"/>
      <c r="T305" s="2425"/>
      <c r="U305" s="2425"/>
      <c r="V305" s="2425"/>
      <c r="W305" s="2425"/>
      <c r="X305" s="2425"/>
      <c r="Y305" s="2425"/>
      <c r="Z305" s="2425"/>
      <c r="AA305" s="2425"/>
      <c r="AB305" s="2425"/>
      <c r="AC305" s="2425"/>
      <c r="AD305" s="2426"/>
      <c r="AE305" s="540"/>
      <c r="AF305" s="449"/>
      <c r="AG305" s="2427" t="s">
        <v>2285</v>
      </c>
      <c r="AH305" s="2427"/>
      <c r="AI305" s="2427"/>
      <c r="AJ305" s="2427"/>
      <c r="AK305" s="2427"/>
      <c r="AL305" s="449"/>
      <c r="AM305" s="449"/>
      <c r="AN305" s="58"/>
      <c r="AO305" s="13"/>
      <c r="AP305" s="25"/>
      <c r="AS305" s="468"/>
      <c r="AT305" s="468"/>
      <c r="AU305" s="468"/>
      <c r="AV305" s="27"/>
      <c r="AW305" s="27"/>
    </row>
    <row r="306" spans="1:49">
      <c r="A306" s="538"/>
      <c r="B306" s="494"/>
      <c r="F306" s="2396"/>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c r="AA306" s="2397"/>
      <c r="AB306" s="2397"/>
      <c r="AC306" s="2397"/>
      <c r="AD306" s="2398"/>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96"/>
      <c r="G307" s="2397"/>
      <c r="H307" s="2397"/>
      <c r="I307" s="2397"/>
      <c r="J307" s="2397"/>
      <c r="K307" s="2397"/>
      <c r="L307" s="2397"/>
      <c r="M307" s="2397"/>
      <c r="N307" s="2397"/>
      <c r="O307" s="2397"/>
      <c r="P307" s="2397"/>
      <c r="Q307" s="2397"/>
      <c r="R307" s="2397"/>
      <c r="S307" s="2397"/>
      <c r="T307" s="2397"/>
      <c r="U307" s="2397"/>
      <c r="V307" s="2397"/>
      <c r="W307" s="2397"/>
      <c r="X307" s="2397"/>
      <c r="Y307" s="2397"/>
      <c r="Z307" s="2397"/>
      <c r="AA307" s="2397"/>
      <c r="AB307" s="2397"/>
      <c r="AC307" s="2397"/>
      <c r="AD307" s="2398"/>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96" t="s">
        <v>2286</v>
      </c>
      <c r="G308" s="2397"/>
      <c r="H308" s="2397"/>
      <c r="I308" s="2397"/>
      <c r="J308" s="2397"/>
      <c r="K308" s="2397"/>
      <c r="L308" s="2397"/>
      <c r="M308" s="2397"/>
      <c r="N308" s="2397"/>
      <c r="O308" s="2397"/>
      <c r="P308" s="2397"/>
      <c r="Q308" s="2397"/>
      <c r="R308" s="2397"/>
      <c r="S308" s="2397"/>
      <c r="T308" s="2397"/>
      <c r="U308" s="2397"/>
      <c r="V308" s="2397"/>
      <c r="W308" s="2397"/>
      <c r="X308" s="2397"/>
      <c r="Y308" s="2397"/>
      <c r="Z308" s="2397"/>
      <c r="AA308" s="2397"/>
      <c r="AB308" s="2397"/>
      <c r="AC308" s="2397"/>
      <c r="AD308" s="2398"/>
      <c r="AE308" s="540"/>
      <c r="AF308" s="450"/>
      <c r="AH308" s="450"/>
      <c r="AI308" s="450"/>
      <c r="AJ308" s="449"/>
      <c r="AK308" s="449"/>
      <c r="AL308" s="449"/>
      <c r="AM308" s="449"/>
      <c r="AN308" s="58"/>
      <c r="AO308" s="13"/>
      <c r="AP308" s="509">
        <f>MAX(AP306,AP307)</f>
        <v>0</v>
      </c>
      <c r="AQ308" s="472" t="s">
        <v>2146</v>
      </c>
      <c r="AS308" s="468"/>
      <c r="AT308" s="468"/>
      <c r="AU308" s="468"/>
      <c r="AV308" s="27"/>
      <c r="AW308" s="27"/>
    </row>
    <row r="309" spans="1:49">
      <c r="A309" s="538"/>
      <c r="B309" s="494"/>
      <c r="F309" s="2396"/>
      <c r="G309" s="2397"/>
      <c r="H309" s="2397"/>
      <c r="I309" s="2397"/>
      <c r="J309" s="2397"/>
      <c r="K309" s="2397"/>
      <c r="L309" s="2397"/>
      <c r="M309" s="2397"/>
      <c r="N309" s="2397"/>
      <c r="O309" s="2397"/>
      <c r="P309" s="2397"/>
      <c r="Q309" s="2397"/>
      <c r="R309" s="2397"/>
      <c r="S309" s="2397"/>
      <c r="T309" s="2397"/>
      <c r="U309" s="2397"/>
      <c r="V309" s="2397"/>
      <c r="W309" s="2397"/>
      <c r="X309" s="2397"/>
      <c r="Y309" s="2397"/>
      <c r="Z309" s="2397"/>
      <c r="AA309" s="2397"/>
      <c r="AB309" s="2397"/>
      <c r="AC309" s="2397"/>
      <c r="AD309" s="2398"/>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96" t="s">
        <v>2287</v>
      </c>
      <c r="G310" s="2397"/>
      <c r="H310" s="2397"/>
      <c r="I310" s="2397"/>
      <c r="J310" s="2397"/>
      <c r="K310" s="2397"/>
      <c r="L310" s="2397"/>
      <c r="M310" s="2397"/>
      <c r="N310" s="2397"/>
      <c r="O310" s="2397"/>
      <c r="P310" s="2397"/>
      <c r="Q310" s="2397"/>
      <c r="R310" s="2397"/>
      <c r="S310" s="2397"/>
      <c r="T310" s="2397"/>
      <c r="U310" s="2397"/>
      <c r="V310" s="2397"/>
      <c r="W310" s="2397"/>
      <c r="X310" s="2397"/>
      <c r="Y310" s="2397"/>
      <c r="Z310" s="2397"/>
      <c r="AA310" s="2397"/>
      <c r="AB310" s="2397"/>
      <c r="AC310" s="2397"/>
      <c r="AD310" s="2398"/>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96"/>
      <c r="G311" s="2397"/>
      <c r="H311" s="2397"/>
      <c r="I311" s="2397"/>
      <c r="J311" s="2397"/>
      <c r="K311" s="2397"/>
      <c r="L311" s="2397"/>
      <c r="M311" s="2397"/>
      <c r="N311" s="2397"/>
      <c r="O311" s="2397"/>
      <c r="P311" s="2397"/>
      <c r="Q311" s="2397"/>
      <c r="R311" s="2397"/>
      <c r="S311" s="2397"/>
      <c r="T311" s="2397"/>
      <c r="U311" s="2397"/>
      <c r="V311" s="2397"/>
      <c r="W311" s="2397"/>
      <c r="X311" s="2397"/>
      <c r="Y311" s="2397"/>
      <c r="Z311" s="2397"/>
      <c r="AA311" s="2397"/>
      <c r="AB311" s="2397"/>
      <c r="AC311" s="2397"/>
      <c r="AD311" s="2398"/>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96" t="s">
        <v>2288</v>
      </c>
      <c r="G312" s="2397"/>
      <c r="H312" s="2397"/>
      <c r="I312" s="2397"/>
      <c r="J312" s="2397"/>
      <c r="K312" s="2397"/>
      <c r="L312" s="2397"/>
      <c r="M312" s="2397"/>
      <c r="N312" s="2397"/>
      <c r="O312" s="2397"/>
      <c r="P312" s="2397"/>
      <c r="Q312" s="2397"/>
      <c r="R312" s="2397"/>
      <c r="S312" s="2397"/>
      <c r="T312" s="2397"/>
      <c r="U312" s="2397"/>
      <c r="V312" s="2397"/>
      <c r="W312" s="2397"/>
      <c r="X312" s="2397"/>
      <c r="Y312" s="2397"/>
      <c r="Z312" s="2397"/>
      <c r="AA312" s="2397"/>
      <c r="AB312" s="2397"/>
      <c r="AC312" s="2397"/>
      <c r="AD312" s="2398"/>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99"/>
      <c r="G313" s="2400"/>
      <c r="H313" s="2400"/>
      <c r="I313" s="2400"/>
      <c r="J313" s="2400"/>
      <c r="K313" s="2400"/>
      <c r="L313" s="2400"/>
      <c r="M313" s="2400"/>
      <c r="N313" s="2400"/>
      <c r="O313" s="2400"/>
      <c r="P313" s="2400"/>
      <c r="Q313" s="2400"/>
      <c r="R313" s="2400"/>
      <c r="S313" s="2400"/>
      <c r="T313" s="2400"/>
      <c r="U313" s="2400"/>
      <c r="V313" s="2400"/>
      <c r="W313" s="2400"/>
      <c r="X313" s="2400"/>
      <c r="Y313" s="2400"/>
      <c r="Z313" s="2400"/>
      <c r="AA313" s="2400"/>
      <c r="AB313" s="2400"/>
      <c r="AC313" s="2400"/>
      <c r="AD313" s="2401"/>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309" t="s">
        <v>2289</v>
      </c>
      <c r="B315" s="1309"/>
      <c r="C315" s="2402" t="s">
        <v>826</v>
      </c>
      <c r="D315" s="2402"/>
      <c r="E315" s="446"/>
      <c r="F315" s="861" t="s">
        <v>2290</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2291</v>
      </c>
      <c r="AH315" s="450"/>
      <c r="AI315" s="450"/>
      <c r="AJ315" s="449"/>
      <c r="AK315" s="449"/>
      <c r="AL315" s="449"/>
      <c r="AM315" s="449"/>
      <c r="AN315" s="543"/>
      <c r="AO315" s="13"/>
    </row>
    <row r="316" spans="1:49">
      <c r="A316" s="449"/>
      <c r="B316" s="450"/>
      <c r="C316" s="449"/>
      <c r="D316" s="450"/>
      <c r="E316" s="449"/>
      <c r="F316" s="2396" t="s">
        <v>2292</v>
      </c>
      <c r="G316" s="2397"/>
      <c r="H316" s="2397"/>
      <c r="I316" s="2397"/>
      <c r="J316" s="2397"/>
      <c r="K316" s="2397"/>
      <c r="L316" s="2397"/>
      <c r="M316" s="2397"/>
      <c r="N316" s="2397"/>
      <c r="O316" s="2397"/>
      <c r="P316" s="2397"/>
      <c r="Q316" s="2397"/>
      <c r="R316" s="2397"/>
      <c r="S316" s="2397"/>
      <c r="T316" s="2397"/>
      <c r="U316" s="2397"/>
      <c r="V316" s="2397"/>
      <c r="W316" s="2397"/>
      <c r="X316" s="2397"/>
      <c r="Y316" s="2397"/>
      <c r="Z316" s="2397"/>
      <c r="AA316" s="2397"/>
      <c r="AB316" s="2397"/>
      <c r="AC316" s="2397"/>
      <c r="AD316" s="2398"/>
      <c r="AE316" s="450"/>
      <c r="AF316" s="450"/>
      <c r="AG316" s="450"/>
      <c r="AH316" s="450"/>
      <c r="AI316" s="450"/>
      <c r="AJ316" s="449"/>
      <c r="AK316" s="449"/>
      <c r="AL316" s="449"/>
      <c r="AM316" s="449"/>
      <c r="AR316" s="544"/>
    </row>
    <row r="317" spans="1:49" ht="15" customHeight="1">
      <c r="A317" s="449"/>
      <c r="B317" s="450"/>
      <c r="C317" s="449"/>
      <c r="D317" s="450"/>
      <c r="E317" s="449"/>
      <c r="F317" s="2396"/>
      <c r="G317" s="2397"/>
      <c r="H317" s="2397"/>
      <c r="I317" s="2397"/>
      <c r="J317" s="2397"/>
      <c r="K317" s="2397"/>
      <c r="L317" s="2397"/>
      <c r="M317" s="2397"/>
      <c r="N317" s="2397"/>
      <c r="O317" s="2397"/>
      <c r="P317" s="2397"/>
      <c r="Q317" s="2397"/>
      <c r="R317" s="2397"/>
      <c r="S317" s="2397"/>
      <c r="T317" s="2397"/>
      <c r="U317" s="2397"/>
      <c r="V317" s="2397"/>
      <c r="W317" s="2397"/>
      <c r="X317" s="2397"/>
      <c r="Y317" s="2397"/>
      <c r="Z317" s="2397"/>
      <c r="AA317" s="2397"/>
      <c r="AB317" s="2397"/>
      <c r="AC317" s="2397"/>
      <c r="AD317" s="2398"/>
      <c r="AE317" s="450"/>
      <c r="AF317" s="450"/>
      <c r="AG317" s="450"/>
      <c r="AH317" s="450"/>
      <c r="AI317" s="450"/>
      <c r="AJ317" s="449"/>
      <c r="AK317" s="449"/>
      <c r="AL317" s="449"/>
      <c r="AM317" s="449"/>
      <c r="AR317" s="544"/>
    </row>
    <row r="318" spans="1:49">
      <c r="A318" s="449"/>
      <c r="B318" s="450"/>
      <c r="C318" s="449"/>
      <c r="D318" s="450"/>
      <c r="E318" s="449"/>
      <c r="F318" s="2396"/>
      <c r="G318" s="2397"/>
      <c r="H318" s="2397"/>
      <c r="I318" s="2397"/>
      <c r="J318" s="2397"/>
      <c r="K318" s="2397"/>
      <c r="L318" s="2397"/>
      <c r="M318" s="2397"/>
      <c r="N318" s="2397"/>
      <c r="O318" s="2397"/>
      <c r="P318" s="2397"/>
      <c r="Q318" s="2397"/>
      <c r="R318" s="2397"/>
      <c r="S318" s="2397"/>
      <c r="T318" s="2397"/>
      <c r="U318" s="2397"/>
      <c r="V318" s="2397"/>
      <c r="W318" s="2397"/>
      <c r="X318" s="2397"/>
      <c r="Y318" s="2397"/>
      <c r="Z318" s="2397"/>
      <c r="AA318" s="2397"/>
      <c r="AB318" s="2397"/>
      <c r="AC318" s="2397"/>
      <c r="AD318" s="2398"/>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99"/>
      <c r="G319" s="2400"/>
      <c r="H319" s="2400"/>
      <c r="I319" s="2400"/>
      <c r="J319" s="2400"/>
      <c r="K319" s="2400"/>
      <c r="L319" s="2400"/>
      <c r="M319" s="2400"/>
      <c r="N319" s="2400"/>
      <c r="O319" s="2400"/>
      <c r="P319" s="2400"/>
      <c r="Q319" s="2400"/>
      <c r="R319" s="2400"/>
      <c r="S319" s="2400"/>
      <c r="T319" s="2400"/>
      <c r="U319" s="2400"/>
      <c r="V319" s="2400"/>
      <c r="W319" s="2400"/>
      <c r="X319" s="2400"/>
      <c r="Y319" s="2400"/>
      <c r="Z319" s="2400"/>
      <c r="AA319" s="2400"/>
      <c r="AB319" s="2400"/>
      <c r="AC319" s="2400"/>
      <c r="AD319" s="2401"/>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309" t="s">
        <v>2293</v>
      </c>
      <c r="B323" s="1309"/>
      <c r="C323" s="2402" t="s">
        <v>826</v>
      </c>
      <c r="D323" s="2402"/>
      <c r="E323" s="446"/>
      <c r="F323" s="542" t="s">
        <v>2294</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2291</v>
      </c>
      <c r="AH323" s="450"/>
      <c r="AI323" s="450"/>
      <c r="AJ323" s="449"/>
      <c r="AK323" s="449"/>
      <c r="AL323" s="449"/>
      <c r="AM323" s="449"/>
      <c r="AN323" s="58"/>
      <c r="AO323" s="13"/>
    </row>
    <row r="324" spans="1:44" hidden="1">
      <c r="A324" s="65"/>
      <c r="B324" s="65"/>
      <c r="C324" s="626"/>
      <c r="D324" s="626"/>
      <c r="E324" s="446"/>
      <c r="F324" s="2396" t="s">
        <v>2295</v>
      </c>
      <c r="G324" s="2397"/>
      <c r="H324" s="2397"/>
      <c r="I324" s="2397"/>
      <c r="J324" s="2397"/>
      <c r="K324" s="2397"/>
      <c r="L324" s="2397"/>
      <c r="M324" s="2397"/>
      <c r="N324" s="2397"/>
      <c r="O324" s="2397"/>
      <c r="P324" s="2397"/>
      <c r="Q324" s="2397"/>
      <c r="R324" s="2397"/>
      <c r="S324" s="2397"/>
      <c r="T324" s="2397"/>
      <c r="U324" s="2397"/>
      <c r="V324" s="2397"/>
      <c r="W324" s="2397"/>
      <c r="X324" s="2397"/>
      <c r="Y324" s="2397"/>
      <c r="Z324" s="2397"/>
      <c r="AA324" s="2397"/>
      <c r="AB324" s="2397"/>
      <c r="AC324" s="2397"/>
      <c r="AD324" s="2398"/>
      <c r="AE324" s="450"/>
      <c r="AF324" s="450"/>
      <c r="AG324" s="439"/>
      <c r="AH324" s="450"/>
      <c r="AI324" s="450"/>
      <c r="AJ324" s="449"/>
      <c r="AK324" s="449"/>
      <c r="AL324" s="449"/>
      <c r="AM324" s="449"/>
      <c r="AN324" s="58"/>
      <c r="AO324" s="13"/>
      <c r="AP324" s="455" t="s">
        <v>1016</v>
      </c>
    </row>
    <row r="325" spans="1:44" hidden="1">
      <c r="F325" s="2396"/>
      <c r="G325" s="2397"/>
      <c r="H325" s="2397"/>
      <c r="I325" s="2397"/>
      <c r="J325" s="2397"/>
      <c r="K325" s="2397"/>
      <c r="L325" s="2397"/>
      <c r="M325" s="2397"/>
      <c r="N325" s="2397"/>
      <c r="O325" s="2397"/>
      <c r="P325" s="2397"/>
      <c r="Q325" s="2397"/>
      <c r="R325" s="2397"/>
      <c r="S325" s="2397"/>
      <c r="T325" s="2397"/>
      <c r="U325" s="2397"/>
      <c r="V325" s="2397"/>
      <c r="W325" s="2397"/>
      <c r="X325" s="2397"/>
      <c r="Y325" s="2397"/>
      <c r="Z325" s="2397"/>
      <c r="AA325" s="2397"/>
      <c r="AB325" s="2397"/>
      <c r="AC325" s="2397"/>
      <c r="AD325" s="2398"/>
      <c r="AE325" s="450"/>
      <c r="AF325" s="450"/>
      <c r="AH325" s="450"/>
      <c r="AI325" s="450"/>
      <c r="AJ325" s="449"/>
      <c r="AK325" s="449"/>
      <c r="AL325" s="449"/>
      <c r="AM325" s="449"/>
      <c r="AN325" s="58"/>
      <c r="AO325" s="13"/>
      <c r="AP325" s="455" t="s">
        <v>2296</v>
      </c>
    </row>
    <row r="326" spans="1:44" hidden="1">
      <c r="A326" s="449"/>
      <c r="B326" s="450"/>
      <c r="C326" s="626"/>
      <c r="D326" s="626"/>
      <c r="E326" s="446"/>
      <c r="F326" s="548" t="s">
        <v>2297</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2298</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2299</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31" t="s">
        <v>1016</v>
      </c>
      <c r="G329" s="2432"/>
      <c r="H329" s="2432"/>
      <c r="I329" s="2432"/>
      <c r="J329" s="2432"/>
      <c r="K329" s="2432"/>
      <c r="L329" s="2432"/>
      <c r="M329" s="2432"/>
      <c r="N329" s="2432"/>
      <c r="O329" s="2432"/>
      <c r="P329" s="2432"/>
      <c r="Q329" s="2432"/>
      <c r="R329" s="2432"/>
      <c r="S329" s="2432"/>
      <c r="T329" s="2432"/>
      <c r="U329" s="2432"/>
      <c r="V329" s="2432"/>
      <c r="W329" s="2432"/>
      <c r="X329" s="2432"/>
      <c r="Y329" s="2432"/>
      <c r="Z329" s="2432"/>
      <c r="AA329" s="2432"/>
      <c r="AB329" s="2432"/>
      <c r="AC329" s="2432"/>
      <c r="AD329" s="2433"/>
      <c r="AE329" s="540"/>
      <c r="AF329" s="540"/>
      <c r="AG329" s="540"/>
      <c r="AH329" s="540"/>
      <c r="AI329" s="540"/>
      <c r="AJ329" s="540"/>
      <c r="AK329" s="540"/>
      <c r="AL329" s="449"/>
      <c r="AM329" s="449"/>
      <c r="AN329" s="58"/>
      <c r="AO329" s="13"/>
      <c r="AP329" s="25"/>
    </row>
    <row r="330" spans="1:44" hidden="1">
      <c r="A330" s="449"/>
      <c r="B330" s="450"/>
      <c r="C330" s="626"/>
      <c r="D330" s="626"/>
      <c r="E330" s="446"/>
      <c r="F330" s="2431"/>
      <c r="G330" s="2432"/>
      <c r="H330" s="2432"/>
      <c r="I330" s="2432"/>
      <c r="J330" s="2432"/>
      <c r="K330" s="2432"/>
      <c r="L330" s="2432"/>
      <c r="M330" s="2432"/>
      <c r="N330" s="2432"/>
      <c r="O330" s="2432"/>
      <c r="P330" s="2432"/>
      <c r="Q330" s="2432"/>
      <c r="R330" s="2432"/>
      <c r="S330" s="2432"/>
      <c r="T330" s="2432"/>
      <c r="U330" s="2432"/>
      <c r="V330" s="2432"/>
      <c r="W330" s="2432"/>
      <c r="X330" s="2432"/>
      <c r="Y330" s="2432"/>
      <c r="Z330" s="2432"/>
      <c r="AA330" s="2432"/>
      <c r="AB330" s="2432"/>
      <c r="AC330" s="2432"/>
      <c r="AD330" s="2433"/>
      <c r="AE330" s="450"/>
      <c r="AF330" s="450"/>
      <c r="AG330" s="439"/>
      <c r="AH330" s="450"/>
      <c r="AI330" s="450"/>
      <c r="AJ330" s="449"/>
      <c r="AK330" s="449"/>
      <c r="AL330" s="449"/>
      <c r="AM330" s="449"/>
      <c r="AN330" s="58"/>
      <c r="AO330" s="13"/>
      <c r="AP330" s="25"/>
    </row>
    <row r="331" spans="1:44" hidden="1">
      <c r="A331" s="449"/>
      <c r="B331" s="450"/>
      <c r="C331" s="626"/>
      <c r="D331" s="626"/>
      <c r="E331" s="446"/>
      <c r="F331" s="2431"/>
      <c r="G331" s="2432"/>
      <c r="H331" s="2432"/>
      <c r="I331" s="2432"/>
      <c r="J331" s="2432"/>
      <c r="K331" s="2432"/>
      <c r="L331" s="2432"/>
      <c r="M331" s="2432"/>
      <c r="N331" s="2432"/>
      <c r="O331" s="2432"/>
      <c r="P331" s="2432"/>
      <c r="Q331" s="2432"/>
      <c r="R331" s="2432"/>
      <c r="S331" s="2432"/>
      <c r="T331" s="2432"/>
      <c r="U331" s="2432"/>
      <c r="V331" s="2432"/>
      <c r="W331" s="2432"/>
      <c r="X331" s="2432"/>
      <c r="Y331" s="2432"/>
      <c r="Z331" s="2432"/>
      <c r="AA331" s="2432"/>
      <c r="AB331" s="2432"/>
      <c r="AC331" s="2432"/>
      <c r="AD331" s="2433"/>
      <c r="AE331" s="450"/>
      <c r="AF331" s="450"/>
      <c r="AG331" s="439"/>
      <c r="AH331" s="450"/>
      <c r="AI331" s="450"/>
      <c r="AJ331" s="449"/>
      <c r="AK331" s="449"/>
      <c r="AL331" s="449"/>
      <c r="AM331" s="449"/>
      <c r="AN331" s="58"/>
      <c r="AO331" s="13"/>
      <c r="AP331" s="25"/>
    </row>
    <row r="332" spans="1:44" hidden="1">
      <c r="A332" s="449"/>
      <c r="B332" s="450"/>
      <c r="C332" s="626"/>
      <c r="D332" s="626"/>
      <c r="E332" s="446"/>
      <c r="F332" s="2431"/>
      <c r="G332" s="2432"/>
      <c r="H332" s="2432"/>
      <c r="I332" s="2432"/>
      <c r="J332" s="2432"/>
      <c r="K332" s="2432"/>
      <c r="L332" s="2432"/>
      <c r="M332" s="2432"/>
      <c r="N332" s="2432"/>
      <c r="O332" s="2432"/>
      <c r="P332" s="2432"/>
      <c r="Q332" s="2432"/>
      <c r="R332" s="2432"/>
      <c r="S332" s="2432"/>
      <c r="T332" s="2432"/>
      <c r="U332" s="2432"/>
      <c r="V332" s="2432"/>
      <c r="W332" s="2432"/>
      <c r="X332" s="2432"/>
      <c r="Y332" s="2432"/>
      <c r="Z332" s="2432"/>
      <c r="AA332" s="2432"/>
      <c r="AB332" s="2432"/>
      <c r="AC332" s="2432"/>
      <c r="AD332" s="2433"/>
      <c r="AE332" s="450"/>
      <c r="AF332" s="450"/>
      <c r="AG332" s="439"/>
      <c r="AH332" s="450"/>
      <c r="AI332" s="450"/>
      <c r="AJ332" s="449"/>
      <c r="AK332" s="449"/>
      <c r="AL332" s="449"/>
      <c r="AM332" s="449"/>
      <c r="AN332" s="58"/>
      <c r="AO332" s="13"/>
      <c r="AP332" s="25"/>
    </row>
    <row r="333" spans="1:44" hidden="1">
      <c r="A333" s="449"/>
      <c r="B333" s="450"/>
      <c r="C333" s="626"/>
      <c r="D333" s="626"/>
      <c r="E333" s="446"/>
      <c r="F333" s="2434"/>
      <c r="G333" s="2435"/>
      <c r="H333" s="2435"/>
      <c r="I333" s="2435"/>
      <c r="J333" s="2435"/>
      <c r="K333" s="2435"/>
      <c r="L333" s="2435"/>
      <c r="M333" s="2435"/>
      <c r="N333" s="2435"/>
      <c r="O333" s="2435"/>
      <c r="P333" s="2435"/>
      <c r="Q333" s="2435"/>
      <c r="R333" s="2435"/>
      <c r="S333" s="2435"/>
      <c r="T333" s="2435"/>
      <c r="U333" s="2435"/>
      <c r="V333" s="2435"/>
      <c r="W333" s="2435"/>
      <c r="X333" s="2435"/>
      <c r="Y333" s="2435"/>
      <c r="Z333" s="2435"/>
      <c r="AA333" s="2435"/>
      <c r="AB333" s="2435"/>
      <c r="AC333" s="2435"/>
      <c r="AD333" s="2436"/>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2300</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1016</v>
      </c>
    </row>
    <row r="337" spans="1:42" ht="12.75" hidden="1" customHeight="1">
      <c r="A337" s="449"/>
      <c r="B337" s="450"/>
      <c r="C337" s="626"/>
      <c r="D337" s="626"/>
      <c r="E337" s="446"/>
      <c r="F337" s="552"/>
      <c r="G337" s="473" t="s">
        <v>22</v>
      </c>
      <c r="H337" s="473"/>
      <c r="I337" s="2437" t="s">
        <v>1016</v>
      </c>
      <c r="J337" s="2437"/>
      <c r="K337" s="2437"/>
      <c r="L337" s="2437"/>
      <c r="M337" s="2437"/>
      <c r="N337" s="2437"/>
      <c r="O337" s="2437"/>
      <c r="P337" s="2437"/>
      <c r="Q337" s="2437"/>
      <c r="R337" s="2437"/>
      <c r="S337" s="2437"/>
      <c r="T337" s="2437"/>
      <c r="U337" s="2437"/>
      <c r="V337" s="2437"/>
      <c r="W337" s="2437"/>
      <c r="X337" s="2437"/>
      <c r="Y337" s="2437"/>
      <c r="Z337" s="2437"/>
      <c r="AA337" s="2437"/>
      <c r="AB337" s="2437"/>
      <c r="AC337" s="2437"/>
      <c r="AD337" s="2438"/>
      <c r="AE337" s="450"/>
      <c r="AF337" s="450"/>
      <c r="AG337" s="439"/>
      <c r="AH337" s="450"/>
      <c r="AI337" s="450"/>
      <c r="AJ337" s="449"/>
      <c r="AK337" s="449"/>
      <c r="AL337" s="449"/>
      <c r="AM337" s="449"/>
      <c r="AN337" s="58"/>
      <c r="AO337" s="13"/>
      <c r="AP337" s="455" t="s">
        <v>2301</v>
      </c>
    </row>
    <row r="338" spans="1:42" hidden="1">
      <c r="A338" s="449"/>
      <c r="B338" s="450"/>
      <c r="C338" s="626"/>
      <c r="D338" s="626"/>
      <c r="E338" s="446"/>
      <c r="F338" s="552"/>
      <c r="G338" s="473"/>
      <c r="H338" s="473"/>
      <c r="I338" s="2437"/>
      <c r="J338" s="2437"/>
      <c r="K338" s="2437"/>
      <c r="L338" s="2437"/>
      <c r="M338" s="2437"/>
      <c r="N338" s="2437"/>
      <c r="O338" s="2437"/>
      <c r="P338" s="2437"/>
      <c r="Q338" s="2437"/>
      <c r="R338" s="2437"/>
      <c r="S338" s="2437"/>
      <c r="T338" s="2437"/>
      <c r="U338" s="2437"/>
      <c r="V338" s="2437"/>
      <c r="W338" s="2437"/>
      <c r="X338" s="2437"/>
      <c r="Y338" s="2437"/>
      <c r="Z338" s="2437"/>
      <c r="AA338" s="2437"/>
      <c r="AB338" s="2437"/>
      <c r="AC338" s="2437"/>
      <c r="AD338" s="2438"/>
      <c r="AE338" s="450"/>
      <c r="AF338" s="450"/>
      <c r="AG338" s="439"/>
      <c r="AH338" s="450"/>
      <c r="AI338" s="450"/>
      <c r="AJ338" s="449"/>
      <c r="AK338" s="449"/>
      <c r="AL338" s="449"/>
      <c r="AM338" s="449"/>
      <c r="AN338" s="58"/>
      <c r="AO338" s="13"/>
      <c r="AP338" s="455" t="s">
        <v>2302</v>
      </c>
    </row>
    <row r="339" spans="1:42" hidden="1">
      <c r="A339" s="449"/>
      <c r="B339" s="450"/>
      <c r="C339" s="547"/>
      <c r="D339" s="547"/>
      <c r="E339" s="446"/>
      <c r="F339" s="552"/>
      <c r="G339" s="473"/>
      <c r="H339" s="473"/>
      <c r="I339" s="2437"/>
      <c r="J339" s="2437"/>
      <c r="K339" s="2437"/>
      <c r="L339" s="2437"/>
      <c r="M339" s="2437"/>
      <c r="N339" s="2437"/>
      <c r="O339" s="2437"/>
      <c r="P339" s="2437"/>
      <c r="Q339" s="2437"/>
      <c r="R339" s="2437"/>
      <c r="S339" s="2437"/>
      <c r="T339" s="2437"/>
      <c r="U339" s="2437"/>
      <c r="V339" s="2437"/>
      <c r="W339" s="2437"/>
      <c r="X339" s="2437"/>
      <c r="Y339" s="2437"/>
      <c r="Z339" s="2437"/>
      <c r="AA339" s="2437"/>
      <c r="AB339" s="2437"/>
      <c r="AC339" s="2437"/>
      <c r="AD339" s="2438"/>
      <c r="AE339" s="450"/>
      <c r="AF339" s="450"/>
      <c r="AG339" s="439"/>
      <c r="AH339" s="450"/>
      <c r="AI339" s="450"/>
      <c r="AJ339" s="449"/>
      <c r="AK339" s="449"/>
      <c r="AL339" s="449"/>
      <c r="AM339" s="449"/>
      <c r="AN339" s="58"/>
      <c r="AO339" s="13"/>
      <c r="AP339" s="455" t="s">
        <v>2303</v>
      </c>
    </row>
    <row r="340" spans="1:42" hidden="1">
      <c r="A340" s="449"/>
      <c r="B340" s="450"/>
      <c r="C340" s="547"/>
      <c r="D340" s="547"/>
      <c r="E340" s="446"/>
      <c r="F340" s="550"/>
      <c r="G340" s="450"/>
      <c r="H340" s="450"/>
      <c r="I340" s="2439"/>
      <c r="J340" s="2439"/>
      <c r="K340" s="2439"/>
      <c r="L340" s="2439"/>
      <c r="M340" s="2439"/>
      <c r="N340" s="2439"/>
      <c r="O340" s="2439"/>
      <c r="P340" s="2439"/>
      <c r="Q340" s="2439"/>
      <c r="R340" s="2439"/>
      <c r="S340" s="2439"/>
      <c r="T340" s="2439"/>
      <c r="U340" s="2439"/>
      <c r="V340" s="2439"/>
      <c r="W340" s="2439"/>
      <c r="X340" s="2439"/>
      <c r="Y340" s="2439"/>
      <c r="Z340" s="2439"/>
      <c r="AA340" s="2439"/>
      <c r="AB340" s="2439"/>
      <c r="AC340" s="2439"/>
      <c r="AD340" s="2440"/>
      <c r="AE340" s="450"/>
      <c r="AF340" s="450"/>
      <c r="AG340" s="439"/>
      <c r="AH340" s="450"/>
      <c r="AI340" s="450"/>
      <c r="AJ340" s="449"/>
      <c r="AK340" s="449"/>
      <c r="AL340" s="449"/>
      <c r="AM340" s="449"/>
      <c r="AN340" s="58"/>
      <c r="AO340" s="13"/>
      <c r="AP340" s="455" t="s">
        <v>2304</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37" t="s">
        <v>1016</v>
      </c>
      <c r="J342" s="2437"/>
      <c r="K342" s="2437"/>
      <c r="L342" s="2437"/>
      <c r="M342" s="2437"/>
      <c r="N342" s="2437"/>
      <c r="O342" s="2437"/>
      <c r="P342" s="2437"/>
      <c r="Q342" s="2437"/>
      <c r="R342" s="2437"/>
      <c r="S342" s="2437"/>
      <c r="T342" s="2437"/>
      <c r="U342" s="2437"/>
      <c r="V342" s="2437"/>
      <c r="W342" s="2437"/>
      <c r="X342" s="2437"/>
      <c r="Y342" s="2437"/>
      <c r="Z342" s="2437"/>
      <c r="AA342" s="2437"/>
      <c r="AB342" s="2437"/>
      <c r="AC342" s="2437"/>
      <c r="AD342" s="2438"/>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8"/>
      <c r="AE343" s="450"/>
      <c r="AF343" s="450"/>
      <c r="AG343" s="439"/>
      <c r="AH343" s="450"/>
      <c r="AI343" s="450"/>
      <c r="AJ343" s="449"/>
      <c r="AK343" s="449"/>
      <c r="AL343" s="449"/>
      <c r="AM343" s="449"/>
      <c r="AN343" s="58"/>
      <c r="AO343" s="13"/>
      <c r="AP343" s="455" t="s">
        <v>1016</v>
      </c>
    </row>
    <row r="344" spans="1:42" hidden="1">
      <c r="A344" s="449"/>
      <c r="B344" s="450"/>
      <c r="C344" s="547"/>
      <c r="D344" s="547"/>
      <c r="E344" s="446"/>
      <c r="F344" s="553"/>
      <c r="G344" s="554"/>
      <c r="H344" s="554"/>
      <c r="I344" s="2439"/>
      <c r="J344" s="2439"/>
      <c r="K344" s="2439"/>
      <c r="L344" s="2439"/>
      <c r="M344" s="2439"/>
      <c r="N344" s="2439"/>
      <c r="O344" s="2439"/>
      <c r="P344" s="2439"/>
      <c r="Q344" s="2439"/>
      <c r="R344" s="2439"/>
      <c r="S344" s="2439"/>
      <c r="T344" s="2439"/>
      <c r="U344" s="2439"/>
      <c r="V344" s="2439"/>
      <c r="W344" s="2439"/>
      <c r="X344" s="2439"/>
      <c r="Y344" s="2439"/>
      <c r="Z344" s="2439"/>
      <c r="AA344" s="2439"/>
      <c r="AB344" s="2439"/>
      <c r="AC344" s="2439"/>
      <c r="AD344" s="2440"/>
      <c r="AE344" s="450"/>
      <c r="AF344" s="450"/>
      <c r="AG344" s="439"/>
      <c r="AH344" s="450"/>
      <c r="AI344" s="450"/>
      <c r="AJ344" s="449"/>
      <c r="AK344" s="449"/>
      <c r="AL344" s="449"/>
      <c r="AM344" s="449"/>
      <c r="AN344" s="58"/>
      <c r="AO344" s="13"/>
      <c r="AP344" s="455" t="s">
        <v>2305</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2306</v>
      </c>
    </row>
    <row r="346" spans="1:42" ht="12.75" hidden="1" customHeight="1">
      <c r="A346" s="1309" t="s">
        <v>2307</v>
      </c>
      <c r="B346" s="1309"/>
      <c r="C346" s="2402" t="s">
        <v>826</v>
      </c>
      <c r="D346" s="2402"/>
      <c r="E346" s="446"/>
      <c r="F346" s="2335" t="s">
        <v>2308</v>
      </c>
      <c r="G346" s="2336"/>
      <c r="H346" s="2336"/>
      <c r="I346" s="2336"/>
      <c r="J346" s="2336"/>
      <c r="K346" s="2336"/>
      <c r="L346" s="2336"/>
      <c r="M346" s="2336"/>
      <c r="N346" s="2336"/>
      <c r="O346" s="2336"/>
      <c r="P346" s="2336"/>
      <c r="Q346" s="2336"/>
      <c r="R346" s="2336"/>
      <c r="S346" s="2336"/>
      <c r="T346" s="2336"/>
      <c r="U346" s="2336"/>
      <c r="V346" s="2336"/>
      <c r="W346" s="2336"/>
      <c r="X346" s="2336"/>
      <c r="Y346" s="2336"/>
      <c r="Z346" s="2336"/>
      <c r="AA346" s="2336"/>
      <c r="AB346" s="2336"/>
      <c r="AC346" s="2336"/>
      <c r="AD346" s="2337"/>
      <c r="AE346" s="450"/>
      <c r="AF346" s="450"/>
      <c r="AG346" s="439" t="s">
        <v>2291</v>
      </c>
      <c r="AH346" s="450"/>
      <c r="AI346" s="450"/>
      <c r="AJ346" s="449"/>
      <c r="AK346" s="449"/>
      <c r="AL346" s="449"/>
      <c r="AM346" s="449"/>
      <c r="AN346" s="58"/>
      <c r="AO346" s="13"/>
    </row>
    <row r="347" spans="1:42" ht="15" hidden="1" customHeight="1">
      <c r="A347" s="449"/>
      <c r="B347" s="450"/>
      <c r="C347" s="450"/>
      <c r="D347" s="450"/>
      <c r="E347" s="450"/>
      <c r="F347" s="2364"/>
      <c r="G347" s="2365"/>
      <c r="H347" s="2365"/>
      <c r="I347" s="2365"/>
      <c r="J347" s="2365"/>
      <c r="K347" s="2365"/>
      <c r="L347" s="2365"/>
      <c r="M347" s="2365"/>
      <c r="N347" s="2365"/>
      <c r="O347" s="2365"/>
      <c r="P347" s="2365"/>
      <c r="Q347" s="2365"/>
      <c r="R347" s="2365"/>
      <c r="S347" s="2365"/>
      <c r="T347" s="2365"/>
      <c r="U347" s="2365"/>
      <c r="V347" s="2365"/>
      <c r="W347" s="2365"/>
      <c r="X347" s="2365"/>
      <c r="Y347" s="2365"/>
      <c r="Z347" s="2365"/>
      <c r="AA347" s="2365"/>
      <c r="AB347" s="2365"/>
      <c r="AC347" s="2365"/>
      <c r="AD347" s="2366"/>
      <c r="AE347" s="450"/>
      <c r="AF347" s="450"/>
      <c r="AG347" s="450"/>
      <c r="AH347" s="450"/>
      <c r="AI347" s="450"/>
      <c r="AJ347" s="449"/>
      <c r="AK347" s="449"/>
      <c r="AL347" s="449"/>
      <c r="AM347" s="449"/>
      <c r="AN347" s="58"/>
      <c r="AO347" s="13"/>
    </row>
    <row r="348" spans="1:42" ht="15" hidden="1" customHeight="1">
      <c r="A348" s="449"/>
      <c r="B348" s="450"/>
      <c r="C348" s="450"/>
      <c r="D348" s="450"/>
      <c r="E348" s="450"/>
      <c r="F348" s="2364"/>
      <c r="G348" s="2365"/>
      <c r="H348" s="2365"/>
      <c r="I348" s="2365"/>
      <c r="J348" s="2365"/>
      <c r="K348" s="2365"/>
      <c r="L348" s="2365"/>
      <c r="M348" s="2365"/>
      <c r="N348" s="2365"/>
      <c r="O348" s="2365"/>
      <c r="P348" s="2365"/>
      <c r="Q348" s="2365"/>
      <c r="R348" s="2365"/>
      <c r="S348" s="2365"/>
      <c r="T348" s="2365"/>
      <c r="U348" s="2365"/>
      <c r="V348" s="2365"/>
      <c r="W348" s="2365"/>
      <c r="X348" s="2365"/>
      <c r="Y348" s="2365"/>
      <c r="Z348" s="2365"/>
      <c r="AA348" s="2365"/>
      <c r="AB348" s="2365"/>
      <c r="AC348" s="2365"/>
      <c r="AD348" s="2366"/>
      <c r="AE348" s="450"/>
      <c r="AF348" s="450"/>
      <c r="AG348" s="450"/>
      <c r="AH348" s="450"/>
      <c r="AI348" s="450"/>
      <c r="AJ348" s="449"/>
      <c r="AK348" s="449"/>
      <c r="AL348" s="449"/>
      <c r="AM348" s="555"/>
      <c r="AN348" s="13"/>
      <c r="AO348" s="13"/>
    </row>
    <row r="349" spans="1:42" hidden="1">
      <c r="A349" s="449"/>
      <c r="B349" s="450"/>
      <c r="C349" s="449"/>
      <c r="D349" s="450"/>
      <c r="E349" s="449"/>
      <c r="F349" s="556" t="s">
        <v>2309</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2310</v>
      </c>
      <c r="AK351" s="2405">
        <f>IF(NOT(OR(Application!M364="Yes",Application!M365="Yes")),0,AP308)</f>
        <v>0</v>
      </c>
      <c r="AL351" s="2406"/>
      <c r="AM351" s="2407"/>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2311</v>
      </c>
      <c r="B354" s="439" t="s">
        <v>2312</v>
      </c>
      <c r="C354" s="436"/>
      <c r="AC354" s="439"/>
      <c r="AE354" s="2347" t="s">
        <v>2142</v>
      </c>
      <c r="AF354" s="2347"/>
      <c r="AG354" s="2347"/>
      <c r="AH354" s="2347"/>
      <c r="AI354" s="2347"/>
      <c r="AJ354" s="2347"/>
      <c r="AK354" s="2347"/>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41" t="s">
        <v>2313</v>
      </c>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501"/>
      <c r="AL356" s="501"/>
      <c r="AM356" s="501"/>
      <c r="AN356" s="495"/>
    </row>
    <row r="357" spans="1:44" s="449" customFormat="1" ht="12.75" customHeight="1">
      <c r="A357" s="501"/>
      <c r="B357" s="509"/>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501"/>
      <c r="AL357" s="501"/>
      <c r="AM357" s="501"/>
      <c r="AN357" s="495"/>
    </row>
    <row r="358" spans="1:44" s="449" customFormat="1" ht="12.75" customHeight="1">
      <c r="A358" s="501"/>
      <c r="B358" s="509"/>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501"/>
      <c r="AL358" s="501"/>
      <c r="AM358" s="501"/>
      <c r="AN358" s="495"/>
      <c r="AQ358" s="468"/>
    </row>
    <row r="359" spans="1:44" s="449" customFormat="1" ht="12.75" customHeight="1">
      <c r="A359" s="501"/>
      <c r="B359" s="509"/>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501"/>
      <c r="AL359" s="501"/>
      <c r="AM359" s="501"/>
      <c r="AN359" s="495"/>
      <c r="AQ359" s="468"/>
    </row>
    <row r="360" spans="1:44" s="449" customFormat="1" ht="12.4" customHeight="1">
      <c r="A360" s="501"/>
      <c r="B360" s="509"/>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501"/>
      <c r="AL360" s="501"/>
      <c r="AM360" s="501"/>
      <c r="AN360" s="495"/>
      <c r="AQ360" s="468"/>
      <c r="AR360" s="468"/>
    </row>
    <row r="361" spans="1:44" s="449" customFormat="1" ht="45.75" customHeight="1">
      <c r="A361" s="501"/>
      <c r="B361" s="509"/>
      <c r="C361" s="2441" t="s">
        <v>2314</v>
      </c>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41" t="s">
        <v>2315</v>
      </c>
      <c r="D363" s="2441"/>
      <c r="E363" s="2441"/>
      <c r="F363" s="2441"/>
      <c r="G363" s="2441"/>
      <c r="H363" s="2441"/>
      <c r="I363" s="2441"/>
      <c r="J363" s="2441"/>
      <c r="K363" s="2441"/>
      <c r="L363" s="2441"/>
      <c r="M363" s="2441"/>
      <c r="N363" s="2441"/>
      <c r="O363" s="2441"/>
      <c r="P363" s="2441"/>
      <c r="Q363" s="2441"/>
      <c r="R363" s="2441"/>
      <c r="S363" s="2441"/>
      <c r="T363" s="2441"/>
      <c r="U363" s="2441"/>
      <c r="V363" s="2441"/>
      <c r="W363" s="2441"/>
      <c r="X363" s="2441"/>
      <c r="Y363" s="2441"/>
      <c r="Z363" s="2441"/>
      <c r="AA363" s="2441"/>
      <c r="AB363" s="2441"/>
      <c r="AC363" s="2441"/>
      <c r="AD363" s="2441"/>
      <c r="AE363" s="2441"/>
      <c r="AF363" s="2441"/>
      <c r="AG363" s="2441"/>
      <c r="AH363" s="2441"/>
      <c r="AI363" s="2441"/>
      <c r="AJ363" s="2441"/>
      <c r="AK363" s="501"/>
      <c r="AL363" s="501"/>
      <c r="AM363" s="501"/>
      <c r="AN363" s="495"/>
      <c r="AQ363" s="468"/>
      <c r="AR363" s="468"/>
    </row>
    <row r="364" spans="1:44" s="449" customFormat="1" ht="30" customHeight="1">
      <c r="A364" s="501"/>
      <c r="B364" s="509"/>
      <c r="C364" s="2441"/>
      <c r="D364" s="2441"/>
      <c r="E364" s="2441"/>
      <c r="F364" s="2441"/>
      <c r="G364" s="2441"/>
      <c r="H364" s="2441"/>
      <c r="I364" s="2441"/>
      <c r="J364" s="2441"/>
      <c r="K364" s="2441"/>
      <c r="L364" s="2441"/>
      <c r="M364" s="2441"/>
      <c r="N364" s="2441"/>
      <c r="O364" s="2441"/>
      <c r="P364" s="2441"/>
      <c r="Q364" s="2441"/>
      <c r="R364" s="2441"/>
      <c r="S364" s="2441"/>
      <c r="T364" s="2441"/>
      <c r="U364" s="2441"/>
      <c r="V364" s="2441"/>
      <c r="W364" s="2441"/>
      <c r="X364" s="2441"/>
      <c r="Y364" s="2441"/>
      <c r="Z364" s="2441"/>
      <c r="AA364" s="2441"/>
      <c r="AB364" s="2441"/>
      <c r="AC364" s="2441"/>
      <c r="AD364" s="2441"/>
      <c r="AE364" s="2441"/>
      <c r="AF364" s="2441"/>
      <c r="AG364" s="2441"/>
      <c r="AH364" s="2441"/>
      <c r="AI364" s="2441"/>
      <c r="AJ364" s="2441"/>
      <c r="AK364" s="501"/>
      <c r="AL364" s="501"/>
      <c r="AM364" s="501"/>
      <c r="AN364" s="495"/>
      <c r="AR364" s="468"/>
    </row>
    <row r="365" spans="1:44" s="449" customFormat="1" ht="12.75" customHeight="1">
      <c r="A365" s="501"/>
      <c r="B365" s="509"/>
      <c r="C365" s="2441"/>
      <c r="D365" s="2441"/>
      <c r="E365" s="2441"/>
      <c r="F365" s="2441"/>
      <c r="G365" s="2441"/>
      <c r="H365" s="2441"/>
      <c r="I365" s="2441"/>
      <c r="J365" s="2441"/>
      <c r="K365" s="2441"/>
      <c r="L365" s="2441"/>
      <c r="M365" s="2441"/>
      <c r="N365" s="2441"/>
      <c r="O365" s="2441"/>
      <c r="P365" s="2441"/>
      <c r="Q365" s="2441"/>
      <c r="R365" s="2441"/>
      <c r="S365" s="2441"/>
      <c r="T365" s="2441"/>
      <c r="U365" s="2441"/>
      <c r="V365" s="2441"/>
      <c r="W365" s="2441"/>
      <c r="X365" s="2441"/>
      <c r="Y365" s="2441"/>
      <c r="Z365" s="2441"/>
      <c r="AA365" s="2441"/>
      <c r="AB365" s="2441"/>
      <c r="AC365" s="2441"/>
      <c r="AD365" s="2441"/>
      <c r="AE365" s="2441"/>
      <c r="AF365" s="2441"/>
      <c r="AG365" s="2441"/>
      <c r="AH365" s="2441"/>
      <c r="AI365" s="2441"/>
      <c r="AJ365" s="2441"/>
      <c r="AK365" s="501"/>
      <c r="AL365" s="501"/>
      <c r="AM365" s="501"/>
      <c r="AN365" s="495"/>
      <c r="AR365" s="468"/>
    </row>
    <row r="366" spans="1:44" s="449" customFormat="1" ht="12.75" customHeight="1">
      <c r="A366" s="501"/>
      <c r="B366" s="509"/>
      <c r="C366" s="2441" t="s">
        <v>2316</v>
      </c>
      <c r="D366" s="2441"/>
      <c r="E366" s="2441"/>
      <c r="F366" s="2441"/>
      <c r="G366" s="2441"/>
      <c r="H366" s="2441"/>
      <c r="I366" s="2441"/>
      <c r="J366" s="2441"/>
      <c r="K366" s="2441"/>
      <c r="L366" s="2441"/>
      <c r="M366" s="2441"/>
      <c r="N366" s="2441"/>
      <c r="O366" s="2441"/>
      <c r="P366" s="2441"/>
      <c r="Q366" s="2441"/>
      <c r="R366" s="2441"/>
      <c r="S366" s="2441"/>
      <c r="T366" s="2441"/>
      <c r="U366" s="2441"/>
      <c r="V366" s="2441"/>
      <c r="W366" s="2441"/>
      <c r="X366" s="2441"/>
      <c r="Y366" s="2441"/>
      <c r="Z366" s="2441"/>
      <c r="AA366" s="2441"/>
      <c r="AB366" s="2441"/>
      <c r="AC366" s="2441"/>
      <c r="AD366" s="2441"/>
      <c r="AE366" s="2441"/>
      <c r="AF366" s="2441"/>
      <c r="AG366" s="2441"/>
      <c r="AH366" s="2441"/>
      <c r="AI366" s="2441"/>
      <c r="AJ366" s="2441"/>
      <c r="AK366" s="501"/>
      <c r="AL366" s="501"/>
      <c r="AM366" s="501"/>
      <c r="AN366" s="495"/>
      <c r="AQ366" s="468"/>
      <c r="AR366" s="468"/>
    </row>
    <row r="367" spans="1:44" s="449" customFormat="1" ht="12.75" customHeight="1">
      <c r="A367" s="501"/>
      <c r="B367" s="509"/>
      <c r="C367" s="2441"/>
      <c r="D367" s="2441"/>
      <c r="E367" s="2441"/>
      <c r="F367" s="2441"/>
      <c r="G367" s="2441"/>
      <c r="H367" s="2441"/>
      <c r="I367" s="2441"/>
      <c r="J367" s="2441"/>
      <c r="K367" s="2441"/>
      <c r="L367" s="2441"/>
      <c r="M367" s="2441"/>
      <c r="N367" s="2441"/>
      <c r="O367" s="2441"/>
      <c r="P367" s="2441"/>
      <c r="Q367" s="2441"/>
      <c r="R367" s="2441"/>
      <c r="S367" s="2441"/>
      <c r="T367" s="2441"/>
      <c r="U367" s="2441"/>
      <c r="V367" s="2441"/>
      <c r="W367" s="2441"/>
      <c r="X367" s="2441"/>
      <c r="Y367" s="2441"/>
      <c r="Z367" s="2441"/>
      <c r="AA367" s="2441"/>
      <c r="AB367" s="2441"/>
      <c r="AC367" s="2441"/>
      <c r="AD367" s="2441"/>
      <c r="AE367" s="2441"/>
      <c r="AF367" s="2441"/>
      <c r="AG367" s="2441"/>
      <c r="AH367" s="2441"/>
      <c r="AI367" s="2441"/>
      <c r="AJ367" s="2441"/>
      <c r="AK367" s="501"/>
      <c r="AL367" s="501"/>
      <c r="AM367" s="501"/>
      <c r="AN367" s="495"/>
      <c r="AQ367" s="468"/>
      <c r="AR367" s="468"/>
    </row>
    <row r="368" spans="1:44" s="449" customFormat="1" ht="13.15" customHeight="1">
      <c r="A368" s="501"/>
      <c r="B368" s="509"/>
      <c r="C368" s="2441"/>
      <c r="D368" s="2441"/>
      <c r="E368" s="2441"/>
      <c r="F368" s="2441"/>
      <c r="G368" s="2441"/>
      <c r="H368" s="2441"/>
      <c r="I368" s="2441"/>
      <c r="J368" s="2441"/>
      <c r="K368" s="2441"/>
      <c r="L368" s="2441"/>
      <c r="M368" s="2441"/>
      <c r="N368" s="2441"/>
      <c r="O368" s="2441"/>
      <c r="P368" s="2441"/>
      <c r="Q368" s="2441"/>
      <c r="R368" s="2441"/>
      <c r="S368" s="2441"/>
      <c r="T368" s="2441"/>
      <c r="U368" s="2441"/>
      <c r="V368" s="2441"/>
      <c r="W368" s="2441"/>
      <c r="X368" s="2441"/>
      <c r="Y368" s="2441"/>
      <c r="Z368" s="2441"/>
      <c r="AA368" s="2441"/>
      <c r="AB368" s="2441"/>
      <c r="AC368" s="2441"/>
      <c r="AD368" s="2441"/>
      <c r="AE368" s="2441"/>
      <c r="AF368" s="2441"/>
      <c r="AG368" s="2441"/>
      <c r="AH368" s="2441"/>
      <c r="AI368" s="2441"/>
      <c r="AJ368" s="2441"/>
      <c r="AK368" s="501"/>
      <c r="AL368" s="501"/>
      <c r="AM368" s="501"/>
      <c r="AN368" s="495"/>
      <c r="AQ368" s="468"/>
      <c r="AR368" s="468"/>
    </row>
    <row r="369" spans="1:46" s="449" customFormat="1" ht="12.75" customHeight="1">
      <c r="A369" s="501"/>
      <c r="B369" s="509"/>
      <c r="C369" s="2441"/>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501"/>
      <c r="AL369" s="501"/>
      <c r="AM369" s="501"/>
      <c r="AN369" s="495"/>
      <c r="AO369" s="590"/>
      <c r="AP369" s="590"/>
      <c r="AQ369" s="468"/>
    </row>
    <row r="370" spans="1:46" s="449" customFormat="1" ht="11.85" customHeight="1">
      <c r="A370" s="501"/>
      <c r="B370" s="509"/>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501"/>
      <c r="AL370" s="501"/>
      <c r="AM370" s="501"/>
      <c r="AN370" s="495"/>
      <c r="AO370" s="591" t="s">
        <v>18</v>
      </c>
      <c r="AP370" s="592">
        <f>IF(C394="Yes",5,0)</f>
        <v>0</v>
      </c>
      <c r="AS370" s="439" t="s">
        <v>2317</v>
      </c>
    </row>
    <row r="371" spans="1:46" s="449" customFormat="1" ht="12.75" customHeight="1">
      <c r="A371" s="501"/>
      <c r="B371" s="509"/>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501"/>
      <c r="AL371" s="501"/>
      <c r="AM371" s="501"/>
      <c r="AN371" s="495"/>
      <c r="AO371" s="591" t="s">
        <v>31</v>
      </c>
      <c r="AP371" s="592">
        <f>IF(C402="Yes",5,0)</f>
        <v>0</v>
      </c>
      <c r="AS371" s="2471">
        <f>IF(Application!D211="Non-Targeted",(SUM(AQ379+AQ388)),AS375)</f>
        <v>10</v>
      </c>
      <c r="AT371" s="2471"/>
    </row>
    <row r="372" spans="1:46" s="449" customFormat="1" ht="12.75" customHeight="1">
      <c r="A372" s="501"/>
      <c r="B372" s="509"/>
      <c r="C372" s="2441"/>
      <c r="D372" s="2441"/>
      <c r="E372" s="2441"/>
      <c r="F372" s="2441"/>
      <c r="G372" s="2441"/>
      <c r="H372" s="2441"/>
      <c r="I372" s="2441"/>
      <c r="J372" s="2441"/>
      <c r="K372" s="2441"/>
      <c r="L372" s="2441"/>
      <c r="M372" s="2441"/>
      <c r="N372" s="2441"/>
      <c r="O372" s="2441"/>
      <c r="P372" s="2441"/>
      <c r="Q372" s="2441"/>
      <c r="R372" s="2441"/>
      <c r="S372" s="2441"/>
      <c r="T372" s="2441"/>
      <c r="U372" s="2441"/>
      <c r="V372" s="2441"/>
      <c r="W372" s="2441"/>
      <c r="X372" s="2441"/>
      <c r="Y372" s="2441"/>
      <c r="Z372" s="2441"/>
      <c r="AA372" s="2441"/>
      <c r="AB372" s="2441"/>
      <c r="AC372" s="2441"/>
      <c r="AD372" s="2441"/>
      <c r="AE372" s="2441"/>
      <c r="AF372" s="2441"/>
      <c r="AG372" s="2441"/>
      <c r="AH372" s="2441"/>
      <c r="AI372" s="2441"/>
      <c r="AJ372" s="2441"/>
      <c r="AK372" s="501"/>
      <c r="AL372" s="501"/>
      <c r="AM372" s="501"/>
      <c r="AN372" s="495"/>
      <c r="AO372" s="591" t="s">
        <v>39</v>
      </c>
      <c r="AP372" s="592">
        <f>IF(C410="Yes",7,0)</f>
        <v>7</v>
      </c>
      <c r="AS372" s="439" t="s">
        <v>2318</v>
      </c>
    </row>
    <row r="373" spans="1:46" s="449" customFormat="1" ht="12.75" customHeight="1">
      <c r="B373" s="509"/>
      <c r="C373" s="2441"/>
      <c r="D373" s="2441"/>
      <c r="E373" s="2441"/>
      <c r="F373" s="2441"/>
      <c r="G373" s="2441"/>
      <c r="H373" s="2441"/>
      <c r="I373" s="2441"/>
      <c r="J373" s="2441"/>
      <c r="K373" s="2441"/>
      <c r="L373" s="2441"/>
      <c r="M373" s="2441"/>
      <c r="N373" s="2441"/>
      <c r="O373" s="2441"/>
      <c r="P373" s="2441"/>
      <c r="Q373" s="2441"/>
      <c r="R373" s="2441"/>
      <c r="S373" s="2441"/>
      <c r="T373" s="2441"/>
      <c r="U373" s="2441"/>
      <c r="V373" s="2441"/>
      <c r="W373" s="2441"/>
      <c r="X373" s="2441"/>
      <c r="Y373" s="2441"/>
      <c r="Z373" s="2441"/>
      <c r="AA373" s="2441"/>
      <c r="AB373" s="2441"/>
      <c r="AC373" s="2441"/>
      <c r="AD373" s="2441"/>
      <c r="AE373" s="2441"/>
      <c r="AF373" s="2441"/>
      <c r="AG373" s="2441"/>
      <c r="AH373" s="2441"/>
      <c r="AI373" s="2441"/>
      <c r="AJ373" s="2441"/>
      <c r="AK373" s="501"/>
      <c r="AL373" s="501"/>
      <c r="AM373" s="501"/>
      <c r="AN373" s="495"/>
      <c r="AO373" s="495"/>
      <c r="AP373" s="592">
        <f>IF(C412="Yes",5,0)</f>
        <v>0</v>
      </c>
      <c r="AS373" s="2471">
        <f>IF(AND(AQ379&gt;0,AQ388&gt;0),(AQ379+AQ388)/2,0)</f>
        <v>0</v>
      </c>
      <c r="AT373" s="2471"/>
    </row>
    <row r="374" spans="1:46" s="449" customFormat="1" ht="12.75" customHeight="1">
      <c r="A374" s="501"/>
      <c r="B374" s="509"/>
      <c r="C374" s="2441"/>
      <c r="D374" s="2441"/>
      <c r="E374" s="2441"/>
      <c r="F374" s="2441"/>
      <c r="G374" s="2441"/>
      <c r="H374" s="2441"/>
      <c r="I374" s="2441"/>
      <c r="J374" s="2441"/>
      <c r="K374" s="2441"/>
      <c r="L374" s="2441"/>
      <c r="M374" s="2441"/>
      <c r="N374" s="2441"/>
      <c r="O374" s="2441"/>
      <c r="P374" s="2441"/>
      <c r="Q374" s="2441"/>
      <c r="R374" s="2441"/>
      <c r="S374" s="2441"/>
      <c r="T374" s="2441"/>
      <c r="U374" s="2441"/>
      <c r="V374" s="2441"/>
      <c r="W374" s="2441"/>
      <c r="X374" s="2441"/>
      <c r="Y374" s="2441"/>
      <c r="Z374" s="2441"/>
      <c r="AA374" s="2441"/>
      <c r="AB374" s="2441"/>
      <c r="AC374" s="2441"/>
      <c r="AD374" s="2441"/>
      <c r="AE374" s="2441"/>
      <c r="AF374" s="2441"/>
      <c r="AG374" s="2441"/>
      <c r="AH374" s="2441"/>
      <c r="AI374" s="2441"/>
      <c r="AJ374" s="2441"/>
      <c r="AK374" s="501"/>
      <c r="AL374" s="501"/>
      <c r="AM374" s="501"/>
      <c r="AN374" s="495"/>
      <c r="AO374" s="591" t="s">
        <v>82</v>
      </c>
      <c r="AP374" s="592">
        <f>IF(C420="Yes",5,0)</f>
        <v>0</v>
      </c>
      <c r="AS374" s="439" t="s">
        <v>2319</v>
      </c>
    </row>
    <row r="375" spans="1:46" s="449" customFormat="1" ht="12.75" customHeight="1">
      <c r="A375" s="501"/>
      <c r="B375" s="509"/>
      <c r="C375" s="2472" t="s">
        <v>2320</v>
      </c>
      <c r="D375" s="2472"/>
      <c r="E375" s="2472"/>
      <c r="F375" s="2472"/>
      <c r="G375" s="2472"/>
      <c r="H375" s="2472"/>
      <c r="I375" s="2472"/>
      <c r="J375" s="2472"/>
      <c r="K375" s="2472"/>
      <c r="L375" s="2472"/>
      <c r="M375" s="2472"/>
      <c r="N375" s="2472"/>
      <c r="O375" s="2472"/>
      <c r="P375" s="2472"/>
      <c r="Q375" s="2472"/>
      <c r="R375" s="2472"/>
      <c r="S375" s="2472"/>
      <c r="T375" s="2472"/>
      <c r="U375" s="2472"/>
      <c r="V375" s="2472"/>
      <c r="W375" s="2472"/>
      <c r="X375" s="2472"/>
      <c r="Y375" s="2472"/>
      <c r="Z375" s="2472"/>
      <c r="AA375" s="2472"/>
      <c r="AB375" s="2472"/>
      <c r="AC375" s="2472"/>
      <c r="AD375" s="2472"/>
      <c r="AE375" s="2472"/>
      <c r="AF375" s="2472"/>
      <c r="AG375" s="2472"/>
      <c r="AH375" s="2472"/>
      <c r="AI375" s="2472"/>
      <c r="AJ375" s="2472"/>
      <c r="AK375" s="501"/>
      <c r="AL375" s="501"/>
      <c r="AM375" s="501"/>
      <c r="AN375" s="495"/>
      <c r="AO375" s="495"/>
      <c r="AP375" s="592">
        <f>IF(C422="Yes",3,0)</f>
        <v>0</v>
      </c>
      <c r="AS375" s="2471">
        <f>IF(AQ379=0,AQ388,AQ379)</f>
        <v>10</v>
      </c>
      <c r="AT375" s="2471"/>
    </row>
    <row r="376" spans="1:46" s="449" customFormat="1" ht="12.75" customHeight="1">
      <c r="A376" s="501"/>
      <c r="B376" s="509"/>
      <c r="C376" s="2472"/>
      <c r="D376" s="2472"/>
      <c r="E376" s="2472"/>
      <c r="F376" s="2472"/>
      <c r="G376" s="2472"/>
      <c r="H376" s="2472"/>
      <c r="I376" s="2472"/>
      <c r="J376" s="2472"/>
      <c r="K376" s="2472"/>
      <c r="L376" s="2472"/>
      <c r="M376" s="2472"/>
      <c r="N376" s="2472"/>
      <c r="O376" s="2472"/>
      <c r="P376" s="2472"/>
      <c r="Q376" s="2472"/>
      <c r="R376" s="2472"/>
      <c r="S376" s="2472"/>
      <c r="T376" s="2472"/>
      <c r="U376" s="2472"/>
      <c r="V376" s="2472"/>
      <c r="W376" s="2472"/>
      <c r="X376" s="2472"/>
      <c r="Y376" s="2472"/>
      <c r="Z376" s="2472"/>
      <c r="AA376" s="2472"/>
      <c r="AB376" s="2472"/>
      <c r="AC376" s="2472"/>
      <c r="AD376" s="2472"/>
      <c r="AE376" s="2472"/>
      <c r="AF376" s="2472"/>
      <c r="AG376" s="2472"/>
      <c r="AH376" s="2472"/>
      <c r="AI376" s="2472"/>
      <c r="AJ376" s="2472"/>
      <c r="AK376" s="501"/>
      <c r="AL376" s="501"/>
      <c r="AM376" s="501"/>
      <c r="AN376" s="495"/>
      <c r="AO376" s="591" t="s">
        <v>86</v>
      </c>
      <c r="AP376" s="592">
        <f>IF(C425="Yes",5,0)</f>
        <v>0</v>
      </c>
    </row>
    <row r="377" spans="1:46" s="449" customFormat="1" ht="12.75" customHeight="1">
      <c r="A377" s="501"/>
      <c r="B377" s="509"/>
      <c r="C377" s="2472"/>
      <c r="D377" s="2472"/>
      <c r="E377" s="2472"/>
      <c r="F377" s="2472"/>
      <c r="G377" s="2472"/>
      <c r="H377" s="2472"/>
      <c r="I377" s="2472"/>
      <c r="J377" s="2472"/>
      <c r="K377" s="2472"/>
      <c r="L377" s="2472"/>
      <c r="M377" s="2472"/>
      <c r="N377" s="2472"/>
      <c r="O377" s="2472"/>
      <c r="P377" s="2472"/>
      <c r="Q377" s="2472"/>
      <c r="R377" s="2472"/>
      <c r="S377" s="2472"/>
      <c r="T377" s="2472"/>
      <c r="U377" s="2472"/>
      <c r="V377" s="2472"/>
      <c r="W377" s="2472"/>
      <c r="X377" s="2472"/>
      <c r="Y377" s="2472"/>
      <c r="Z377" s="2472"/>
      <c r="AA377" s="2472"/>
      <c r="AB377" s="2472"/>
      <c r="AC377" s="2472"/>
      <c r="AD377" s="2472"/>
      <c r="AE377" s="2472"/>
      <c r="AF377" s="2472"/>
      <c r="AG377" s="2472"/>
      <c r="AH377" s="2472"/>
      <c r="AI377" s="2472"/>
      <c r="AJ377" s="2472"/>
      <c r="AK377" s="501"/>
      <c r="AL377" s="501"/>
      <c r="AM377" s="501"/>
      <c r="AN377" s="495"/>
      <c r="AO377" s="591" t="s">
        <v>1397</v>
      </c>
      <c r="AP377" s="592">
        <f>IF(C434="Yes",5,0)</f>
        <v>0</v>
      </c>
    </row>
    <row r="378" spans="1:46" s="449" customFormat="1" ht="11.85" customHeight="1">
      <c r="A378" s="501"/>
      <c r="B378" s="509"/>
      <c r="C378" s="2472"/>
      <c r="D378" s="2472"/>
      <c r="E378" s="2472"/>
      <c r="F378" s="2472"/>
      <c r="G378" s="2472"/>
      <c r="H378" s="2472"/>
      <c r="I378" s="2472"/>
      <c r="J378" s="2472"/>
      <c r="K378" s="2472"/>
      <c r="L378" s="2472"/>
      <c r="M378" s="2472"/>
      <c r="N378" s="2472"/>
      <c r="O378" s="2472"/>
      <c r="P378" s="2472"/>
      <c r="Q378" s="2472"/>
      <c r="R378" s="2472"/>
      <c r="S378" s="2472"/>
      <c r="T378" s="2472"/>
      <c r="U378" s="2472"/>
      <c r="V378" s="2472"/>
      <c r="W378" s="2472"/>
      <c r="X378" s="2472"/>
      <c r="Y378" s="2472"/>
      <c r="Z378" s="2472"/>
      <c r="AA378" s="2472"/>
      <c r="AB378" s="2472"/>
      <c r="AC378" s="2472"/>
      <c r="AD378" s="2472"/>
      <c r="AE378" s="2472"/>
      <c r="AF378" s="2472"/>
      <c r="AG378" s="2472"/>
      <c r="AH378" s="2472"/>
      <c r="AI378" s="2472"/>
      <c r="AJ378" s="2472"/>
      <c r="AK378" s="501"/>
      <c r="AL378" s="501"/>
      <c r="AM378" s="501"/>
      <c r="AN378" s="495"/>
      <c r="AO378" s="593"/>
      <c r="AP378" s="594">
        <f>IF(C436="Yes",3,0)</f>
        <v>3</v>
      </c>
    </row>
    <row r="379" spans="1:46" s="449" customFormat="1" ht="12.4" customHeight="1">
      <c r="A379" s="501"/>
      <c r="B379" s="509"/>
      <c r="C379" s="2472"/>
      <c r="D379" s="2472"/>
      <c r="E379" s="2472"/>
      <c r="F379" s="2472"/>
      <c r="G379" s="2472"/>
      <c r="H379" s="2472"/>
      <c r="I379" s="2472"/>
      <c r="J379" s="2472"/>
      <c r="K379" s="2472"/>
      <c r="L379" s="2472"/>
      <c r="M379" s="2472"/>
      <c r="N379" s="2472"/>
      <c r="O379" s="2472"/>
      <c r="P379" s="2472"/>
      <c r="Q379" s="2472"/>
      <c r="R379" s="2472"/>
      <c r="S379" s="2472"/>
      <c r="T379" s="2472"/>
      <c r="U379" s="2472"/>
      <c r="V379" s="2472"/>
      <c r="W379" s="2472"/>
      <c r="X379" s="2472"/>
      <c r="Y379" s="2472"/>
      <c r="Z379" s="2472"/>
      <c r="AA379" s="2472"/>
      <c r="AB379" s="2472"/>
      <c r="AC379" s="2472"/>
      <c r="AD379" s="2472"/>
      <c r="AE379" s="2472"/>
      <c r="AF379" s="2472"/>
      <c r="AG379" s="2472"/>
      <c r="AH379" s="2472"/>
      <c r="AI379" s="2472"/>
      <c r="AJ379" s="2472"/>
      <c r="AK379" s="501"/>
      <c r="AL379" s="501"/>
      <c r="AM379" s="501"/>
      <c r="AN379" s="495"/>
      <c r="AO379" s="595" t="s">
        <v>2321</v>
      </c>
      <c r="AP379" s="596">
        <f>SUM(AP370:AP378)</f>
        <v>10</v>
      </c>
      <c r="AQ379" s="2473">
        <f>IF(AP379&gt;0,AP379,0)</f>
        <v>10</v>
      </c>
      <c r="AR379" s="2473"/>
    </row>
    <row r="380" spans="1:46" s="449" customFormat="1" ht="12.75" customHeight="1">
      <c r="A380" s="501"/>
      <c r="B380" s="509"/>
      <c r="C380" s="2472"/>
      <c r="D380" s="2472"/>
      <c r="E380" s="2472"/>
      <c r="F380" s="2472"/>
      <c r="G380" s="2472"/>
      <c r="H380" s="2472"/>
      <c r="I380" s="2472"/>
      <c r="J380" s="2472"/>
      <c r="K380" s="2472"/>
      <c r="L380" s="2472"/>
      <c r="M380" s="2472"/>
      <c r="N380" s="2472"/>
      <c r="O380" s="2472"/>
      <c r="P380" s="2472"/>
      <c r="Q380" s="2472"/>
      <c r="R380" s="2472"/>
      <c r="S380" s="2472"/>
      <c r="T380" s="2472"/>
      <c r="U380" s="2472"/>
      <c r="V380" s="2472"/>
      <c r="W380" s="2472"/>
      <c r="X380" s="2472"/>
      <c r="Y380" s="2472"/>
      <c r="Z380" s="2472"/>
      <c r="AA380" s="2472"/>
      <c r="AB380" s="2472"/>
      <c r="AC380" s="2472"/>
      <c r="AD380" s="2472"/>
      <c r="AE380" s="2472"/>
      <c r="AF380" s="2472"/>
      <c r="AG380" s="2472"/>
      <c r="AH380" s="2472"/>
      <c r="AI380" s="2472"/>
      <c r="AJ380" s="2472"/>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1398</v>
      </c>
      <c r="AP381" s="592">
        <f>IF(C443="Yes",5,0)</f>
        <v>0</v>
      </c>
    </row>
    <row r="382" spans="1:46" s="449" customFormat="1" ht="12.75" customHeight="1">
      <c r="A382" s="501"/>
      <c r="B382" s="509"/>
      <c r="C382" s="2441" t="s">
        <v>2322</v>
      </c>
      <c r="D382" s="2441"/>
      <c r="E382" s="2441"/>
      <c r="F382" s="2441"/>
      <c r="G382" s="2441"/>
      <c r="H382" s="2441"/>
      <c r="I382" s="2441"/>
      <c r="J382" s="2441"/>
      <c r="K382" s="2441"/>
      <c r="L382" s="2441"/>
      <c r="M382" s="2441"/>
      <c r="N382" s="2441"/>
      <c r="O382" s="2441"/>
      <c r="P382" s="2441"/>
      <c r="Q382" s="2441"/>
      <c r="R382" s="2441"/>
      <c r="S382" s="2441"/>
      <c r="T382" s="2441"/>
      <c r="U382" s="2441"/>
      <c r="V382" s="2441"/>
      <c r="W382" s="2441"/>
      <c r="X382" s="2441"/>
      <c r="Y382" s="2441"/>
      <c r="Z382" s="2441"/>
      <c r="AA382" s="2441"/>
      <c r="AB382" s="2441"/>
      <c r="AC382" s="2441"/>
      <c r="AD382" s="2441"/>
      <c r="AE382" s="2441"/>
      <c r="AF382" s="2441"/>
      <c r="AG382" s="2441"/>
      <c r="AH382" s="2441"/>
      <c r="AI382" s="2441"/>
      <c r="AJ382" s="2441"/>
      <c r="AK382" s="501"/>
      <c r="AL382" s="501"/>
      <c r="AM382" s="501"/>
      <c r="AN382" s="495"/>
      <c r="AO382" s="591" t="s">
        <v>1399</v>
      </c>
      <c r="AP382" s="592">
        <f>IF(C455="Yes",5,0)</f>
        <v>0</v>
      </c>
    </row>
    <row r="383" spans="1:46" s="449" customFormat="1" ht="12.75" customHeight="1">
      <c r="A383" s="501"/>
      <c r="B383" s="509"/>
      <c r="C383" s="2441"/>
      <c r="D383" s="2441"/>
      <c r="E383" s="2441"/>
      <c r="F383" s="2441"/>
      <c r="G383" s="2441"/>
      <c r="H383" s="2441"/>
      <c r="I383" s="2441"/>
      <c r="J383" s="2441"/>
      <c r="K383" s="2441"/>
      <c r="L383" s="2441"/>
      <c r="M383" s="2441"/>
      <c r="N383" s="2441"/>
      <c r="O383" s="2441"/>
      <c r="P383" s="2441"/>
      <c r="Q383" s="2441"/>
      <c r="R383" s="2441"/>
      <c r="S383" s="2441"/>
      <c r="T383" s="2441"/>
      <c r="U383" s="2441"/>
      <c r="V383" s="2441"/>
      <c r="W383" s="2441"/>
      <c r="X383" s="2441"/>
      <c r="Y383" s="2441"/>
      <c r="Z383" s="2441"/>
      <c r="AA383" s="2441"/>
      <c r="AB383" s="2441"/>
      <c r="AC383" s="2441"/>
      <c r="AD383" s="2441"/>
      <c r="AE383" s="2441"/>
      <c r="AF383" s="2441"/>
      <c r="AG383" s="2441"/>
      <c r="AH383" s="2441"/>
      <c r="AI383" s="2441"/>
      <c r="AJ383" s="2441"/>
      <c r="AK383" s="501"/>
      <c r="AL383" s="501"/>
      <c r="AM383" s="501"/>
      <c r="AN383" s="495"/>
      <c r="AO383" s="591" t="s">
        <v>1400</v>
      </c>
      <c r="AP383" s="592">
        <f>IF(C462="Yes",5,0)</f>
        <v>0</v>
      </c>
    </row>
    <row r="384" spans="1:46" s="449" customFormat="1" ht="68.099999999999994" customHeight="1">
      <c r="A384" s="501"/>
      <c r="B384" s="509"/>
      <c r="C384" s="2441"/>
      <c r="D384" s="2441"/>
      <c r="E384" s="2441"/>
      <c r="F384" s="2441"/>
      <c r="G384" s="2441"/>
      <c r="H384" s="2441"/>
      <c r="I384" s="2441"/>
      <c r="J384" s="2441"/>
      <c r="K384" s="2441"/>
      <c r="L384" s="2441"/>
      <c r="M384" s="2441"/>
      <c r="N384" s="2441"/>
      <c r="O384" s="2441"/>
      <c r="P384" s="2441"/>
      <c r="Q384" s="2441"/>
      <c r="R384" s="2441"/>
      <c r="S384" s="2441"/>
      <c r="T384" s="2441"/>
      <c r="U384" s="2441"/>
      <c r="V384" s="2441"/>
      <c r="W384" s="2441"/>
      <c r="X384" s="2441"/>
      <c r="Y384" s="2441"/>
      <c r="Z384" s="2441"/>
      <c r="AA384" s="2441"/>
      <c r="AB384" s="2441"/>
      <c r="AC384" s="2441"/>
      <c r="AD384" s="2441"/>
      <c r="AE384" s="2441"/>
      <c r="AF384" s="2441"/>
      <c r="AG384" s="2441"/>
      <c r="AH384" s="2441"/>
      <c r="AI384" s="2441"/>
      <c r="AJ384" s="2441"/>
      <c r="AK384" s="501"/>
      <c r="AL384" s="501"/>
      <c r="AM384" s="501"/>
      <c r="AN384" s="495"/>
      <c r="AO384" s="591" t="s">
        <v>1401</v>
      </c>
      <c r="AP384" s="597">
        <f>IF(C466="Yes",5,0)</f>
        <v>0</v>
      </c>
    </row>
    <row r="385" spans="1:81" s="449" customFormat="1" ht="12.4" customHeight="1">
      <c r="B385" s="509"/>
      <c r="C385" s="449" t="s">
        <v>2323</v>
      </c>
      <c r="AF385" s="501"/>
      <c r="AG385" s="501"/>
      <c r="AH385" s="501"/>
      <c r="AI385" s="501"/>
      <c r="AJ385" s="501"/>
      <c r="AK385" s="501"/>
      <c r="AL385" s="501"/>
      <c r="AM385" s="501"/>
      <c r="AN385" s="495"/>
      <c r="AO385" s="591" t="s">
        <v>1402</v>
      </c>
      <c r="AP385" s="592">
        <f>IF(C470="Yes",5,0)</f>
        <v>0</v>
      </c>
    </row>
    <row r="386" spans="1:81" s="449" customFormat="1" ht="12.75" customHeight="1">
      <c r="A386" s="501"/>
      <c r="B386" s="509"/>
      <c r="C386" s="598" t="s">
        <v>2324</v>
      </c>
      <c r="D386" s="599"/>
      <c r="E386" s="599"/>
      <c r="F386" s="599"/>
      <c r="G386" s="599"/>
      <c r="H386" s="599"/>
      <c r="I386" s="599"/>
      <c r="J386" s="599"/>
      <c r="K386" s="599"/>
      <c r="L386" s="599"/>
      <c r="M386" s="563"/>
      <c r="N386" s="563"/>
      <c r="O386" s="600"/>
      <c r="P386" s="599"/>
      <c r="Q386" s="599"/>
      <c r="R386" s="563"/>
      <c r="S386" s="563"/>
      <c r="T386" s="599"/>
      <c r="U386" s="2537">
        <f>Application!DU810-U387</f>
        <v>84</v>
      </c>
      <c r="V386" s="2537"/>
      <c r="W386" s="2537"/>
      <c r="X386" s="599"/>
      <c r="Y386" s="599"/>
      <c r="Z386" s="599"/>
      <c r="AA386" s="601"/>
      <c r="AB386" s="602"/>
      <c r="AC386" s="602"/>
      <c r="AD386" s="602"/>
      <c r="AE386" s="501"/>
      <c r="AF386" s="501"/>
      <c r="AG386" s="501"/>
      <c r="AH386" s="501"/>
      <c r="AI386" s="501"/>
      <c r="AJ386" s="501"/>
      <c r="AK386" s="501"/>
      <c r="AL386" s="501"/>
      <c r="AM386" s="501"/>
      <c r="AN386" s="495"/>
      <c r="AO386" s="591" t="s">
        <v>1403</v>
      </c>
      <c r="AP386" s="592">
        <f>IF(C479="Yes",5,0)</f>
        <v>0</v>
      </c>
    </row>
    <row r="387" spans="1:81" s="449" customFormat="1" ht="12.75" customHeight="1">
      <c r="A387" s="501"/>
      <c r="B387" s="509"/>
      <c r="C387" s="603" t="s">
        <v>2325</v>
      </c>
      <c r="D387" s="590"/>
      <c r="E387" s="590"/>
      <c r="F387" s="590"/>
      <c r="G387" s="590"/>
      <c r="H387" s="590"/>
      <c r="I387" s="590"/>
      <c r="J387" s="590"/>
      <c r="K387" s="590"/>
      <c r="L387" s="590"/>
      <c r="M387" s="590"/>
      <c r="N387" s="590"/>
      <c r="O387" s="590"/>
      <c r="P387" s="590"/>
      <c r="Q387" s="590"/>
      <c r="R387" s="590"/>
      <c r="S387" s="590"/>
      <c r="T387" s="590"/>
      <c r="U387" s="2538">
        <f>IF(Application!D211="SRO",Application!DU763,Application!AG764)</f>
        <v>0</v>
      </c>
      <c r="V387" s="2538"/>
      <c r="W387" s="2538"/>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2321</v>
      </c>
      <c r="AP388" s="607">
        <f>SUM(AP381:AP386)</f>
        <v>0</v>
      </c>
      <c r="AQ388" s="2473">
        <f>IF(AP388&gt;0,AP388,0)</f>
        <v>0</v>
      </c>
      <c r="AR388" s="2473"/>
    </row>
    <row r="389" spans="1:81" s="449" customFormat="1" ht="12.75" customHeight="1">
      <c r="A389" s="501"/>
      <c r="B389" s="13"/>
      <c r="C389" s="608" t="s">
        <v>2326</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2144</v>
      </c>
      <c r="F390" s="2445" t="s">
        <v>2327</v>
      </c>
      <c r="G390" s="2445"/>
      <c r="H390" s="2445"/>
      <c r="I390" s="2445"/>
      <c r="J390" s="2445"/>
      <c r="K390" s="2445"/>
      <c r="L390" s="2445"/>
      <c r="M390" s="2445"/>
      <c r="N390" s="2445"/>
      <c r="O390" s="2445"/>
      <c r="P390" s="2445"/>
      <c r="Q390" s="2445"/>
      <c r="R390" s="2445"/>
      <c r="S390" s="2445"/>
      <c r="T390" s="2445"/>
      <c r="U390" s="2445"/>
      <c r="V390" s="2445"/>
      <c r="W390" s="2445"/>
      <c r="X390" s="2445"/>
      <c r="Y390" s="2445"/>
      <c r="Z390" s="2445"/>
      <c r="AA390" s="2445"/>
      <c r="AB390" s="2445"/>
      <c r="AC390" s="2445"/>
      <c r="AD390" s="2445"/>
      <c r="AE390" s="2445"/>
      <c r="AF390" s="2445"/>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18"/>
      <c r="G391" s="2318"/>
      <c r="H391" s="2318"/>
      <c r="I391" s="2318"/>
      <c r="J391" s="2318"/>
      <c r="K391" s="2318"/>
      <c r="L391" s="2318"/>
      <c r="M391" s="2318"/>
      <c r="N391" s="2318"/>
      <c r="O391" s="2318"/>
      <c r="P391" s="2318"/>
      <c r="Q391" s="2318"/>
      <c r="R391" s="2318"/>
      <c r="S391" s="2318"/>
      <c r="T391" s="2318"/>
      <c r="U391" s="2318"/>
      <c r="V391" s="2318"/>
      <c r="W391" s="2318"/>
      <c r="X391" s="2318"/>
      <c r="Y391" s="2318"/>
      <c r="Z391" s="2318"/>
      <c r="AA391" s="2318"/>
      <c r="AB391" s="2318"/>
      <c r="AC391" s="2318"/>
      <c r="AD391" s="2318"/>
      <c r="AE391" s="2318"/>
      <c r="AF391" s="2318"/>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18"/>
      <c r="G392" s="2318"/>
      <c r="H392" s="2318"/>
      <c r="I392" s="2318"/>
      <c r="J392" s="2318"/>
      <c r="K392" s="2318"/>
      <c r="L392" s="2318"/>
      <c r="M392" s="2318"/>
      <c r="N392" s="2318"/>
      <c r="O392" s="2318"/>
      <c r="P392" s="2318"/>
      <c r="Q392" s="2318"/>
      <c r="R392" s="2318"/>
      <c r="S392" s="2318"/>
      <c r="T392" s="2318"/>
      <c r="U392" s="2318"/>
      <c r="V392" s="2318"/>
      <c r="W392" s="2318"/>
      <c r="X392" s="2318"/>
      <c r="Y392" s="2318"/>
      <c r="Z392" s="2318"/>
      <c r="AA392" s="2318"/>
      <c r="AB392" s="2318"/>
      <c r="AC392" s="2318"/>
      <c r="AD392" s="2318"/>
      <c r="AE392" s="2318"/>
      <c r="AF392" s="2318"/>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18"/>
      <c r="G393" s="2318"/>
      <c r="H393" s="2318"/>
      <c r="I393" s="2318"/>
      <c r="J393" s="2318"/>
      <c r="K393" s="2318"/>
      <c r="L393" s="2318"/>
      <c r="M393" s="2318"/>
      <c r="N393" s="2318"/>
      <c r="O393" s="2318"/>
      <c r="P393" s="2318"/>
      <c r="Q393" s="2318"/>
      <c r="R393" s="2318"/>
      <c r="S393" s="2318"/>
      <c r="T393" s="2318"/>
      <c r="U393" s="2318"/>
      <c r="V393" s="2318"/>
      <c r="W393" s="2318"/>
      <c r="X393" s="2318"/>
      <c r="Y393" s="2318"/>
      <c r="Z393" s="2318"/>
      <c r="AA393" s="2318"/>
      <c r="AB393" s="2318"/>
      <c r="AC393" s="2318"/>
      <c r="AD393" s="2318"/>
      <c r="AE393" s="2318"/>
      <c r="AF393" s="2318"/>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42" t="s">
        <v>826</v>
      </c>
      <c r="D394" s="2402"/>
      <c r="E394" s="615"/>
      <c r="F394" s="617" t="s">
        <v>2328</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43" t="s">
        <v>2329</v>
      </c>
      <c r="AG394" s="2443"/>
      <c r="AH394" s="2443"/>
      <c r="AI394" s="2443"/>
      <c r="AJ394" s="2443"/>
      <c r="AK394" s="2443"/>
      <c r="AL394" s="2444"/>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2147</v>
      </c>
      <c r="F397" s="2445" t="s">
        <v>2330</v>
      </c>
      <c r="G397" s="2445"/>
      <c r="H397" s="2445"/>
      <c r="I397" s="2445"/>
      <c r="J397" s="2445"/>
      <c r="K397" s="2445"/>
      <c r="L397" s="2445"/>
      <c r="M397" s="2445"/>
      <c r="N397" s="2445"/>
      <c r="O397" s="2445"/>
      <c r="P397" s="2445"/>
      <c r="Q397" s="2445"/>
      <c r="R397" s="2445"/>
      <c r="S397" s="2445"/>
      <c r="T397" s="2445"/>
      <c r="U397" s="2445"/>
      <c r="V397" s="2445"/>
      <c r="W397" s="2445"/>
      <c r="X397" s="2445"/>
      <c r="Y397" s="2445"/>
      <c r="Z397" s="2445"/>
      <c r="AA397" s="2445"/>
      <c r="AB397" s="2445"/>
      <c r="AC397" s="2445"/>
      <c r="AD397" s="2445"/>
      <c r="AE397" s="2445"/>
      <c r="AF397" s="2445"/>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18"/>
      <c r="G398" s="2318"/>
      <c r="H398" s="2318"/>
      <c r="I398" s="2318"/>
      <c r="J398" s="2318"/>
      <c r="K398" s="2318"/>
      <c r="L398" s="2318"/>
      <c r="M398" s="2318"/>
      <c r="N398" s="2318"/>
      <c r="O398" s="2318"/>
      <c r="P398" s="2318"/>
      <c r="Q398" s="2318"/>
      <c r="R398" s="2318"/>
      <c r="S398" s="2318"/>
      <c r="T398" s="2318"/>
      <c r="U398" s="2318"/>
      <c r="V398" s="2318"/>
      <c r="W398" s="2318"/>
      <c r="X398" s="2318"/>
      <c r="Y398" s="2318"/>
      <c r="Z398" s="2318"/>
      <c r="AA398" s="2318"/>
      <c r="AB398" s="2318"/>
      <c r="AC398" s="2318"/>
      <c r="AD398" s="2318"/>
      <c r="AE398" s="2318"/>
      <c r="AF398" s="2318"/>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18"/>
      <c r="G399" s="2318"/>
      <c r="H399" s="2318"/>
      <c r="I399" s="2318"/>
      <c r="J399" s="2318"/>
      <c r="K399" s="2318"/>
      <c r="L399" s="2318"/>
      <c r="M399" s="2318"/>
      <c r="N399" s="2318"/>
      <c r="O399" s="2318"/>
      <c r="P399" s="2318"/>
      <c r="Q399" s="2318"/>
      <c r="R399" s="2318"/>
      <c r="S399" s="2318"/>
      <c r="T399" s="2318"/>
      <c r="U399" s="2318"/>
      <c r="V399" s="2318"/>
      <c r="W399" s="2318"/>
      <c r="X399" s="2318"/>
      <c r="Y399" s="2318"/>
      <c r="Z399" s="2318"/>
      <c r="AA399" s="2318"/>
      <c r="AB399" s="2318"/>
      <c r="AC399" s="2318"/>
      <c r="AD399" s="2318"/>
      <c r="AE399" s="2318"/>
      <c r="AF399" s="2318"/>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18"/>
      <c r="G400" s="2318"/>
      <c r="H400" s="2318"/>
      <c r="I400" s="2318"/>
      <c r="J400" s="2318"/>
      <c r="K400" s="2318"/>
      <c r="L400" s="2318"/>
      <c r="M400" s="2318"/>
      <c r="N400" s="2318"/>
      <c r="O400" s="2318"/>
      <c r="P400" s="2318"/>
      <c r="Q400" s="2318"/>
      <c r="R400" s="2318"/>
      <c r="S400" s="2318"/>
      <c r="T400" s="2318"/>
      <c r="U400" s="2318"/>
      <c r="V400" s="2318"/>
      <c r="W400" s="2318"/>
      <c r="X400" s="2318"/>
      <c r="Y400" s="2318"/>
      <c r="Z400" s="2318"/>
      <c r="AA400" s="2318"/>
      <c r="AB400" s="2318"/>
      <c r="AC400" s="2318"/>
      <c r="AD400" s="2318"/>
      <c r="AE400" s="2318"/>
      <c r="AF400" s="2318"/>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18"/>
      <c r="G401" s="2318"/>
      <c r="H401" s="2318"/>
      <c r="I401" s="2318"/>
      <c r="J401" s="2318"/>
      <c r="K401" s="2318"/>
      <c r="L401" s="2318"/>
      <c r="M401" s="2318"/>
      <c r="N401" s="2318"/>
      <c r="O401" s="2318"/>
      <c r="P401" s="2318"/>
      <c r="Q401" s="2318"/>
      <c r="R401" s="2318"/>
      <c r="S401" s="2318"/>
      <c r="T401" s="2318"/>
      <c r="U401" s="2318"/>
      <c r="V401" s="2318"/>
      <c r="W401" s="2318"/>
      <c r="X401" s="2318"/>
      <c r="Y401" s="2318"/>
      <c r="Z401" s="2318"/>
      <c r="AA401" s="2318"/>
      <c r="AB401" s="2318"/>
      <c r="AC401" s="2318"/>
      <c r="AD401" s="2318"/>
      <c r="AE401" s="2318"/>
      <c r="AF401" s="2318"/>
      <c r="AL401" s="628"/>
      <c r="AN401" s="495"/>
      <c r="BS401" s="25"/>
      <c r="BT401" s="25"/>
      <c r="BU401" s="13"/>
      <c r="BV401" s="13"/>
      <c r="BW401" s="13"/>
      <c r="BX401" s="13"/>
      <c r="BY401" s="13"/>
      <c r="BZ401" s="13"/>
      <c r="CA401" s="13"/>
      <c r="CB401" s="13"/>
      <c r="CC401" s="13"/>
    </row>
    <row r="402" spans="1:81" s="449" customFormat="1" ht="12.75" customHeight="1">
      <c r="A402" s="436"/>
      <c r="B402" s="13"/>
      <c r="C402" s="2442" t="s">
        <v>826</v>
      </c>
      <c r="D402" s="2402"/>
      <c r="E402" s="587"/>
      <c r="F402" s="617" t="s">
        <v>2331</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43" t="s">
        <v>2329</v>
      </c>
      <c r="AG402" s="2443"/>
      <c r="AH402" s="2443"/>
      <c r="AI402" s="2443"/>
      <c r="AJ402" s="2443"/>
      <c r="AK402" s="2443"/>
      <c r="AL402" s="2444"/>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2152</v>
      </c>
      <c r="F405" s="2445" t="s">
        <v>2332</v>
      </c>
      <c r="G405" s="2445"/>
      <c r="H405" s="2445"/>
      <c r="I405" s="2445"/>
      <c r="J405" s="2445"/>
      <c r="K405" s="2445"/>
      <c r="L405" s="2445"/>
      <c r="M405" s="2445"/>
      <c r="N405" s="2445"/>
      <c r="O405" s="2445"/>
      <c r="P405" s="2445"/>
      <c r="Q405" s="2445"/>
      <c r="R405" s="2445"/>
      <c r="S405" s="2445"/>
      <c r="T405" s="2445"/>
      <c r="U405" s="2445"/>
      <c r="V405" s="2445"/>
      <c r="W405" s="2445"/>
      <c r="X405" s="2445"/>
      <c r="Y405" s="2445"/>
      <c r="Z405" s="2445"/>
      <c r="AA405" s="2445"/>
      <c r="AB405" s="2445"/>
      <c r="AC405" s="2445"/>
      <c r="AD405" s="2445"/>
      <c r="AE405" s="2445"/>
      <c r="AF405" s="2445"/>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18"/>
      <c r="G406" s="2318"/>
      <c r="H406" s="2318"/>
      <c r="I406" s="2318"/>
      <c r="J406" s="2318"/>
      <c r="K406" s="2318"/>
      <c r="L406" s="2318"/>
      <c r="M406" s="2318"/>
      <c r="N406" s="2318"/>
      <c r="O406" s="2318"/>
      <c r="P406" s="2318"/>
      <c r="Q406" s="2318"/>
      <c r="R406" s="2318"/>
      <c r="S406" s="2318"/>
      <c r="T406" s="2318"/>
      <c r="U406" s="2318"/>
      <c r="V406" s="2318"/>
      <c r="W406" s="2318"/>
      <c r="X406" s="2318"/>
      <c r="Y406" s="2318"/>
      <c r="Z406" s="2318"/>
      <c r="AA406" s="2318"/>
      <c r="AB406" s="2318"/>
      <c r="AC406" s="2318"/>
      <c r="AD406" s="2318"/>
      <c r="AE406" s="2318"/>
      <c r="AF406" s="2318"/>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18"/>
      <c r="G407" s="2318"/>
      <c r="H407" s="2318"/>
      <c r="I407" s="2318"/>
      <c r="J407" s="2318"/>
      <c r="K407" s="2318"/>
      <c r="L407" s="2318"/>
      <c r="M407" s="2318"/>
      <c r="N407" s="2318"/>
      <c r="O407" s="2318"/>
      <c r="P407" s="2318"/>
      <c r="Q407" s="2318"/>
      <c r="R407" s="2318"/>
      <c r="S407" s="2318"/>
      <c r="T407" s="2318"/>
      <c r="U407" s="2318"/>
      <c r="V407" s="2318"/>
      <c r="W407" s="2318"/>
      <c r="X407" s="2318"/>
      <c r="Y407" s="2318"/>
      <c r="Z407" s="2318"/>
      <c r="AA407" s="2318"/>
      <c r="AB407" s="2318"/>
      <c r="AC407" s="2318"/>
      <c r="AD407" s="2318"/>
      <c r="AE407" s="2318"/>
      <c r="AF407" s="2318"/>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18"/>
      <c r="G408" s="2318"/>
      <c r="H408" s="2318"/>
      <c r="I408" s="2318"/>
      <c r="J408" s="2318"/>
      <c r="K408" s="2318"/>
      <c r="L408" s="2318"/>
      <c r="M408" s="2318"/>
      <c r="N408" s="2318"/>
      <c r="O408" s="2318"/>
      <c r="P408" s="2318"/>
      <c r="Q408" s="2318"/>
      <c r="R408" s="2318"/>
      <c r="S408" s="2318"/>
      <c r="T408" s="2318"/>
      <c r="U408" s="2318"/>
      <c r="V408" s="2318"/>
      <c r="W408" s="2318"/>
      <c r="X408" s="2318"/>
      <c r="Y408" s="2318"/>
      <c r="Z408" s="2318"/>
      <c r="AA408" s="2318"/>
      <c r="AB408" s="2318"/>
      <c r="AC408" s="2318"/>
      <c r="AD408" s="2318"/>
      <c r="AE408" s="2318"/>
      <c r="AF408" s="2318"/>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18"/>
      <c r="G409" s="2318"/>
      <c r="H409" s="2318"/>
      <c r="I409" s="2318"/>
      <c r="J409" s="2318"/>
      <c r="K409" s="2318"/>
      <c r="L409" s="2318"/>
      <c r="M409" s="2318"/>
      <c r="N409" s="2318"/>
      <c r="O409" s="2318"/>
      <c r="P409" s="2318"/>
      <c r="Q409" s="2318"/>
      <c r="R409" s="2318"/>
      <c r="S409" s="2318"/>
      <c r="T409" s="2318"/>
      <c r="U409" s="2318"/>
      <c r="V409" s="2318"/>
      <c r="W409" s="2318"/>
      <c r="X409" s="2318"/>
      <c r="Y409" s="2318"/>
      <c r="Z409" s="2318"/>
      <c r="AA409" s="2318"/>
      <c r="AB409" s="2318"/>
      <c r="AC409" s="2318"/>
      <c r="AD409" s="2318"/>
      <c r="AE409" s="2318"/>
      <c r="AF409" s="2318"/>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42" t="s">
        <v>860</v>
      </c>
      <c r="D410" s="2402"/>
      <c r="E410" s="587"/>
      <c r="F410" s="617" t="s">
        <v>2333</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43" t="s">
        <v>2334</v>
      </c>
      <c r="AG410" s="2443"/>
      <c r="AH410" s="2443"/>
      <c r="AI410" s="2443"/>
      <c r="AJ410" s="2443"/>
      <c r="AK410" s="2443"/>
      <c r="AL410" s="2444"/>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42" t="s">
        <v>826</v>
      </c>
      <c r="D412" s="2402"/>
      <c r="E412" s="587"/>
      <c r="F412" s="634" t="s">
        <v>2335</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43" t="s">
        <v>2329</v>
      </c>
      <c r="AG412" s="2443"/>
      <c r="AH412" s="2443"/>
      <c r="AI412" s="2443"/>
      <c r="AJ412" s="2443"/>
      <c r="AK412" s="2443"/>
      <c r="AL412" s="2444"/>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2336</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2154</v>
      </c>
      <c r="F416" s="2445" t="s">
        <v>2337</v>
      </c>
      <c r="G416" s="2445"/>
      <c r="H416" s="2445"/>
      <c r="I416" s="2445"/>
      <c r="J416" s="2445"/>
      <c r="K416" s="2445"/>
      <c r="L416" s="2445"/>
      <c r="M416" s="2445"/>
      <c r="N416" s="2445"/>
      <c r="O416" s="2445"/>
      <c r="P416" s="2445"/>
      <c r="Q416" s="2445"/>
      <c r="R416" s="2445"/>
      <c r="S416" s="2445"/>
      <c r="T416" s="2445"/>
      <c r="U416" s="2445"/>
      <c r="V416" s="2445"/>
      <c r="W416" s="2445"/>
      <c r="X416" s="2445"/>
      <c r="Y416" s="2445"/>
      <c r="Z416" s="2445"/>
      <c r="AA416" s="2445"/>
      <c r="AB416" s="2445"/>
      <c r="AC416" s="2445"/>
      <c r="AD416" s="2445"/>
      <c r="AE416" s="2445"/>
      <c r="AF416" s="2445"/>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18"/>
      <c r="G417" s="2318"/>
      <c r="H417" s="2318"/>
      <c r="I417" s="2318"/>
      <c r="J417" s="2318"/>
      <c r="K417" s="2318"/>
      <c r="L417" s="2318"/>
      <c r="M417" s="2318"/>
      <c r="N417" s="2318"/>
      <c r="O417" s="2318"/>
      <c r="P417" s="2318"/>
      <c r="Q417" s="2318"/>
      <c r="R417" s="2318"/>
      <c r="S417" s="2318"/>
      <c r="T417" s="2318"/>
      <c r="U417" s="2318"/>
      <c r="V417" s="2318"/>
      <c r="W417" s="2318"/>
      <c r="X417" s="2318"/>
      <c r="Y417" s="2318"/>
      <c r="Z417" s="2318"/>
      <c r="AA417" s="2318"/>
      <c r="AB417" s="2318"/>
      <c r="AC417" s="2318"/>
      <c r="AD417" s="2318"/>
      <c r="AE417" s="2318"/>
      <c r="AF417" s="2318"/>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18"/>
      <c r="G418" s="2318"/>
      <c r="H418" s="2318"/>
      <c r="I418" s="2318"/>
      <c r="J418" s="2318"/>
      <c r="K418" s="2318"/>
      <c r="L418" s="2318"/>
      <c r="M418" s="2318"/>
      <c r="N418" s="2318"/>
      <c r="O418" s="2318"/>
      <c r="P418" s="2318"/>
      <c r="Q418" s="2318"/>
      <c r="R418" s="2318"/>
      <c r="S418" s="2318"/>
      <c r="T418" s="2318"/>
      <c r="U418" s="2318"/>
      <c r="V418" s="2318"/>
      <c r="W418" s="2318"/>
      <c r="X418" s="2318"/>
      <c r="Y418" s="2318"/>
      <c r="Z418" s="2318"/>
      <c r="AA418" s="2318"/>
      <c r="AB418" s="2318"/>
      <c r="AC418" s="2318"/>
      <c r="AD418" s="2318"/>
      <c r="AE418" s="2318"/>
      <c r="AF418" s="2318"/>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18"/>
      <c r="G419" s="2318"/>
      <c r="H419" s="2318"/>
      <c r="I419" s="2318"/>
      <c r="J419" s="2318"/>
      <c r="K419" s="2318"/>
      <c r="L419" s="2318"/>
      <c r="M419" s="2318"/>
      <c r="N419" s="2318"/>
      <c r="O419" s="2318"/>
      <c r="P419" s="2318"/>
      <c r="Q419" s="2318"/>
      <c r="R419" s="2318"/>
      <c r="S419" s="2318"/>
      <c r="T419" s="2318"/>
      <c r="U419" s="2318"/>
      <c r="V419" s="2318"/>
      <c r="W419" s="2318"/>
      <c r="X419" s="2318"/>
      <c r="Y419" s="2318"/>
      <c r="Z419" s="2318"/>
      <c r="AA419" s="2318"/>
      <c r="AB419" s="2318"/>
      <c r="AC419" s="2318"/>
      <c r="AD419" s="2318"/>
      <c r="AE419" s="2318"/>
      <c r="AF419" s="2318"/>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42" t="s">
        <v>826</v>
      </c>
      <c r="D420" s="2402"/>
      <c r="E420" s="587"/>
      <c r="F420" s="617" t="s">
        <v>2338</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43" t="s">
        <v>2329</v>
      </c>
      <c r="AG420" s="2443"/>
      <c r="AH420" s="2443"/>
      <c r="AI420" s="2443"/>
      <c r="AJ420" s="2443"/>
      <c r="AK420" s="2443"/>
      <c r="AL420" s="2444"/>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42" t="s">
        <v>826</v>
      </c>
      <c r="D422" s="2402"/>
      <c r="E422" s="615"/>
      <c r="F422" s="617" t="s">
        <v>2339</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43" t="s">
        <v>2340</v>
      </c>
      <c r="AG422" s="2443"/>
      <c r="AH422" s="2443"/>
      <c r="AI422" s="2443"/>
      <c r="AJ422" s="2443"/>
      <c r="AK422" s="2443"/>
      <c r="AL422" s="2444"/>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42" t="s">
        <v>826</v>
      </c>
      <c r="D425" s="2402"/>
      <c r="E425" s="611" t="s">
        <v>2341</v>
      </c>
      <c r="F425" s="2445" t="s">
        <v>2342</v>
      </c>
      <c r="G425" s="2445"/>
      <c r="H425" s="2445"/>
      <c r="I425" s="2445"/>
      <c r="J425" s="2445"/>
      <c r="K425" s="2445"/>
      <c r="L425" s="2445"/>
      <c r="M425" s="2445"/>
      <c r="N425" s="2445"/>
      <c r="O425" s="2445"/>
      <c r="P425" s="2445"/>
      <c r="Q425" s="2445"/>
      <c r="R425" s="2445"/>
      <c r="S425" s="2445"/>
      <c r="T425" s="2445"/>
      <c r="U425" s="2445"/>
      <c r="V425" s="2445"/>
      <c r="W425" s="2445"/>
      <c r="X425" s="2445"/>
      <c r="Y425" s="2445"/>
      <c r="Z425" s="2445"/>
      <c r="AA425" s="2445"/>
      <c r="AB425" s="2445"/>
      <c r="AC425" s="2445"/>
      <c r="AD425" s="2445"/>
      <c r="AE425" s="2445"/>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18"/>
      <c r="G426" s="2318"/>
      <c r="H426" s="2318"/>
      <c r="I426" s="2318"/>
      <c r="J426" s="2318"/>
      <c r="K426" s="2318"/>
      <c r="L426" s="2318"/>
      <c r="M426" s="2318"/>
      <c r="N426" s="2318"/>
      <c r="O426" s="2318"/>
      <c r="P426" s="2318"/>
      <c r="Q426" s="2318"/>
      <c r="R426" s="2318"/>
      <c r="S426" s="2318"/>
      <c r="T426" s="2318"/>
      <c r="U426" s="2318"/>
      <c r="V426" s="2318"/>
      <c r="W426" s="2318"/>
      <c r="X426" s="2318"/>
      <c r="Y426" s="2318"/>
      <c r="Z426" s="2318"/>
      <c r="AA426" s="2318"/>
      <c r="AB426" s="2318"/>
      <c r="AC426" s="2318"/>
      <c r="AD426" s="2318"/>
      <c r="AE426" s="2318"/>
      <c r="AF426" s="2380" t="s">
        <v>2329</v>
      </c>
      <c r="AG426" s="2380"/>
      <c r="AH426" s="2380"/>
      <c r="AI426" s="2380"/>
      <c r="AJ426" s="2380"/>
      <c r="AK426" s="2380"/>
      <c r="AL426" s="2446"/>
      <c r="AM426" s="468"/>
      <c r="AN426" s="495"/>
      <c r="BS426" s="468"/>
      <c r="BT426" s="468"/>
      <c r="BY426" s="468"/>
      <c r="BZ426" s="468"/>
      <c r="CA426" s="468"/>
      <c r="CB426" s="468"/>
      <c r="CC426" s="468"/>
    </row>
    <row r="427" spans="1:81" s="449" customFormat="1" ht="12.75" customHeight="1">
      <c r="A427" s="436"/>
      <c r="B427" s="13"/>
      <c r="C427" s="627"/>
      <c r="D427" s="13"/>
      <c r="E427" s="587"/>
      <c r="F427" s="2318"/>
      <c r="G427" s="2318"/>
      <c r="H427" s="2318"/>
      <c r="I427" s="2318"/>
      <c r="J427" s="2318"/>
      <c r="K427" s="2318"/>
      <c r="L427" s="2318"/>
      <c r="M427" s="2318"/>
      <c r="N427" s="2318"/>
      <c r="O427" s="2318"/>
      <c r="P427" s="2318"/>
      <c r="Q427" s="2318"/>
      <c r="R427" s="2318"/>
      <c r="S427" s="2318"/>
      <c r="T427" s="2318"/>
      <c r="U427" s="2318"/>
      <c r="V427" s="2318"/>
      <c r="W427" s="2318"/>
      <c r="X427" s="2318"/>
      <c r="Y427" s="2318"/>
      <c r="Z427" s="2318"/>
      <c r="AA427" s="2318"/>
      <c r="AB427" s="2318"/>
      <c r="AC427" s="2318"/>
      <c r="AD427" s="2318"/>
      <c r="AE427" s="2318"/>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74"/>
      <c r="G428" s="2474"/>
      <c r="H428" s="2474"/>
      <c r="I428" s="2474"/>
      <c r="J428" s="2474"/>
      <c r="K428" s="2474"/>
      <c r="L428" s="2474"/>
      <c r="M428" s="2474"/>
      <c r="N428" s="2474"/>
      <c r="O428" s="2474"/>
      <c r="P428" s="2474"/>
      <c r="Q428" s="2474"/>
      <c r="R428" s="2474"/>
      <c r="S428" s="2474"/>
      <c r="T428" s="2474"/>
      <c r="U428" s="2474"/>
      <c r="V428" s="2474"/>
      <c r="W428" s="2474"/>
      <c r="X428" s="2474"/>
      <c r="Y428" s="2474"/>
      <c r="Z428" s="2474"/>
      <c r="AA428" s="2474"/>
      <c r="AB428" s="2474"/>
      <c r="AC428" s="2474"/>
      <c r="AD428" s="2474"/>
      <c r="AE428" s="2474"/>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2343</v>
      </c>
      <c r="F430" s="2445" t="s">
        <v>2344</v>
      </c>
      <c r="G430" s="2445"/>
      <c r="H430" s="2445"/>
      <c r="I430" s="2445"/>
      <c r="J430" s="2445"/>
      <c r="K430" s="2445"/>
      <c r="L430" s="2445"/>
      <c r="M430" s="2445"/>
      <c r="N430" s="2445"/>
      <c r="O430" s="2445"/>
      <c r="P430" s="2445"/>
      <c r="Q430" s="2445"/>
      <c r="R430" s="2445"/>
      <c r="S430" s="2445"/>
      <c r="T430" s="2445"/>
      <c r="U430" s="2445"/>
      <c r="V430" s="2445"/>
      <c r="W430" s="2445"/>
      <c r="X430" s="2445"/>
      <c r="Y430" s="2445"/>
      <c r="Z430" s="2445"/>
      <c r="AA430" s="2445"/>
      <c r="AB430" s="2445"/>
      <c r="AC430" s="2445"/>
      <c r="AD430" s="2445"/>
      <c r="AE430" s="2445"/>
      <c r="AF430" s="643"/>
      <c r="AG430" s="643"/>
      <c r="AH430" s="643"/>
      <c r="AI430" s="643"/>
      <c r="AJ430" s="643"/>
      <c r="AK430" s="643"/>
      <c r="AL430" s="644"/>
      <c r="AM430" s="468"/>
    </row>
    <row r="431" spans="1:81">
      <c r="A431" s="436"/>
      <c r="C431" s="627"/>
      <c r="E431" s="587"/>
      <c r="F431" s="2318"/>
      <c r="G431" s="2318"/>
      <c r="H431" s="2318"/>
      <c r="I431" s="2318"/>
      <c r="J431" s="2318"/>
      <c r="K431" s="2318"/>
      <c r="L431" s="2318"/>
      <c r="M431" s="2318"/>
      <c r="N431" s="2318"/>
      <c r="O431" s="2318"/>
      <c r="P431" s="2318"/>
      <c r="Q431" s="2318"/>
      <c r="R431" s="2318"/>
      <c r="S431" s="2318"/>
      <c r="T431" s="2318"/>
      <c r="U431" s="2318"/>
      <c r="V431" s="2318"/>
      <c r="W431" s="2318"/>
      <c r="X431" s="2318"/>
      <c r="Y431" s="2318"/>
      <c r="Z431" s="2318"/>
      <c r="AA431" s="2318"/>
      <c r="AB431" s="2318"/>
      <c r="AC431" s="2318"/>
      <c r="AD431" s="2318"/>
      <c r="AE431" s="2318"/>
      <c r="AF431" s="439"/>
      <c r="AG431" s="436"/>
      <c r="AH431" s="449"/>
      <c r="AI431" s="449"/>
      <c r="AJ431" s="449"/>
      <c r="AK431" s="449"/>
      <c r="AL431" s="628"/>
      <c r="AM431" s="468"/>
    </row>
    <row r="432" spans="1:81" s="449" customFormat="1" ht="12.75" customHeight="1">
      <c r="A432" s="436"/>
      <c r="B432" s="13"/>
      <c r="C432" s="627"/>
      <c r="D432" s="13"/>
      <c r="E432" s="587"/>
      <c r="F432" s="2318"/>
      <c r="G432" s="2318"/>
      <c r="H432" s="2318"/>
      <c r="I432" s="2318"/>
      <c r="J432" s="2318"/>
      <c r="K432" s="2318"/>
      <c r="L432" s="2318"/>
      <c r="M432" s="2318"/>
      <c r="N432" s="2318"/>
      <c r="O432" s="2318"/>
      <c r="P432" s="2318"/>
      <c r="Q432" s="2318"/>
      <c r="R432" s="2318"/>
      <c r="S432" s="2318"/>
      <c r="T432" s="2318"/>
      <c r="U432" s="2318"/>
      <c r="V432" s="2318"/>
      <c r="W432" s="2318"/>
      <c r="X432" s="2318"/>
      <c r="Y432" s="2318"/>
      <c r="Z432" s="2318"/>
      <c r="AA432" s="2318"/>
      <c r="AB432" s="2318"/>
      <c r="AC432" s="2318"/>
      <c r="AD432" s="2318"/>
      <c r="AE432" s="2318"/>
      <c r="AL432" s="628"/>
      <c r="AM432" s="468"/>
      <c r="AN432" s="495"/>
    </row>
    <row r="433" spans="1:60" s="449" customFormat="1" ht="12.75" customHeight="1">
      <c r="A433" s="436"/>
      <c r="B433" s="13"/>
      <c r="C433" s="635"/>
      <c r="F433" s="2318"/>
      <c r="G433" s="2318"/>
      <c r="H433" s="2318"/>
      <c r="I433" s="2318"/>
      <c r="J433" s="2318"/>
      <c r="K433" s="2318"/>
      <c r="L433" s="2318"/>
      <c r="M433" s="2318"/>
      <c r="N433" s="2318"/>
      <c r="O433" s="2318"/>
      <c r="P433" s="2318"/>
      <c r="Q433" s="2318"/>
      <c r="R433" s="2318"/>
      <c r="S433" s="2318"/>
      <c r="T433" s="2318"/>
      <c r="U433" s="2318"/>
      <c r="V433" s="2318"/>
      <c r="W433" s="2318"/>
      <c r="X433" s="2318"/>
      <c r="Y433" s="2318"/>
      <c r="Z433" s="2318"/>
      <c r="AA433" s="2318"/>
      <c r="AB433" s="2318"/>
      <c r="AC433" s="2318"/>
      <c r="AD433" s="2318"/>
      <c r="AE433" s="2318"/>
      <c r="AL433" s="628"/>
      <c r="AM433" s="468"/>
      <c r="AN433" s="495"/>
    </row>
    <row r="434" spans="1:60" s="449" customFormat="1" ht="12.75" customHeight="1">
      <c r="A434" s="436"/>
      <c r="B434" s="13"/>
      <c r="C434" s="2442" t="s">
        <v>826</v>
      </c>
      <c r="D434" s="2402"/>
      <c r="E434" s="587"/>
      <c r="F434" s="617" t="s">
        <v>2345</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80" t="s">
        <v>2329</v>
      </c>
      <c r="AG434" s="2380"/>
      <c r="AH434" s="2380"/>
      <c r="AI434" s="2380"/>
      <c r="AJ434" s="2380"/>
      <c r="AK434" s="2380"/>
      <c r="AL434" s="2446"/>
      <c r="AM434" s="468"/>
      <c r="AN434" s="495"/>
    </row>
    <row r="435" spans="1:60" s="449" customFormat="1" ht="12.75" customHeight="1">
      <c r="A435" s="436"/>
      <c r="B435" s="13"/>
      <c r="C435" s="635"/>
      <c r="AL435" s="628"/>
      <c r="AM435" s="468"/>
      <c r="AN435" s="495"/>
    </row>
    <row r="436" spans="1:60" s="449" customFormat="1" ht="12.75" customHeight="1">
      <c r="A436" s="436"/>
      <c r="B436" s="13"/>
      <c r="C436" s="2442" t="s">
        <v>860</v>
      </c>
      <c r="D436" s="2402"/>
      <c r="E436" s="615"/>
      <c r="F436" s="617" t="s">
        <v>2346</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80" t="s">
        <v>2340</v>
      </c>
      <c r="AG436" s="2380"/>
      <c r="AH436" s="2380"/>
      <c r="AI436" s="2380"/>
      <c r="AJ436" s="2380"/>
      <c r="AK436" s="2380"/>
      <c r="AL436" s="2446"/>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2347</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2348</v>
      </c>
      <c r="F440" s="2445" t="s">
        <v>2349</v>
      </c>
      <c r="G440" s="2445"/>
      <c r="H440" s="2445"/>
      <c r="I440" s="2445"/>
      <c r="J440" s="2445"/>
      <c r="K440" s="2445"/>
      <c r="L440" s="2445"/>
      <c r="M440" s="2445"/>
      <c r="N440" s="2445"/>
      <c r="O440" s="2445"/>
      <c r="P440" s="2445"/>
      <c r="Q440" s="2445"/>
      <c r="R440" s="2445"/>
      <c r="S440" s="2445"/>
      <c r="T440" s="2445"/>
      <c r="U440" s="2445"/>
      <c r="V440" s="2445"/>
      <c r="W440" s="2445"/>
      <c r="X440" s="2445"/>
      <c r="Y440" s="2445"/>
      <c r="Z440" s="2445"/>
      <c r="AA440" s="2445"/>
      <c r="AB440" s="2445"/>
      <c r="AC440" s="2445"/>
      <c r="AD440" s="2445"/>
      <c r="AE440" s="2445"/>
      <c r="AF440" s="610"/>
      <c r="AG440" s="610"/>
      <c r="AH440" s="610"/>
      <c r="AI440" s="610"/>
      <c r="AJ440" s="610"/>
      <c r="AK440" s="610"/>
      <c r="AL440" s="641"/>
      <c r="AM440" s="468"/>
      <c r="AN440" s="495"/>
    </row>
    <row r="441" spans="1:60" s="449" customFormat="1" ht="12.75" customHeight="1">
      <c r="A441" s="436"/>
      <c r="B441" s="13"/>
      <c r="C441" s="627"/>
      <c r="D441" s="13"/>
      <c r="E441" s="587"/>
      <c r="F441" s="2318"/>
      <c r="G441" s="2318"/>
      <c r="H441" s="2318"/>
      <c r="I441" s="2318"/>
      <c r="J441" s="2318"/>
      <c r="K441" s="2318"/>
      <c r="L441" s="2318"/>
      <c r="M441" s="2318"/>
      <c r="N441" s="2318"/>
      <c r="O441" s="2318"/>
      <c r="P441" s="2318"/>
      <c r="Q441" s="2318"/>
      <c r="R441" s="2318"/>
      <c r="S441" s="2318"/>
      <c r="T441" s="2318"/>
      <c r="U441" s="2318"/>
      <c r="V441" s="2318"/>
      <c r="W441" s="2318"/>
      <c r="X441" s="2318"/>
      <c r="Y441" s="2318"/>
      <c r="Z441" s="2318"/>
      <c r="AA441" s="2318"/>
      <c r="AB441" s="2318"/>
      <c r="AC441" s="2318"/>
      <c r="AD441" s="2318"/>
      <c r="AE441" s="2318"/>
      <c r="AF441" s="439"/>
      <c r="AG441" s="436"/>
      <c r="AL441" s="628"/>
      <c r="AM441" s="468"/>
      <c r="AN441" s="495"/>
    </row>
    <row r="442" spans="1:60" s="449" customFormat="1" ht="12.4" customHeight="1">
      <c r="A442" s="436"/>
      <c r="B442" s="13"/>
      <c r="C442" s="627"/>
      <c r="D442" s="13"/>
      <c r="E442" s="587"/>
      <c r="F442" s="2318"/>
      <c r="G442" s="2318"/>
      <c r="H442" s="2318"/>
      <c r="I442" s="2318"/>
      <c r="J442" s="2318"/>
      <c r="K442" s="2318"/>
      <c r="L442" s="2318"/>
      <c r="M442" s="2318"/>
      <c r="N442" s="2318"/>
      <c r="O442" s="2318"/>
      <c r="P442" s="2318"/>
      <c r="Q442" s="2318"/>
      <c r="R442" s="2318"/>
      <c r="S442" s="2318"/>
      <c r="T442" s="2318"/>
      <c r="U442" s="2318"/>
      <c r="V442" s="2318"/>
      <c r="W442" s="2318"/>
      <c r="X442" s="2318"/>
      <c r="Y442" s="2318"/>
      <c r="Z442" s="2318"/>
      <c r="AA442" s="2318"/>
      <c r="AB442" s="2318"/>
      <c r="AC442" s="2318"/>
      <c r="AD442" s="2318"/>
      <c r="AE442" s="2318"/>
      <c r="AL442" s="628"/>
      <c r="AM442" s="468"/>
      <c r="AN442" s="495"/>
    </row>
    <row r="443" spans="1:60" s="449" customFormat="1" ht="12.75" customHeight="1">
      <c r="A443" s="436"/>
      <c r="B443" s="13"/>
      <c r="C443" s="2442" t="s">
        <v>826</v>
      </c>
      <c r="D443" s="2402"/>
      <c r="E443" s="587"/>
      <c r="F443" s="617" t="s">
        <v>2350</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80" t="s">
        <v>2329</v>
      </c>
      <c r="AG443" s="2380"/>
      <c r="AH443" s="2380"/>
      <c r="AI443" s="2380"/>
      <c r="AJ443" s="2380"/>
      <c r="AK443" s="2380"/>
      <c r="AL443" s="2446"/>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2351</v>
      </c>
      <c r="F446" s="2445" t="s">
        <v>2352</v>
      </c>
      <c r="G446" s="2445"/>
      <c r="H446" s="2445"/>
      <c r="I446" s="2445"/>
      <c r="J446" s="2445"/>
      <c r="K446" s="2445"/>
      <c r="L446" s="2445"/>
      <c r="M446" s="2445"/>
      <c r="N446" s="2445"/>
      <c r="O446" s="2445"/>
      <c r="P446" s="2445"/>
      <c r="Q446" s="2445"/>
      <c r="R446" s="2445"/>
      <c r="S446" s="2445"/>
      <c r="T446" s="2445"/>
      <c r="U446" s="2445"/>
      <c r="V446" s="2445"/>
      <c r="W446" s="2445"/>
      <c r="X446" s="2445"/>
      <c r="Y446" s="2445"/>
      <c r="Z446" s="2445"/>
      <c r="AA446" s="2445"/>
      <c r="AB446" s="2445"/>
      <c r="AC446" s="2445"/>
      <c r="AD446" s="2445"/>
      <c r="AE446" s="2445"/>
      <c r="AF446" s="643"/>
      <c r="AG446" s="643"/>
      <c r="AH446" s="643"/>
      <c r="AI446" s="643"/>
      <c r="AJ446" s="643"/>
      <c r="AK446" s="643"/>
      <c r="AL446" s="644"/>
      <c r="AM446" s="468"/>
      <c r="AO446" s="449"/>
      <c r="AP446" s="449"/>
      <c r="BD446" s="13"/>
      <c r="BE446" s="13"/>
      <c r="BF446" s="13"/>
      <c r="BG446" s="13"/>
      <c r="BH446" s="13"/>
    </row>
    <row r="447" spans="1:60">
      <c r="A447" s="436"/>
      <c r="C447" s="627"/>
      <c r="E447" s="587"/>
      <c r="F447" s="2318"/>
      <c r="G447" s="2318"/>
      <c r="H447" s="2318"/>
      <c r="I447" s="2318"/>
      <c r="J447" s="2318"/>
      <c r="K447" s="2318"/>
      <c r="L447" s="2318"/>
      <c r="M447" s="2318"/>
      <c r="N447" s="2318"/>
      <c r="O447" s="2318"/>
      <c r="P447" s="2318"/>
      <c r="Q447" s="2318"/>
      <c r="R447" s="2318"/>
      <c r="S447" s="2318"/>
      <c r="T447" s="2318"/>
      <c r="U447" s="2318"/>
      <c r="V447" s="2318"/>
      <c r="W447" s="2318"/>
      <c r="X447" s="2318"/>
      <c r="Y447" s="2318"/>
      <c r="Z447" s="2318"/>
      <c r="AA447" s="2318"/>
      <c r="AB447" s="2318"/>
      <c r="AC447" s="2318"/>
      <c r="AD447" s="2318"/>
      <c r="AE447" s="2318"/>
      <c r="AF447" s="492"/>
      <c r="AG447" s="492"/>
      <c r="AH447" s="492"/>
      <c r="AI447" s="492"/>
      <c r="AJ447" s="492"/>
      <c r="AK447" s="492"/>
      <c r="AL447" s="646"/>
      <c r="AM447" s="468"/>
      <c r="AO447" s="449"/>
      <c r="AP447" s="449"/>
    </row>
    <row r="448" spans="1:60" s="449" customFormat="1" ht="12.75" customHeight="1">
      <c r="A448" s="436"/>
      <c r="B448" s="13"/>
      <c r="C448" s="627"/>
      <c r="D448" s="13"/>
      <c r="E448" s="587"/>
      <c r="F448" s="2318"/>
      <c r="G448" s="2318"/>
      <c r="H448" s="2318"/>
      <c r="I448" s="2318"/>
      <c r="J448" s="2318"/>
      <c r="K448" s="2318"/>
      <c r="L448" s="2318"/>
      <c r="M448" s="2318"/>
      <c r="N448" s="2318"/>
      <c r="O448" s="2318"/>
      <c r="P448" s="2318"/>
      <c r="Q448" s="2318"/>
      <c r="R448" s="2318"/>
      <c r="S448" s="2318"/>
      <c r="T448" s="2318"/>
      <c r="U448" s="2318"/>
      <c r="V448" s="2318"/>
      <c r="W448" s="2318"/>
      <c r="X448" s="2318"/>
      <c r="Y448" s="2318"/>
      <c r="Z448" s="2318"/>
      <c r="AA448" s="2318"/>
      <c r="AB448" s="2318"/>
      <c r="AC448" s="2318"/>
      <c r="AD448" s="2318"/>
      <c r="AE448" s="2318"/>
      <c r="AF448" s="492"/>
      <c r="AG448" s="492"/>
      <c r="AH448" s="492"/>
      <c r="AI448" s="492"/>
      <c r="AJ448" s="492"/>
      <c r="AK448" s="492"/>
      <c r="AL448" s="646"/>
      <c r="AM448" s="468"/>
      <c r="AN448" s="495"/>
    </row>
    <row r="449" spans="1:42" s="449" customFormat="1" ht="12.75" customHeight="1">
      <c r="A449" s="436"/>
      <c r="B449" s="13"/>
      <c r="C449" s="647"/>
      <c r="D449" s="626"/>
      <c r="E449" s="615"/>
      <c r="F449" s="2318"/>
      <c r="G449" s="2318"/>
      <c r="H449" s="2318"/>
      <c r="I449" s="2318"/>
      <c r="J449" s="2318"/>
      <c r="K449" s="2318"/>
      <c r="L449" s="2318"/>
      <c r="M449" s="2318"/>
      <c r="N449" s="2318"/>
      <c r="O449" s="2318"/>
      <c r="P449" s="2318"/>
      <c r="Q449" s="2318"/>
      <c r="R449" s="2318"/>
      <c r="S449" s="2318"/>
      <c r="T449" s="2318"/>
      <c r="U449" s="2318"/>
      <c r="V449" s="2318"/>
      <c r="W449" s="2318"/>
      <c r="X449" s="2318"/>
      <c r="Y449" s="2318"/>
      <c r="Z449" s="2318"/>
      <c r="AA449" s="2318"/>
      <c r="AB449" s="2318"/>
      <c r="AC449" s="2318"/>
      <c r="AD449" s="2318"/>
      <c r="AE449" s="2318"/>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18"/>
      <c r="G450" s="2318"/>
      <c r="H450" s="2318"/>
      <c r="I450" s="2318"/>
      <c r="J450" s="2318"/>
      <c r="K450" s="2318"/>
      <c r="L450" s="2318"/>
      <c r="M450" s="2318"/>
      <c r="N450" s="2318"/>
      <c r="O450" s="2318"/>
      <c r="P450" s="2318"/>
      <c r="Q450" s="2318"/>
      <c r="R450" s="2318"/>
      <c r="S450" s="2318"/>
      <c r="T450" s="2318"/>
      <c r="U450" s="2318"/>
      <c r="V450" s="2318"/>
      <c r="W450" s="2318"/>
      <c r="X450" s="2318"/>
      <c r="Y450" s="2318"/>
      <c r="Z450" s="2318"/>
      <c r="AA450" s="2318"/>
      <c r="AB450" s="2318"/>
      <c r="AC450" s="2318"/>
      <c r="AD450" s="2318"/>
      <c r="AE450" s="2318"/>
      <c r="AF450" s="492"/>
      <c r="AG450" s="492"/>
      <c r="AH450" s="492"/>
      <c r="AI450" s="492"/>
      <c r="AJ450" s="492"/>
      <c r="AK450" s="492"/>
      <c r="AL450" s="646"/>
      <c r="AM450" s="468"/>
      <c r="AN450" s="495"/>
    </row>
    <row r="451" spans="1:42" s="449" customFormat="1" ht="12.75" customHeight="1">
      <c r="A451" s="436"/>
      <c r="B451" s="13"/>
      <c r="C451" s="647"/>
      <c r="D451" s="626"/>
      <c r="E451" s="615"/>
      <c r="F451" s="2318"/>
      <c r="G451" s="2318"/>
      <c r="H451" s="2318"/>
      <c r="I451" s="2318"/>
      <c r="J451" s="2318"/>
      <c r="K451" s="2318"/>
      <c r="L451" s="2318"/>
      <c r="M451" s="2318"/>
      <c r="N451" s="2318"/>
      <c r="O451" s="2318"/>
      <c r="P451" s="2318"/>
      <c r="Q451" s="2318"/>
      <c r="R451" s="2318"/>
      <c r="S451" s="2318"/>
      <c r="T451" s="2318"/>
      <c r="U451" s="2318"/>
      <c r="V451" s="2318"/>
      <c r="W451" s="2318"/>
      <c r="X451" s="2318"/>
      <c r="Y451" s="2318"/>
      <c r="Z451" s="2318"/>
      <c r="AA451" s="2318"/>
      <c r="AB451" s="2318"/>
      <c r="AC451" s="2318"/>
      <c r="AD451" s="2318"/>
      <c r="AE451" s="2318"/>
      <c r="AF451" s="492"/>
      <c r="AG451" s="492"/>
      <c r="AH451" s="492"/>
      <c r="AI451" s="492"/>
      <c r="AJ451" s="492"/>
      <c r="AK451" s="492"/>
      <c r="AL451" s="646"/>
      <c r="AM451" s="468"/>
      <c r="AN451" s="495"/>
    </row>
    <row r="452" spans="1:42" s="449" customFormat="1" ht="12.75" customHeight="1">
      <c r="A452" s="436"/>
      <c r="B452" s="13"/>
      <c r="C452" s="647"/>
      <c r="D452" s="626"/>
      <c r="E452" s="615"/>
      <c r="F452" s="2318"/>
      <c r="G452" s="2318"/>
      <c r="H452" s="2318"/>
      <c r="I452" s="2318"/>
      <c r="J452" s="2318"/>
      <c r="K452" s="2318"/>
      <c r="L452" s="2318"/>
      <c r="M452" s="2318"/>
      <c r="N452" s="2318"/>
      <c r="O452" s="2318"/>
      <c r="P452" s="2318"/>
      <c r="Q452" s="2318"/>
      <c r="R452" s="2318"/>
      <c r="S452" s="2318"/>
      <c r="T452" s="2318"/>
      <c r="U452" s="2318"/>
      <c r="V452" s="2318"/>
      <c r="W452" s="2318"/>
      <c r="X452" s="2318"/>
      <c r="Y452" s="2318"/>
      <c r="Z452" s="2318"/>
      <c r="AA452" s="2318"/>
      <c r="AB452" s="2318"/>
      <c r="AC452" s="2318"/>
      <c r="AD452" s="2318"/>
      <c r="AE452" s="2318"/>
      <c r="AF452" s="492"/>
      <c r="AG452" s="492"/>
      <c r="AH452" s="492"/>
      <c r="AI452" s="492"/>
      <c r="AJ452" s="492"/>
      <c r="AK452" s="492"/>
      <c r="AL452" s="646"/>
      <c r="AM452" s="468"/>
      <c r="AN452" s="495"/>
    </row>
    <row r="453" spans="1:42" s="449" customFormat="1" ht="12.75" customHeight="1">
      <c r="A453" s="436"/>
      <c r="B453" s="13"/>
      <c r="C453" s="647"/>
      <c r="D453" s="626"/>
      <c r="E453" s="615"/>
      <c r="F453" s="2318"/>
      <c r="G453" s="2318"/>
      <c r="H453" s="2318"/>
      <c r="I453" s="2318"/>
      <c r="J453" s="2318"/>
      <c r="K453" s="2318"/>
      <c r="L453" s="2318"/>
      <c r="M453" s="2318"/>
      <c r="N453" s="2318"/>
      <c r="O453" s="2318"/>
      <c r="P453" s="2318"/>
      <c r="Q453" s="2318"/>
      <c r="R453" s="2318"/>
      <c r="S453" s="2318"/>
      <c r="T453" s="2318"/>
      <c r="U453" s="2318"/>
      <c r="V453" s="2318"/>
      <c r="W453" s="2318"/>
      <c r="X453" s="2318"/>
      <c r="Y453" s="2318"/>
      <c r="Z453" s="2318"/>
      <c r="AA453" s="2318"/>
      <c r="AB453" s="2318"/>
      <c r="AC453" s="2318"/>
      <c r="AD453" s="2318"/>
      <c r="AE453" s="2318"/>
      <c r="AF453" s="492"/>
      <c r="AG453" s="492"/>
      <c r="AH453" s="492"/>
      <c r="AI453" s="492"/>
      <c r="AJ453" s="492"/>
      <c r="AK453" s="492"/>
      <c r="AL453" s="646"/>
      <c r="AM453" s="468"/>
      <c r="AN453" s="495"/>
    </row>
    <row r="454" spans="1:42" s="449" customFormat="1" ht="17.25" customHeight="1">
      <c r="A454" s="436"/>
      <c r="B454" s="13"/>
      <c r="C454" s="647"/>
      <c r="D454" s="626"/>
      <c r="E454" s="615"/>
      <c r="F454" s="2318"/>
      <c r="G454" s="2318"/>
      <c r="H454" s="2318"/>
      <c r="I454" s="2318"/>
      <c r="J454" s="2318"/>
      <c r="K454" s="2318"/>
      <c r="L454" s="2318"/>
      <c r="M454" s="2318"/>
      <c r="N454" s="2318"/>
      <c r="O454" s="2318"/>
      <c r="P454" s="2318"/>
      <c r="Q454" s="2318"/>
      <c r="R454" s="2318"/>
      <c r="S454" s="2318"/>
      <c r="T454" s="2318"/>
      <c r="U454" s="2318"/>
      <c r="V454" s="2318"/>
      <c r="W454" s="2318"/>
      <c r="X454" s="2318"/>
      <c r="Y454" s="2318"/>
      <c r="Z454" s="2318"/>
      <c r="AA454" s="2318"/>
      <c r="AB454" s="2318"/>
      <c r="AC454" s="2318"/>
      <c r="AD454" s="2318"/>
      <c r="AE454" s="2318"/>
      <c r="AL454" s="628"/>
      <c r="AM454" s="468"/>
      <c r="AN454" s="495"/>
    </row>
    <row r="455" spans="1:42" s="449" customFormat="1" ht="12.75" customHeight="1">
      <c r="A455" s="436"/>
      <c r="B455" s="13"/>
      <c r="C455" s="2442" t="s">
        <v>826</v>
      </c>
      <c r="D455" s="2402"/>
      <c r="E455" s="615"/>
      <c r="F455" s="494" t="s">
        <v>2353</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80" t="s">
        <v>2329</v>
      </c>
      <c r="AG455" s="2380"/>
      <c r="AH455" s="2380"/>
      <c r="AI455" s="2380"/>
      <c r="AJ455" s="2380"/>
      <c r="AK455" s="2380"/>
      <c r="AL455" s="2446"/>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2354</v>
      </c>
      <c r="F458" s="2445" t="s">
        <v>2355</v>
      </c>
      <c r="G458" s="2445"/>
      <c r="H458" s="2445"/>
      <c r="I458" s="2445"/>
      <c r="J458" s="2445"/>
      <c r="K458" s="2445"/>
      <c r="L458" s="2445"/>
      <c r="M458" s="2445"/>
      <c r="N458" s="2445"/>
      <c r="O458" s="2445"/>
      <c r="P458" s="2445"/>
      <c r="Q458" s="2445"/>
      <c r="R458" s="2445"/>
      <c r="S458" s="2445"/>
      <c r="T458" s="2445"/>
      <c r="U458" s="2445"/>
      <c r="V458" s="2445"/>
      <c r="W458" s="2445"/>
      <c r="X458" s="2445"/>
      <c r="Y458" s="2445"/>
      <c r="Z458" s="2445"/>
      <c r="AA458" s="2445"/>
      <c r="AB458" s="2445"/>
      <c r="AC458" s="2445"/>
      <c r="AD458" s="2445"/>
      <c r="AE458" s="2445"/>
      <c r="AF458" s="610"/>
      <c r="AG458" s="610"/>
      <c r="AH458" s="610"/>
      <c r="AI458" s="610"/>
      <c r="AJ458" s="610"/>
      <c r="AK458" s="610"/>
      <c r="AL458" s="641"/>
      <c r="AM458" s="468"/>
      <c r="AN458" s="495"/>
    </row>
    <row r="459" spans="1:42" s="449" customFormat="1" ht="12.75" customHeight="1">
      <c r="A459" s="436"/>
      <c r="B459" s="13"/>
      <c r="C459" s="647"/>
      <c r="D459" s="626"/>
      <c r="E459" s="615"/>
      <c r="F459" s="2318"/>
      <c r="G459" s="2318"/>
      <c r="H459" s="2318"/>
      <c r="I459" s="2318"/>
      <c r="J459" s="2318"/>
      <c r="K459" s="2318"/>
      <c r="L459" s="2318"/>
      <c r="M459" s="2318"/>
      <c r="N459" s="2318"/>
      <c r="O459" s="2318"/>
      <c r="P459" s="2318"/>
      <c r="Q459" s="2318"/>
      <c r="R459" s="2318"/>
      <c r="S459" s="2318"/>
      <c r="T459" s="2318"/>
      <c r="U459" s="2318"/>
      <c r="V459" s="2318"/>
      <c r="W459" s="2318"/>
      <c r="X459" s="2318"/>
      <c r="Y459" s="2318"/>
      <c r="Z459" s="2318"/>
      <c r="AA459" s="2318"/>
      <c r="AB459" s="2318"/>
      <c r="AC459" s="2318"/>
      <c r="AD459" s="2318"/>
      <c r="AE459" s="2318"/>
      <c r="AF459" s="489"/>
      <c r="AG459" s="489"/>
      <c r="AH459" s="489"/>
      <c r="AI459" s="489"/>
      <c r="AJ459" s="489"/>
      <c r="AK459" s="489"/>
      <c r="AL459" s="616"/>
      <c r="AM459" s="468"/>
      <c r="AN459" s="495"/>
    </row>
    <row r="460" spans="1:42" s="449" customFormat="1" ht="12.75" customHeight="1">
      <c r="A460" s="436"/>
      <c r="B460" s="13"/>
      <c r="C460" s="647"/>
      <c r="D460" s="626"/>
      <c r="E460" s="615"/>
      <c r="F460" s="2318"/>
      <c r="G460" s="2318"/>
      <c r="H460" s="2318"/>
      <c r="I460" s="2318"/>
      <c r="J460" s="2318"/>
      <c r="K460" s="2318"/>
      <c r="L460" s="2318"/>
      <c r="M460" s="2318"/>
      <c r="N460" s="2318"/>
      <c r="O460" s="2318"/>
      <c r="P460" s="2318"/>
      <c r="Q460" s="2318"/>
      <c r="R460" s="2318"/>
      <c r="S460" s="2318"/>
      <c r="T460" s="2318"/>
      <c r="U460" s="2318"/>
      <c r="V460" s="2318"/>
      <c r="W460" s="2318"/>
      <c r="X460" s="2318"/>
      <c r="Y460" s="2318"/>
      <c r="Z460" s="2318"/>
      <c r="AA460" s="2318"/>
      <c r="AB460" s="2318"/>
      <c r="AC460" s="2318"/>
      <c r="AD460" s="2318"/>
      <c r="AE460" s="2318"/>
      <c r="AF460" s="489"/>
      <c r="AG460" s="489"/>
      <c r="AH460" s="489"/>
      <c r="AI460" s="489"/>
      <c r="AJ460" s="489"/>
      <c r="AK460" s="489"/>
      <c r="AL460" s="616"/>
      <c r="AM460" s="468"/>
      <c r="AN460" s="495"/>
    </row>
    <row r="461" spans="1:42" s="449" customFormat="1" ht="12.75" customHeight="1">
      <c r="A461" s="436"/>
      <c r="B461" s="13"/>
      <c r="C461" s="647"/>
      <c r="D461" s="626"/>
      <c r="E461" s="615"/>
      <c r="F461" s="2318"/>
      <c r="G461" s="2318"/>
      <c r="H461" s="2318"/>
      <c r="I461" s="2318"/>
      <c r="J461" s="2318"/>
      <c r="K461" s="2318"/>
      <c r="L461" s="2318"/>
      <c r="M461" s="2318"/>
      <c r="N461" s="2318"/>
      <c r="O461" s="2318"/>
      <c r="P461" s="2318"/>
      <c r="Q461" s="2318"/>
      <c r="R461" s="2318"/>
      <c r="S461" s="2318"/>
      <c r="T461" s="2318"/>
      <c r="U461" s="2318"/>
      <c r="V461" s="2318"/>
      <c r="W461" s="2318"/>
      <c r="X461" s="2318"/>
      <c r="Y461" s="2318"/>
      <c r="Z461" s="2318"/>
      <c r="AA461" s="2318"/>
      <c r="AB461" s="2318"/>
      <c r="AC461" s="2318"/>
      <c r="AD461" s="2318"/>
      <c r="AE461" s="2318"/>
      <c r="AL461" s="628"/>
      <c r="AM461" s="468"/>
      <c r="AN461" s="495"/>
    </row>
    <row r="462" spans="1:42" s="449" customFormat="1" ht="12.75" customHeight="1">
      <c r="A462" s="436"/>
      <c r="B462" s="13"/>
      <c r="C462" s="2442" t="s">
        <v>826</v>
      </c>
      <c r="D462" s="2402"/>
      <c r="E462" s="615"/>
      <c r="F462" s="617" t="s">
        <v>2356</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80" t="s">
        <v>2329</v>
      </c>
      <c r="AG462" s="2380"/>
      <c r="AH462" s="2380"/>
      <c r="AI462" s="2380"/>
      <c r="AJ462" s="2380"/>
      <c r="AK462" s="2380"/>
      <c r="AL462" s="2446"/>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2336</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7" t="s">
        <v>826</v>
      </c>
      <c r="D466" s="2448"/>
      <c r="E466" s="611" t="s">
        <v>2357</v>
      </c>
      <c r="F466" s="2445" t="s">
        <v>2358</v>
      </c>
      <c r="G466" s="2445"/>
      <c r="H466" s="2445"/>
      <c r="I466" s="2445"/>
      <c r="J466" s="2445"/>
      <c r="K466" s="2445"/>
      <c r="L466" s="2445"/>
      <c r="M466" s="2445"/>
      <c r="N466" s="2445"/>
      <c r="O466" s="2445"/>
      <c r="P466" s="2445"/>
      <c r="Q466" s="2445"/>
      <c r="R466" s="2445"/>
      <c r="S466" s="2445"/>
      <c r="T466" s="2445"/>
      <c r="U466" s="2445"/>
      <c r="V466" s="2445"/>
      <c r="W466" s="2445"/>
      <c r="X466" s="2445"/>
      <c r="Y466" s="2445"/>
      <c r="Z466" s="2445"/>
      <c r="AA466" s="2445"/>
      <c r="AB466" s="2445"/>
      <c r="AC466" s="2445"/>
      <c r="AD466" s="2445"/>
      <c r="AE466" s="2445"/>
      <c r="AF466" s="2530" t="s">
        <v>2329</v>
      </c>
      <c r="AG466" s="2530"/>
      <c r="AH466" s="2530"/>
      <c r="AI466" s="2530"/>
      <c r="AJ466" s="2530"/>
      <c r="AK466" s="2530"/>
      <c r="AL466" s="2531"/>
      <c r="AM466" s="468"/>
      <c r="AN466" s="649"/>
    </row>
    <row r="467" spans="1:40" s="449" customFormat="1" ht="12.75" customHeight="1">
      <c r="A467" s="436"/>
      <c r="B467" s="13"/>
      <c r="C467" s="647"/>
      <c r="D467" s="626"/>
      <c r="E467" s="615"/>
      <c r="F467" s="2318"/>
      <c r="G467" s="2318"/>
      <c r="H467" s="2318"/>
      <c r="I467" s="2318"/>
      <c r="J467" s="2318"/>
      <c r="K467" s="2318"/>
      <c r="L467" s="2318"/>
      <c r="M467" s="2318"/>
      <c r="N467" s="2318"/>
      <c r="O467" s="2318"/>
      <c r="P467" s="2318"/>
      <c r="Q467" s="2318"/>
      <c r="R467" s="2318"/>
      <c r="S467" s="2318"/>
      <c r="T467" s="2318"/>
      <c r="U467" s="2318"/>
      <c r="V467" s="2318"/>
      <c r="W467" s="2318"/>
      <c r="X467" s="2318"/>
      <c r="Y467" s="2318"/>
      <c r="Z467" s="2318"/>
      <c r="AA467" s="2318"/>
      <c r="AB467" s="2318"/>
      <c r="AC467" s="2318"/>
      <c r="AD467" s="2318"/>
      <c r="AE467" s="2318"/>
      <c r="AF467" s="489"/>
      <c r="AG467" s="489"/>
      <c r="AH467" s="489"/>
      <c r="AI467" s="489"/>
      <c r="AJ467" s="489"/>
      <c r="AK467" s="489"/>
      <c r="AL467" s="616"/>
      <c r="AM467" s="468"/>
      <c r="AN467" s="650"/>
    </row>
    <row r="468" spans="1:40" s="449" customFormat="1" ht="17.649999999999999" customHeight="1">
      <c r="A468" s="436"/>
      <c r="B468" s="13"/>
      <c r="C468" s="652"/>
      <c r="D468" s="619"/>
      <c r="E468" s="620"/>
      <c r="F468" s="2474"/>
      <c r="G468" s="2474"/>
      <c r="H468" s="2474"/>
      <c r="I468" s="2474"/>
      <c r="J468" s="2474"/>
      <c r="K468" s="2474"/>
      <c r="L468" s="2474"/>
      <c r="M468" s="2474"/>
      <c r="N468" s="2474"/>
      <c r="O468" s="2474"/>
      <c r="P468" s="2474"/>
      <c r="Q468" s="2474"/>
      <c r="R468" s="2474"/>
      <c r="S468" s="2474"/>
      <c r="T468" s="2474"/>
      <c r="U468" s="2474"/>
      <c r="V468" s="2474"/>
      <c r="W468" s="2474"/>
      <c r="X468" s="2474"/>
      <c r="Y468" s="2474"/>
      <c r="Z468" s="2474"/>
      <c r="AA468" s="2474"/>
      <c r="AB468" s="2474"/>
      <c r="AC468" s="2474"/>
      <c r="AD468" s="2474"/>
      <c r="AE468" s="2474"/>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42" t="s">
        <v>826</v>
      </c>
      <c r="D470" s="2402"/>
      <c r="E470" s="611" t="s">
        <v>2359</v>
      </c>
      <c r="F470" s="2445" t="s">
        <v>2360</v>
      </c>
      <c r="G470" s="2445"/>
      <c r="H470" s="2445"/>
      <c r="I470" s="2445"/>
      <c r="J470" s="2445"/>
      <c r="K470" s="2445"/>
      <c r="L470" s="2445"/>
      <c r="M470" s="2445"/>
      <c r="N470" s="2445"/>
      <c r="O470" s="2445"/>
      <c r="P470" s="2445"/>
      <c r="Q470" s="2445"/>
      <c r="R470" s="2445"/>
      <c r="S470" s="2445"/>
      <c r="T470" s="2445"/>
      <c r="U470" s="2445"/>
      <c r="V470" s="2445"/>
      <c r="W470" s="2445"/>
      <c r="X470" s="2445"/>
      <c r="Y470" s="2445"/>
      <c r="Z470" s="2445"/>
      <c r="AA470" s="2445"/>
      <c r="AB470" s="2445"/>
      <c r="AC470" s="2445"/>
      <c r="AD470" s="2445"/>
      <c r="AE470" s="2445"/>
      <c r="AF470" s="2530" t="s">
        <v>2329</v>
      </c>
      <c r="AG470" s="2530"/>
      <c r="AH470" s="2530"/>
      <c r="AI470" s="2530"/>
      <c r="AJ470" s="2530"/>
      <c r="AK470" s="2530"/>
      <c r="AL470" s="2531"/>
      <c r="AM470" s="468"/>
      <c r="AN470" s="435"/>
    </row>
    <row r="471" spans="1:40" s="449" customFormat="1" ht="12.75" customHeight="1">
      <c r="A471" s="436"/>
      <c r="B471" s="13"/>
      <c r="C471" s="627"/>
      <c r="D471" s="13"/>
      <c r="E471" s="587"/>
      <c r="F471" s="2318"/>
      <c r="G471" s="2318"/>
      <c r="H471" s="2318"/>
      <c r="I471" s="2318"/>
      <c r="J471" s="2318"/>
      <c r="K471" s="2318"/>
      <c r="L471" s="2318"/>
      <c r="M471" s="2318"/>
      <c r="N471" s="2318"/>
      <c r="O471" s="2318"/>
      <c r="P471" s="2318"/>
      <c r="Q471" s="2318"/>
      <c r="R471" s="2318"/>
      <c r="S471" s="2318"/>
      <c r="T471" s="2318"/>
      <c r="U471" s="2318"/>
      <c r="V471" s="2318"/>
      <c r="W471" s="2318"/>
      <c r="X471" s="2318"/>
      <c r="Y471" s="2318"/>
      <c r="Z471" s="2318"/>
      <c r="AA471" s="2318"/>
      <c r="AB471" s="2318"/>
      <c r="AC471" s="2318"/>
      <c r="AD471" s="2318"/>
      <c r="AE471" s="2318"/>
      <c r="AF471" s="439"/>
      <c r="AG471" s="436"/>
      <c r="AL471" s="628"/>
      <c r="AM471" s="468"/>
      <c r="AN471" s="435"/>
    </row>
    <row r="472" spans="1:40" s="449" customFormat="1" ht="12.75" customHeight="1">
      <c r="A472" s="436"/>
      <c r="B472" s="13"/>
      <c r="C472" s="627"/>
      <c r="D472" s="13"/>
      <c r="E472" s="587"/>
      <c r="F472" s="2318"/>
      <c r="G472" s="2318"/>
      <c r="H472" s="2318"/>
      <c r="I472" s="2318"/>
      <c r="J472" s="2318"/>
      <c r="K472" s="2318"/>
      <c r="L472" s="2318"/>
      <c r="M472" s="2318"/>
      <c r="N472" s="2318"/>
      <c r="O472" s="2318"/>
      <c r="P472" s="2318"/>
      <c r="Q472" s="2318"/>
      <c r="R472" s="2318"/>
      <c r="S472" s="2318"/>
      <c r="T472" s="2318"/>
      <c r="U472" s="2318"/>
      <c r="V472" s="2318"/>
      <c r="W472" s="2318"/>
      <c r="X472" s="2318"/>
      <c r="Y472" s="2318"/>
      <c r="Z472" s="2318"/>
      <c r="AA472" s="2318"/>
      <c r="AB472" s="2318"/>
      <c r="AC472" s="2318"/>
      <c r="AD472" s="2318"/>
      <c r="AE472" s="2318"/>
      <c r="AF472" s="439"/>
      <c r="AG472" s="436"/>
      <c r="AL472" s="628"/>
      <c r="AM472" s="468"/>
      <c r="AN472" s="435"/>
    </row>
    <row r="473" spans="1:40" s="449" customFormat="1" ht="12.75" customHeight="1">
      <c r="A473" s="436"/>
      <c r="B473" s="13"/>
      <c r="C473" s="652"/>
      <c r="D473" s="619"/>
      <c r="E473" s="620"/>
      <c r="F473" s="2474"/>
      <c r="G473" s="2474"/>
      <c r="H473" s="2474"/>
      <c r="I473" s="2474"/>
      <c r="J473" s="2474"/>
      <c r="K473" s="2474"/>
      <c r="L473" s="2474"/>
      <c r="M473" s="2474"/>
      <c r="N473" s="2474"/>
      <c r="O473" s="2474"/>
      <c r="P473" s="2474"/>
      <c r="Q473" s="2474"/>
      <c r="R473" s="2474"/>
      <c r="S473" s="2474"/>
      <c r="T473" s="2474"/>
      <c r="U473" s="2474"/>
      <c r="V473" s="2474"/>
      <c r="W473" s="2474"/>
      <c r="X473" s="2474"/>
      <c r="Y473" s="2474"/>
      <c r="Z473" s="2474"/>
      <c r="AA473" s="2474"/>
      <c r="AB473" s="2474"/>
      <c r="AC473" s="2474"/>
      <c r="AD473" s="2474"/>
      <c r="AE473" s="2474"/>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2361</v>
      </c>
      <c r="F475" s="2445" t="s">
        <v>2362</v>
      </c>
      <c r="G475" s="2445"/>
      <c r="H475" s="2445"/>
      <c r="I475" s="2445"/>
      <c r="J475" s="2445"/>
      <c r="K475" s="2445"/>
      <c r="L475" s="2445"/>
      <c r="M475" s="2445"/>
      <c r="N475" s="2445"/>
      <c r="O475" s="2445"/>
      <c r="P475" s="2445"/>
      <c r="Q475" s="2445"/>
      <c r="R475" s="2445"/>
      <c r="S475" s="2445"/>
      <c r="T475" s="2445"/>
      <c r="U475" s="2445"/>
      <c r="V475" s="2445"/>
      <c r="W475" s="2445"/>
      <c r="X475" s="2445"/>
      <c r="Y475" s="2445"/>
      <c r="Z475" s="2445"/>
      <c r="AA475" s="2445"/>
      <c r="AB475" s="2445"/>
      <c r="AC475" s="2445"/>
      <c r="AD475" s="2445"/>
      <c r="AE475" s="2445"/>
      <c r="AF475" s="2445"/>
      <c r="AG475" s="640"/>
      <c r="AH475" s="610"/>
      <c r="AI475" s="610"/>
      <c r="AJ475" s="610"/>
      <c r="AK475" s="610"/>
      <c r="AL475" s="641"/>
      <c r="AM475" s="468"/>
      <c r="AN475" s="495"/>
    </row>
    <row r="476" spans="1:40" s="449" customFormat="1" ht="12.75" customHeight="1">
      <c r="A476" s="436"/>
      <c r="B476" s="13"/>
      <c r="C476" s="627"/>
      <c r="D476" s="13"/>
      <c r="E476" s="587"/>
      <c r="F476" s="2318"/>
      <c r="G476" s="2318"/>
      <c r="H476" s="2318"/>
      <c r="I476" s="2318"/>
      <c r="J476" s="2318"/>
      <c r="K476" s="2318"/>
      <c r="L476" s="2318"/>
      <c r="M476" s="2318"/>
      <c r="N476" s="2318"/>
      <c r="O476" s="2318"/>
      <c r="P476" s="2318"/>
      <c r="Q476" s="2318"/>
      <c r="R476" s="2318"/>
      <c r="S476" s="2318"/>
      <c r="T476" s="2318"/>
      <c r="U476" s="2318"/>
      <c r="V476" s="2318"/>
      <c r="W476" s="2318"/>
      <c r="X476" s="2318"/>
      <c r="Y476" s="2318"/>
      <c r="Z476" s="2318"/>
      <c r="AA476" s="2318"/>
      <c r="AB476" s="2318"/>
      <c r="AC476" s="2318"/>
      <c r="AD476" s="2318"/>
      <c r="AE476" s="2318"/>
      <c r="AF476" s="2318"/>
      <c r="AL476" s="628"/>
      <c r="AM476" s="468"/>
      <c r="AN476" s="495"/>
    </row>
    <row r="477" spans="1:40" s="449" customFormat="1" ht="12.75" customHeight="1">
      <c r="A477" s="436"/>
      <c r="B477" s="13"/>
      <c r="C477" s="635"/>
      <c r="F477" s="2318"/>
      <c r="G477" s="2318"/>
      <c r="H477" s="2318"/>
      <c r="I477" s="2318"/>
      <c r="J477" s="2318"/>
      <c r="K477" s="2318"/>
      <c r="L477" s="2318"/>
      <c r="M477" s="2318"/>
      <c r="N477" s="2318"/>
      <c r="O477" s="2318"/>
      <c r="P477" s="2318"/>
      <c r="Q477" s="2318"/>
      <c r="R477" s="2318"/>
      <c r="S477" s="2318"/>
      <c r="T477" s="2318"/>
      <c r="U477" s="2318"/>
      <c r="V477" s="2318"/>
      <c r="W477" s="2318"/>
      <c r="X477" s="2318"/>
      <c r="Y477" s="2318"/>
      <c r="Z477" s="2318"/>
      <c r="AA477" s="2318"/>
      <c r="AB477" s="2318"/>
      <c r="AC477" s="2318"/>
      <c r="AD477" s="2318"/>
      <c r="AE477" s="2318"/>
      <c r="AF477" s="2318"/>
      <c r="AL477" s="628"/>
      <c r="AM477" s="468"/>
      <c r="AN477" s="495"/>
    </row>
    <row r="478" spans="1:40" s="449" customFormat="1" ht="12.75" customHeight="1">
      <c r="A478" s="436"/>
      <c r="B478" s="13"/>
      <c r="C478" s="635"/>
      <c r="F478" s="2318"/>
      <c r="G478" s="2318"/>
      <c r="H478" s="2318"/>
      <c r="I478" s="2318"/>
      <c r="J478" s="2318"/>
      <c r="K478" s="2318"/>
      <c r="L478" s="2318"/>
      <c r="M478" s="2318"/>
      <c r="N478" s="2318"/>
      <c r="O478" s="2318"/>
      <c r="P478" s="2318"/>
      <c r="Q478" s="2318"/>
      <c r="R478" s="2318"/>
      <c r="S478" s="2318"/>
      <c r="T478" s="2318"/>
      <c r="U478" s="2318"/>
      <c r="V478" s="2318"/>
      <c r="W478" s="2318"/>
      <c r="X478" s="2318"/>
      <c r="Y478" s="2318"/>
      <c r="Z478" s="2318"/>
      <c r="AA478" s="2318"/>
      <c r="AB478" s="2318"/>
      <c r="AC478" s="2318"/>
      <c r="AD478" s="2318"/>
      <c r="AE478" s="2318"/>
      <c r="AF478" s="2318"/>
      <c r="AL478" s="628"/>
      <c r="AM478" s="468"/>
      <c r="AN478" s="495"/>
    </row>
    <row r="479" spans="1:40" s="449" customFormat="1" ht="12.75" customHeight="1">
      <c r="A479" s="436"/>
      <c r="B479" s="13"/>
      <c r="C479" s="2442" t="s">
        <v>826</v>
      </c>
      <c r="D479" s="2402"/>
      <c r="E479" s="615"/>
      <c r="F479" s="617" t="s">
        <v>2345</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43" t="s">
        <v>2329</v>
      </c>
      <c r="AG479" s="2443"/>
      <c r="AH479" s="2443"/>
      <c r="AI479" s="2443"/>
      <c r="AJ479" s="2443"/>
      <c r="AK479" s="2443"/>
      <c r="AL479" s="2444"/>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2363</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2364</v>
      </c>
      <c r="AK482" s="2405">
        <f>IF(Application!D214="N/A",AS371,AS373)</f>
        <v>10</v>
      </c>
      <c r="AL482" s="2406"/>
      <c r="AM482" s="2407"/>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826</v>
      </c>
      <c r="AP484" s="449">
        <v>0</v>
      </c>
      <c r="AT484" s="449" t="s">
        <v>826</v>
      </c>
      <c r="AU484" s="449">
        <v>0</v>
      </c>
      <c r="AV484" s="648"/>
    </row>
    <row r="485" spans="1:59" s="449" customFormat="1" ht="12.75" hidden="1" customHeight="1">
      <c r="A485" s="439" t="s">
        <v>2365</v>
      </c>
      <c r="C485" s="439"/>
      <c r="E485" s="494"/>
      <c r="AE485" s="2443" t="s">
        <v>2366</v>
      </c>
      <c r="AF485" s="2443"/>
      <c r="AG485" s="2443"/>
      <c r="AH485" s="2443"/>
      <c r="AI485" s="2443"/>
      <c r="AJ485" s="2443"/>
      <c r="AK485" s="2443"/>
      <c r="AL485" s="489"/>
      <c r="AN485" s="495"/>
      <c r="AO485" s="449" t="s">
        <v>2367</v>
      </c>
      <c r="AP485" s="449">
        <v>5</v>
      </c>
      <c r="AT485" s="449" t="s">
        <v>2367</v>
      </c>
      <c r="AU485" s="449">
        <v>5</v>
      </c>
      <c r="AV485" s="648"/>
    </row>
    <row r="486" spans="1:59" s="449" customFormat="1" ht="12.75" hidden="1" customHeight="1">
      <c r="A486" s="439"/>
      <c r="B486" s="436" t="s">
        <v>2368</v>
      </c>
      <c r="C486" s="439"/>
      <c r="E486" s="494"/>
      <c r="AE486" s="489"/>
      <c r="AF486" s="489"/>
      <c r="AG486" s="489"/>
      <c r="AH486" s="489"/>
      <c r="AI486" s="489"/>
      <c r="AJ486" s="489"/>
      <c r="AK486" s="489"/>
      <c r="AL486" s="489"/>
      <c r="AN486" s="495"/>
      <c r="AO486" s="449" t="s">
        <v>2369</v>
      </c>
      <c r="AP486" s="449">
        <v>5</v>
      </c>
      <c r="AT486" s="449" t="s">
        <v>2370</v>
      </c>
      <c r="AU486" s="449">
        <v>5</v>
      </c>
      <c r="AV486" s="648"/>
    </row>
    <row r="487" spans="1:59" s="449" customFormat="1" ht="12.75" hidden="1" customHeight="1">
      <c r="A487" s="439"/>
      <c r="B487" s="439" t="s">
        <v>2371</v>
      </c>
      <c r="C487" s="439"/>
      <c r="E487" s="494"/>
      <c r="AE487" s="489"/>
      <c r="AF487" s="489"/>
      <c r="AG487" s="489"/>
      <c r="AH487" s="489"/>
      <c r="AI487" s="489"/>
      <c r="AJ487" s="489"/>
      <c r="AK487" s="489"/>
      <c r="AL487" s="489"/>
      <c r="AN487" s="495"/>
      <c r="AO487" s="449" t="s">
        <v>2372</v>
      </c>
      <c r="AP487" s="449">
        <v>5</v>
      </c>
      <c r="AQ487" s="439"/>
      <c r="AR487" s="439"/>
      <c r="AS487" s="651"/>
      <c r="AT487" s="449" t="s">
        <v>2372</v>
      </c>
      <c r="AU487" s="449">
        <v>5</v>
      </c>
      <c r="AV487" s="436"/>
    </row>
    <row r="488" spans="1:59" s="449" customFormat="1" ht="12.75" hidden="1" customHeight="1">
      <c r="A488" s="439"/>
      <c r="B488" s="439" t="s">
        <v>2373</v>
      </c>
      <c r="C488" s="439"/>
      <c r="E488" s="494"/>
      <c r="AE488" s="489"/>
      <c r="AF488" s="489"/>
      <c r="AG488" s="489"/>
      <c r="AH488" s="489"/>
      <c r="AI488" s="489"/>
      <c r="AJ488" s="489"/>
      <c r="AK488" s="489"/>
      <c r="AL488" s="489"/>
      <c r="AN488" s="495"/>
      <c r="AO488" s="449" t="s">
        <v>2374</v>
      </c>
      <c r="AP488" s="449">
        <v>5</v>
      </c>
      <c r="AQ488" s="439"/>
      <c r="AR488" s="439"/>
      <c r="AT488" s="449" t="s">
        <v>2374</v>
      </c>
      <c r="AU488" s="449">
        <v>5</v>
      </c>
    </row>
    <row r="489" spans="1:59" s="449" customFormat="1" ht="12.75" hidden="1" customHeight="1">
      <c r="A489" s="439"/>
      <c r="C489" s="439"/>
      <c r="E489" s="494"/>
      <c r="AE489" s="489"/>
      <c r="AF489" s="489"/>
      <c r="AG489" s="489"/>
      <c r="AH489" s="489"/>
      <c r="AI489" s="489"/>
      <c r="AJ489" s="489"/>
      <c r="AK489" s="489"/>
      <c r="AL489" s="489"/>
      <c r="AN489" s="495"/>
      <c r="AO489" s="449" t="s">
        <v>2375</v>
      </c>
      <c r="AP489" s="449">
        <v>5</v>
      </c>
      <c r="AQ489" s="439"/>
      <c r="AR489" s="439"/>
      <c r="AT489" s="449" t="s">
        <v>2375</v>
      </c>
      <c r="AU489" s="449">
        <v>5</v>
      </c>
    </row>
    <row r="490" spans="1:59" s="449" customFormat="1" ht="12.75" hidden="1" customHeight="1">
      <c r="A490" s="439"/>
      <c r="C490" s="608" t="s">
        <v>2376</v>
      </c>
      <c r="D490" s="468"/>
      <c r="AE490" s="489"/>
      <c r="AF490" s="489"/>
      <c r="AG490" s="494"/>
      <c r="AH490" s="494"/>
      <c r="AI490" s="494"/>
      <c r="AJ490" s="494"/>
      <c r="AK490" s="494"/>
      <c r="AL490" s="494"/>
      <c r="AN490" s="495"/>
      <c r="AO490" s="449" t="s">
        <v>2377</v>
      </c>
      <c r="AP490" s="449">
        <v>5</v>
      </c>
      <c r="AT490" s="449" t="s">
        <v>2377</v>
      </c>
      <c r="AU490" s="449">
        <v>5</v>
      </c>
    </row>
    <row r="491" spans="1:59" s="449" customFormat="1" ht="12.75" hidden="1" customHeight="1">
      <c r="A491" s="439"/>
      <c r="C491" s="2449" t="s">
        <v>826</v>
      </c>
      <c r="D491" s="2450"/>
      <c r="E491" s="657" t="s">
        <v>51</v>
      </c>
      <c r="F491" s="2451" t="s">
        <v>2378</v>
      </c>
      <c r="G491" s="2451"/>
      <c r="H491" s="2451"/>
      <c r="I491" s="2451"/>
      <c r="J491" s="2451"/>
      <c r="K491" s="2451"/>
      <c r="L491" s="2451"/>
      <c r="M491" s="2451"/>
      <c r="N491" s="2451"/>
      <c r="O491" s="2451"/>
      <c r="P491" s="2451"/>
      <c r="Q491" s="2451"/>
      <c r="R491" s="2451"/>
      <c r="S491" s="2451"/>
      <c r="T491" s="2451"/>
      <c r="U491" s="2451"/>
      <c r="V491" s="2451"/>
      <c r="W491" s="2451"/>
      <c r="X491" s="2451"/>
      <c r="Y491" s="2451"/>
      <c r="Z491" s="2451"/>
      <c r="AA491" s="2451"/>
      <c r="AB491" s="2451"/>
      <c r="AC491" s="2451"/>
      <c r="AD491" s="2451"/>
      <c r="AE491" s="2451"/>
      <c r="AF491" s="610"/>
      <c r="AG491" s="610"/>
      <c r="AH491" s="610"/>
      <c r="AI491" s="610"/>
      <c r="AJ491" s="610"/>
      <c r="AK491" s="641"/>
      <c r="AN491" s="495"/>
      <c r="AO491" s="449" t="s">
        <v>2379</v>
      </c>
      <c r="AP491" s="449">
        <v>5</v>
      </c>
      <c r="AS491" s="654"/>
      <c r="AT491" s="449" t="s">
        <v>2380</v>
      </c>
      <c r="AU491" s="449">
        <v>5</v>
      </c>
    </row>
    <row r="492" spans="1:59" s="449" customFormat="1" ht="12.75" hidden="1" customHeight="1">
      <c r="C492" s="658"/>
      <c r="E492" s="659"/>
      <c r="F492" s="2452"/>
      <c r="G492" s="2452"/>
      <c r="H492" s="2452"/>
      <c r="I492" s="2452"/>
      <c r="J492" s="2452"/>
      <c r="K492" s="2452"/>
      <c r="L492" s="2452"/>
      <c r="M492" s="2452"/>
      <c r="N492" s="2452"/>
      <c r="O492" s="2452"/>
      <c r="P492" s="2452"/>
      <c r="Q492" s="2452"/>
      <c r="R492" s="2452"/>
      <c r="S492" s="2452"/>
      <c r="T492" s="2452"/>
      <c r="U492" s="2452"/>
      <c r="V492" s="2452"/>
      <c r="W492" s="2452"/>
      <c r="X492" s="2452"/>
      <c r="Y492" s="2452"/>
      <c r="Z492" s="2452"/>
      <c r="AA492" s="2452"/>
      <c r="AB492" s="2452"/>
      <c r="AC492" s="2452"/>
      <c r="AD492" s="2452"/>
      <c r="AE492" s="2452"/>
      <c r="AG492" s="450"/>
      <c r="AH492" s="450"/>
      <c r="AI492" s="450"/>
      <c r="AJ492" s="450"/>
      <c r="AK492" s="628"/>
      <c r="AN492" s="495"/>
      <c r="AO492" s="449" t="s">
        <v>2381</v>
      </c>
      <c r="AP492" s="449">
        <v>1</v>
      </c>
      <c r="AT492" s="449" t="s">
        <v>2381</v>
      </c>
      <c r="AU492" s="449">
        <v>1</v>
      </c>
    </row>
    <row r="493" spans="1:59" s="449" customFormat="1" ht="12.75" hidden="1" customHeight="1">
      <c r="C493" s="660"/>
      <c r="D493" s="623"/>
      <c r="E493" s="661"/>
      <c r="F493" s="2547" t="s">
        <v>826</v>
      </c>
      <c r="G493" s="2547"/>
      <c r="H493" s="2547"/>
      <c r="I493" s="2547"/>
      <c r="J493" s="2547"/>
      <c r="K493" s="2547"/>
      <c r="L493" s="2547"/>
      <c r="M493" s="2547"/>
      <c r="N493" s="2547"/>
      <c r="O493" s="2547"/>
      <c r="P493" s="2547"/>
      <c r="Q493" s="2547"/>
      <c r="R493" s="2547"/>
      <c r="S493" s="2547"/>
      <c r="T493" s="2547"/>
      <c r="U493" s="2547"/>
      <c r="V493" s="2547"/>
      <c r="W493" s="2547"/>
      <c r="X493" s="2547"/>
      <c r="Y493" s="2547"/>
      <c r="Z493" s="2547"/>
      <c r="AA493" s="662"/>
      <c r="AB493" s="554"/>
      <c r="AC493" s="554"/>
      <c r="AD493" s="623"/>
      <c r="AE493" s="623"/>
      <c r="AF493" s="623"/>
      <c r="AG493" s="663">
        <f>IF($C$491="Yes",(VLOOKUP($F$493,$AT$484:$AU$492,2,FALSE)),0)</f>
        <v>0</v>
      </c>
      <c r="AH493" s="664" t="s">
        <v>2163</v>
      </c>
      <c r="AI493" s="663"/>
      <c r="AJ493" s="663"/>
      <c r="AK493" s="638"/>
      <c r="AN493" s="495"/>
      <c r="AS493" s="651"/>
      <c r="AX493" s="651"/>
      <c r="BB493" s="651" t="s">
        <v>2382</v>
      </c>
      <c r="BF493" s="651" t="s">
        <v>2383</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826</v>
      </c>
      <c r="AP494" s="535">
        <v>0</v>
      </c>
      <c r="AT494" s="449" t="s">
        <v>826</v>
      </c>
      <c r="AU494" s="535">
        <v>0</v>
      </c>
      <c r="AW494" s="449" t="s">
        <v>826</v>
      </c>
      <c r="AX494" s="535">
        <v>0</v>
      </c>
      <c r="AY494" s="491"/>
      <c r="BB494" s="449" t="s">
        <v>826</v>
      </c>
      <c r="BC494" s="491">
        <v>0</v>
      </c>
      <c r="BF494" s="449" t="s">
        <v>826</v>
      </c>
      <c r="BG494" s="491">
        <v>0</v>
      </c>
    </row>
    <row r="495" spans="1:59" s="449" customFormat="1" ht="12.75" hidden="1" customHeight="1">
      <c r="C495" s="2568" t="s">
        <v>860</v>
      </c>
      <c r="D495" s="2569"/>
      <c r="E495" s="657" t="s">
        <v>53</v>
      </c>
      <c r="F495" s="665" t="s">
        <v>2384</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2385</v>
      </c>
      <c r="AX495" s="535">
        <v>3</v>
      </c>
      <c r="AY495" s="491"/>
      <c r="BB495" s="654">
        <v>0.4</v>
      </c>
      <c r="BC495" s="491">
        <v>3</v>
      </c>
      <c r="BF495" s="654">
        <v>0.4</v>
      </c>
      <c r="BG495" s="491">
        <v>4</v>
      </c>
    </row>
    <row r="496" spans="1:59" s="449" customFormat="1" ht="12.75" hidden="1" customHeight="1">
      <c r="C496" s="666" t="s">
        <v>2386</v>
      </c>
      <c r="F496" s="667" t="s">
        <v>2387</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2388</v>
      </c>
      <c r="AX496" s="535">
        <v>5</v>
      </c>
      <c r="AY496" s="491"/>
      <c r="BB496" s="654">
        <v>0.6</v>
      </c>
      <c r="BC496" s="491">
        <v>4</v>
      </c>
      <c r="BF496" s="654">
        <v>0.6</v>
      </c>
      <c r="BG496" s="491">
        <v>5</v>
      </c>
    </row>
    <row r="497" spans="1:81" s="449" customFormat="1" ht="12.75" hidden="1" customHeight="1">
      <c r="C497" s="647"/>
      <c r="D497" s="626"/>
      <c r="E497" s="668"/>
      <c r="F497" s="667" t="s">
        <v>2389</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2390</v>
      </c>
      <c r="G498" s="449"/>
      <c r="H498" s="449"/>
      <c r="I498" s="667"/>
      <c r="J498" s="667"/>
      <c r="K498" s="667"/>
      <c r="L498" s="667"/>
      <c r="M498" s="667"/>
      <c r="N498" s="667"/>
      <c r="O498" s="667"/>
      <c r="P498" s="667"/>
      <c r="Q498" s="667"/>
      <c r="R498" s="667"/>
      <c r="S498" s="667"/>
      <c r="T498" s="667"/>
      <c r="U498" s="667"/>
      <c r="V498" s="2536" t="s">
        <v>826</v>
      </c>
      <c r="W498" s="2536"/>
      <c r="X498" s="2536"/>
      <c r="Y498" s="667"/>
      <c r="Z498" s="667"/>
      <c r="AA498" s="667"/>
      <c r="AB498" s="667"/>
      <c r="AC498" s="667"/>
      <c r="AD498" s="507"/>
      <c r="AE498" s="507"/>
      <c r="AF498" s="507"/>
      <c r="AG498" s="511">
        <f>IF(AND($C$495="Yes",$V$500="N/A",$V$505="N/A",$V$509="N/A",$V$511="N/A"),(VLOOKUP(V498,$AW$494:$AX$496,2,FALSE)),0)</f>
        <v>0</v>
      </c>
      <c r="AH498" s="538" t="s">
        <v>2163</v>
      </c>
      <c r="AI498" s="450"/>
      <c r="AJ498" s="450"/>
      <c r="AK498" s="628"/>
      <c r="AL498" s="449"/>
      <c r="AM498" s="449"/>
      <c r="AN498" s="495"/>
      <c r="AT498" s="449" t="s">
        <v>826</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2391</v>
      </c>
      <c r="G500" s="449"/>
      <c r="H500" s="449"/>
      <c r="I500" s="667"/>
      <c r="J500" s="667"/>
      <c r="K500" s="667"/>
      <c r="L500" s="667"/>
      <c r="M500" s="667"/>
      <c r="N500" s="667"/>
      <c r="O500" s="667"/>
      <c r="P500" s="667"/>
      <c r="Q500" s="667"/>
      <c r="R500" s="667"/>
      <c r="S500" s="667"/>
      <c r="T500" s="667"/>
      <c r="U500" s="667"/>
      <c r="V500" s="2536" t="s">
        <v>826</v>
      </c>
      <c r="W500" s="2536"/>
      <c r="X500" s="2536"/>
      <c r="Y500" s="667"/>
      <c r="Z500" s="667"/>
      <c r="AA500" s="667"/>
      <c r="AB500" s="667"/>
      <c r="AC500" s="667"/>
      <c r="AD500" s="507"/>
      <c r="AE500" s="507"/>
      <c r="AF500" s="507"/>
      <c r="AG500" s="511">
        <f>IF(AND($C$495="Yes",$V$498="N/A", $V$505="N/A",$V$509="N/A",$V$511="N/A"),(VLOOKUP(V500,$AT$494:$AU$496,2,FALSE)),0)</f>
        <v>0</v>
      </c>
      <c r="AH500" s="538" t="s">
        <v>2163</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826</v>
      </c>
      <c r="AP501" s="449">
        <v>0</v>
      </c>
    </row>
    <row r="502" spans="1:81" s="449" customFormat="1" ht="12.75" hidden="1" customHeight="1">
      <c r="C502" s="658"/>
      <c r="E502" s="659"/>
      <c r="F502" s="672" t="s">
        <v>2392</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2393</v>
      </c>
      <c r="AP502" s="535">
        <v>2</v>
      </c>
    </row>
    <row r="503" spans="1:81" s="449" customFormat="1" ht="12.75" hidden="1" customHeight="1">
      <c r="C503" s="658"/>
      <c r="F503" s="507" t="s">
        <v>2394</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2395</v>
      </c>
      <c r="AP503" s="449">
        <v>2</v>
      </c>
    </row>
    <row r="504" spans="1:81" s="494" customFormat="1" ht="12.75" hidden="1" customHeight="1">
      <c r="A504" s="449"/>
      <c r="B504" s="449"/>
      <c r="C504" s="635"/>
      <c r="D504" s="468"/>
      <c r="E504" s="468"/>
      <c r="F504" s="507" t="s">
        <v>2396</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2397</v>
      </c>
      <c r="AP504" s="449">
        <v>2</v>
      </c>
    </row>
    <row r="505" spans="1:81" s="449" customFormat="1" ht="12.75" hidden="1" customHeight="1">
      <c r="C505" s="673"/>
      <c r="F505" s="671" t="s">
        <v>2398</v>
      </c>
      <c r="M505" s="659"/>
      <c r="N505" s="659"/>
      <c r="O505" s="659"/>
      <c r="P505" s="659"/>
      <c r="Q505" s="450"/>
      <c r="R505" s="450"/>
      <c r="S505" s="450"/>
      <c r="T505" s="450"/>
      <c r="U505" s="450"/>
      <c r="V505" s="2536" t="s">
        <v>826</v>
      </c>
      <c r="W505" s="2536"/>
      <c r="X505" s="2536"/>
      <c r="Y505" s="450"/>
      <c r="Z505" s="450"/>
      <c r="AA505" s="450"/>
      <c r="AB505" s="450"/>
      <c r="AC505" s="450"/>
      <c r="AG505" s="511">
        <f>IF(AND($C$495="Yes",$V$498="N/A",$V$500="N/A", $V$509="N/A",$V$511="N/A"),(VLOOKUP($V$505,$AT$498:$AU$500,2,FALSE)),0)</f>
        <v>0</v>
      </c>
      <c r="AH505" s="538" t="s">
        <v>2163</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2399</v>
      </c>
      <c r="D507" s="610"/>
      <c r="E507" s="610"/>
      <c r="F507" s="676" t="s">
        <v>2400</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826</v>
      </c>
      <c r="AP507" s="449">
        <v>0</v>
      </c>
      <c r="AQ507" s="439"/>
    </row>
    <row r="508" spans="1:81" s="494" customFormat="1" ht="12.75" hidden="1" customHeight="1">
      <c r="A508" s="449"/>
      <c r="B508" s="449"/>
      <c r="C508" s="677"/>
      <c r="D508" s="2522"/>
      <c r="E508" s="2522"/>
      <c r="F508" s="667" t="s">
        <v>2401</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2402</v>
      </c>
      <c r="AP508" s="535">
        <v>5</v>
      </c>
      <c r="AQ508" s="439"/>
    </row>
    <row r="509" spans="1:81" s="468" customFormat="1" ht="12.75" hidden="1" customHeight="1">
      <c r="A509" s="575"/>
      <c r="B509" s="449"/>
      <c r="C509" s="658"/>
      <c r="D509" s="449"/>
      <c r="E509" s="449"/>
      <c r="F509" s="678" t="s">
        <v>2390</v>
      </c>
      <c r="G509" s="449"/>
      <c r="H509" s="449"/>
      <c r="I509" s="449"/>
      <c r="J509" s="449"/>
      <c r="K509" s="449"/>
      <c r="L509" s="449"/>
      <c r="M509" s="449"/>
      <c r="N509" s="449"/>
      <c r="O509" s="449"/>
      <c r="P509" s="449"/>
      <c r="Q509" s="449"/>
      <c r="R509" s="449"/>
      <c r="S509" s="449"/>
      <c r="T509" s="449"/>
      <c r="U509" s="449"/>
      <c r="V509" s="2536" t="s">
        <v>826</v>
      </c>
      <c r="W509" s="2536"/>
      <c r="X509" s="2536"/>
      <c r="Y509" s="449"/>
      <c r="Z509" s="449"/>
      <c r="AA509" s="449"/>
      <c r="AB509" s="449"/>
      <c r="AC509" s="449"/>
      <c r="AD509" s="449"/>
      <c r="AE509" s="449"/>
      <c r="AF509" s="449"/>
      <c r="AG509" s="511">
        <f>IF(AND($C$495="Yes",$V$498="N/A",V500="N/A",$V$505="N/A",$V$511="N/A"),(VLOOKUP($V$509,$BB$494:$BC$497,2,FALSE)),0)</f>
        <v>0</v>
      </c>
      <c r="AH509" s="538" t="s">
        <v>2163</v>
      </c>
      <c r="AI509" s="450"/>
      <c r="AJ509" s="449"/>
      <c r="AK509" s="628"/>
      <c r="AL509" s="449"/>
      <c r="AM509" s="449"/>
      <c r="AN509" s="580"/>
      <c r="AO509" s="449" t="s">
        <v>2403</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2404</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2391</v>
      </c>
      <c r="G511" s="662"/>
      <c r="H511" s="662"/>
      <c r="I511" s="623"/>
      <c r="J511" s="623"/>
      <c r="K511" s="623"/>
      <c r="L511" s="623"/>
      <c r="M511" s="623"/>
      <c r="N511" s="623"/>
      <c r="O511" s="623"/>
      <c r="P511" s="623"/>
      <c r="Q511" s="623"/>
      <c r="R511" s="623"/>
      <c r="S511" s="623"/>
      <c r="T511" s="623"/>
      <c r="U511" s="623"/>
      <c r="V511" s="2536" t="s">
        <v>826</v>
      </c>
      <c r="W511" s="2536"/>
      <c r="X511" s="2536"/>
      <c r="Y511" s="623"/>
      <c r="Z511" s="623"/>
      <c r="AA511" s="623"/>
      <c r="AB511" s="623"/>
      <c r="AC511" s="623"/>
      <c r="AD511" s="623"/>
      <c r="AE511" s="623"/>
      <c r="AF511" s="623"/>
      <c r="AG511" s="679">
        <f>IF(AND($C$495="Yes",$V$498="N/A",$V$500="N/A",$V$505="N/A",$V$509="N/A"),(VLOOKUP($V$511,$BF$494:$BG$496,2,FALSE)),0)</f>
        <v>0</v>
      </c>
      <c r="AH511" s="664" t="s">
        <v>2163</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2405</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49" t="s">
        <v>826</v>
      </c>
      <c r="D514" s="2450"/>
      <c r="E514" s="657" t="s">
        <v>51</v>
      </c>
      <c r="F514" s="2451" t="s">
        <v>2378</v>
      </c>
      <c r="G514" s="2451"/>
      <c r="H514" s="2451"/>
      <c r="I514" s="2451"/>
      <c r="J514" s="2451"/>
      <c r="K514" s="2451"/>
      <c r="L514" s="2451"/>
      <c r="M514" s="2451"/>
      <c r="N514" s="2451"/>
      <c r="O514" s="2451"/>
      <c r="P514" s="2451"/>
      <c r="Q514" s="2451"/>
      <c r="R514" s="2451"/>
      <c r="S514" s="2451"/>
      <c r="T514" s="2451"/>
      <c r="U514" s="2451"/>
      <c r="V514" s="2451"/>
      <c r="W514" s="2451"/>
      <c r="X514" s="2451"/>
      <c r="Y514" s="2451"/>
      <c r="Z514" s="2451"/>
      <c r="AA514" s="2451"/>
      <c r="AB514" s="2451"/>
      <c r="AC514" s="2451"/>
      <c r="AD514" s="2451"/>
      <c r="AE514" s="2451"/>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52"/>
      <c r="G515" s="2452"/>
      <c r="H515" s="2452"/>
      <c r="I515" s="2452"/>
      <c r="J515" s="2452"/>
      <c r="K515" s="2452"/>
      <c r="L515" s="2452"/>
      <c r="M515" s="2452"/>
      <c r="N515" s="2452"/>
      <c r="O515" s="2452"/>
      <c r="P515" s="2452"/>
      <c r="Q515" s="2452"/>
      <c r="R515" s="2452"/>
      <c r="S515" s="2452"/>
      <c r="T515" s="2452"/>
      <c r="U515" s="2452"/>
      <c r="V515" s="2452"/>
      <c r="W515" s="2452"/>
      <c r="X515" s="2452"/>
      <c r="Y515" s="2452"/>
      <c r="Z515" s="2452"/>
      <c r="AA515" s="2452"/>
      <c r="AB515" s="2452"/>
      <c r="AC515" s="2452"/>
      <c r="AD515" s="2452"/>
      <c r="AE515" s="2452"/>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43" t="s">
        <v>826</v>
      </c>
      <c r="G516" s="2543"/>
      <c r="H516" s="2543"/>
      <c r="I516" s="2543"/>
      <c r="J516" s="2543"/>
      <c r="K516" s="2543"/>
      <c r="L516" s="2543"/>
      <c r="M516" s="2543"/>
      <c r="N516" s="2543"/>
      <c r="O516" s="2543"/>
      <c r="P516" s="2543"/>
      <c r="Q516" s="2543"/>
      <c r="R516" s="2543"/>
      <c r="S516" s="2543"/>
      <c r="T516" s="2543"/>
      <c r="U516" s="2543"/>
      <c r="V516" s="2543"/>
      <c r="W516" s="2543"/>
      <c r="X516" s="2543"/>
      <c r="Y516" s="2543"/>
      <c r="Z516" s="2543"/>
      <c r="AA516" s="662"/>
      <c r="AB516" s="554"/>
      <c r="AC516" s="554"/>
      <c r="AD516" s="623"/>
      <c r="AE516" s="623"/>
      <c r="AF516" s="623"/>
      <c r="AG516" s="663">
        <f>IF($C$514="Yes",(VLOOKUP($F$516,$AO$484:$AP$492,2,FALSE)),0)</f>
        <v>0</v>
      </c>
      <c r="AH516" s="664" t="s">
        <v>2163</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49" t="s">
        <v>826</v>
      </c>
      <c r="D518" s="2450"/>
      <c r="E518" s="657" t="s">
        <v>53</v>
      </c>
      <c r="F518" s="2544" t="s">
        <v>2406</v>
      </c>
      <c r="G518" s="2544"/>
      <c r="H518" s="2544"/>
      <c r="I518" s="2544"/>
      <c r="J518" s="2544"/>
      <c r="K518" s="2544"/>
      <c r="L518" s="2544"/>
      <c r="M518" s="2544"/>
      <c r="N518" s="2544"/>
      <c r="O518" s="2544"/>
      <c r="P518" s="2544"/>
      <c r="Q518" s="2544"/>
      <c r="R518" s="2544"/>
      <c r="S518" s="2544"/>
      <c r="T518" s="2544"/>
      <c r="U518" s="2544"/>
      <c r="V518" s="2544"/>
      <c r="W518" s="2544"/>
      <c r="X518" s="2544"/>
      <c r="Y518" s="2544"/>
      <c r="Z518" s="2544"/>
      <c r="AA518" s="2544"/>
      <c r="AB518" s="2544"/>
      <c r="AC518" s="2544"/>
      <c r="AD518" s="2544"/>
      <c r="AE518" s="2544"/>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45"/>
      <c r="G519" s="2545"/>
      <c r="H519" s="2545"/>
      <c r="I519" s="2545"/>
      <c r="J519" s="2545"/>
      <c r="K519" s="2545"/>
      <c r="L519" s="2545"/>
      <c r="M519" s="2545"/>
      <c r="N519" s="2545"/>
      <c r="O519" s="2545"/>
      <c r="P519" s="2545"/>
      <c r="Q519" s="2545"/>
      <c r="R519" s="2545"/>
      <c r="S519" s="2545"/>
      <c r="T519" s="2545"/>
      <c r="U519" s="2545"/>
      <c r="V519" s="2545"/>
      <c r="W519" s="2545"/>
      <c r="X519" s="2545"/>
      <c r="Y519" s="2545"/>
      <c r="Z519" s="2545"/>
      <c r="AA519" s="2545"/>
      <c r="AB519" s="2545"/>
      <c r="AC519" s="2545"/>
      <c r="AD519" s="2545"/>
      <c r="AE519" s="2545"/>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2407</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46" t="s">
        <v>826</v>
      </c>
      <c r="G521" s="2546"/>
      <c r="H521" s="2546"/>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2163</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49" t="s">
        <v>826</v>
      </c>
      <c r="D523" s="2450"/>
      <c r="E523" s="657" t="s">
        <v>2408</v>
      </c>
      <c r="F523" s="676" t="s">
        <v>2409</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521"/>
      <c r="D525" s="2522"/>
      <c r="E525" s="668"/>
      <c r="F525" s="450" t="s">
        <v>2410</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2163</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23" t="s">
        <v>826</v>
      </c>
      <c r="H526" s="2523"/>
      <c r="I526" s="2523"/>
      <c r="J526" s="2523"/>
      <c r="K526" s="2523"/>
      <c r="L526" s="2523"/>
      <c r="M526" s="2523"/>
      <c r="N526" s="2523"/>
      <c r="O526" s="2523"/>
      <c r="P526" s="2523"/>
      <c r="Q526" s="2523"/>
      <c r="R526" s="2523"/>
      <c r="S526" s="2523"/>
      <c r="T526" s="2523"/>
      <c r="U526" s="2523"/>
      <c r="V526" s="2523"/>
      <c r="W526" s="2523"/>
      <c r="X526" s="2523"/>
      <c r="Y526" s="2523"/>
      <c r="Z526" s="2523"/>
      <c r="AA526" s="2523"/>
      <c r="AB526" s="2523"/>
      <c r="AC526" s="2523"/>
      <c r="AD526" s="2523"/>
      <c r="AE526" s="2523"/>
      <c r="AF526" s="2523"/>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24" t="s">
        <v>826</v>
      </c>
      <c r="D528" s="2525"/>
      <c r="F528" s="450" t="s">
        <v>2411</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2163</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2412</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2413</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24" t="s">
        <v>826</v>
      </c>
      <c r="D532" s="2525"/>
      <c r="F532" s="691" t="s">
        <v>2414</v>
      </c>
      <c r="G532" s="2318" t="s">
        <v>2415</v>
      </c>
      <c r="H532" s="2318"/>
      <c r="I532" s="2318"/>
      <c r="J532" s="2318"/>
      <c r="K532" s="2318"/>
      <c r="L532" s="2318"/>
      <c r="M532" s="2318"/>
      <c r="N532" s="2318"/>
      <c r="O532" s="2318"/>
      <c r="P532" s="2318"/>
      <c r="Q532" s="2318"/>
      <c r="R532" s="2318"/>
      <c r="S532" s="2318"/>
      <c r="T532" s="2318"/>
      <c r="U532" s="2318"/>
      <c r="V532" s="2318"/>
      <c r="W532" s="2318"/>
      <c r="X532" s="2318"/>
      <c r="Y532" s="2318"/>
      <c r="Z532" s="2318"/>
      <c r="AA532" s="2318"/>
      <c r="AB532" s="2318"/>
      <c r="AC532" s="2318"/>
      <c r="AD532" s="2318"/>
      <c r="AE532" s="2318"/>
      <c r="AF532" s="2318"/>
      <c r="AG532" s="511">
        <f>IF(AND($C$532="Yes",$C$523="Yes"),2,0)</f>
        <v>0</v>
      </c>
      <c r="AH532" s="538" t="s">
        <v>2163</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74"/>
      <c r="H533" s="2474"/>
      <c r="I533" s="2474"/>
      <c r="J533" s="2474"/>
      <c r="K533" s="2474"/>
      <c r="L533" s="2474"/>
      <c r="M533" s="2474"/>
      <c r="N533" s="2474"/>
      <c r="O533" s="2474"/>
      <c r="P533" s="2474"/>
      <c r="Q533" s="2474"/>
      <c r="R533" s="2474"/>
      <c r="S533" s="2474"/>
      <c r="T533" s="2474"/>
      <c r="U533" s="2474"/>
      <c r="V533" s="2474"/>
      <c r="W533" s="2474"/>
      <c r="X533" s="2474"/>
      <c r="Y533" s="2474"/>
      <c r="Z533" s="2474"/>
      <c r="AA533" s="2474"/>
      <c r="AB533" s="2474"/>
      <c r="AC533" s="2474"/>
      <c r="AD533" s="2474"/>
      <c r="AE533" s="2474"/>
      <c r="AF533" s="2474"/>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2416</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26" t="s">
        <v>826</v>
      </c>
      <c r="D536" s="2527"/>
      <c r="E536" s="698" t="s">
        <v>2417</v>
      </c>
      <c r="F536" s="667" t="s">
        <v>2418</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2163</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28" t="s">
        <v>826</v>
      </c>
      <c r="G537" s="2528"/>
      <c r="H537" s="2528"/>
      <c r="I537" s="2528"/>
      <c r="J537" s="2528"/>
      <c r="K537" s="2528"/>
      <c r="L537" s="2528"/>
      <c r="M537" s="2528"/>
      <c r="N537" s="2528"/>
      <c r="O537" s="2528"/>
      <c r="P537" s="2528"/>
      <c r="Q537" s="2528"/>
      <c r="R537" s="2528"/>
      <c r="S537" s="2528"/>
      <c r="T537" s="2528"/>
      <c r="U537" s="2528"/>
      <c r="V537" s="2528"/>
      <c r="W537" s="2528"/>
      <c r="X537" s="2528"/>
      <c r="Y537" s="2528"/>
      <c r="Z537" s="2528"/>
      <c r="AA537" s="2528"/>
      <c r="AB537" s="2528"/>
      <c r="AC537" s="2528"/>
      <c r="AD537" s="2528"/>
      <c r="AE537" s="2528"/>
      <c r="AF537" s="2528"/>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29"/>
      <c r="G538" s="2529"/>
      <c r="H538" s="2529"/>
      <c r="I538" s="2529"/>
      <c r="J538" s="2529"/>
      <c r="K538" s="2529"/>
      <c r="L538" s="2529"/>
      <c r="M538" s="2529"/>
      <c r="N538" s="2529"/>
      <c r="O538" s="2529"/>
      <c r="P538" s="2529"/>
      <c r="Q538" s="2529"/>
      <c r="R538" s="2529"/>
      <c r="S538" s="2529"/>
      <c r="T538" s="2529"/>
      <c r="U538" s="2529"/>
      <c r="V538" s="2529"/>
      <c r="W538" s="2529"/>
      <c r="X538" s="2529"/>
      <c r="Y538" s="2529"/>
      <c r="Z538" s="2529"/>
      <c r="AA538" s="2529"/>
      <c r="AB538" s="2529"/>
      <c r="AC538" s="2529"/>
      <c r="AD538" s="2529"/>
      <c r="AE538" s="2529"/>
      <c r="AF538" s="2529"/>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2419</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2420</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2421</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2422</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2423</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2424</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2425</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2426</v>
      </c>
      <c r="AK548" s="2405">
        <f>SUM(AG492:AG537)</f>
        <v>0</v>
      </c>
      <c r="AL548" s="2406"/>
      <c r="AM548" s="2407"/>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2427</v>
      </c>
      <c r="B551" s="439" t="s">
        <v>2428</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7" t="s">
        <v>2429</v>
      </c>
      <c r="AF551" s="2347"/>
      <c r="AG551" s="2347"/>
      <c r="AH551" s="2347"/>
      <c r="AI551" s="2347"/>
      <c r="AJ551" s="2347"/>
      <c r="AK551" s="2347"/>
      <c r="AL551" s="493"/>
      <c r="AM551" s="493"/>
      <c r="AN551" s="495"/>
    </row>
    <row r="552" spans="1:81" s="449" customFormat="1" ht="12.75" customHeight="1">
      <c r="A552" s="439"/>
      <c r="B552" s="439" t="s">
        <v>2159</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402" t="s">
        <v>860</v>
      </c>
      <c r="D554" s="2402"/>
      <c r="E554" s="450"/>
      <c r="F554" s="2453" t="s">
        <v>2430</v>
      </c>
      <c r="G554" s="2454"/>
      <c r="H554" s="2454"/>
      <c r="I554" s="2454"/>
      <c r="J554" s="2454"/>
      <c r="K554" s="2454"/>
      <c r="L554" s="2454"/>
      <c r="M554" s="2454"/>
      <c r="N554" s="2454"/>
      <c r="O554" s="2454"/>
      <c r="P554" s="2454"/>
      <c r="Q554" s="2454"/>
      <c r="R554" s="2454"/>
      <c r="S554" s="2454"/>
      <c r="T554" s="2454"/>
      <c r="U554" s="2454"/>
      <c r="V554" s="2454"/>
      <c r="W554" s="2454"/>
      <c r="X554" s="2454"/>
      <c r="Y554" s="2454"/>
      <c r="Z554" s="2454"/>
      <c r="AA554" s="2454"/>
      <c r="AB554" s="2454"/>
      <c r="AC554" s="2454"/>
      <c r="AD554" s="2454"/>
      <c r="AE554" s="2454"/>
      <c r="AF554" s="2454"/>
      <c r="AG554" s="2454"/>
      <c r="AH554" s="2454"/>
      <c r="AI554" s="2454"/>
      <c r="AJ554" s="2454"/>
      <c r="AK554" s="2454"/>
      <c r="AL554" s="2455"/>
      <c r="AM554" s="493"/>
      <c r="AN554" s="495"/>
    </row>
    <row r="555" spans="1:81" s="449" customFormat="1" ht="12.75" customHeight="1">
      <c r="B555" s="439"/>
      <c r="C555" s="450"/>
      <c r="D555" s="450"/>
      <c r="E555" s="450"/>
      <c r="F555" s="2456"/>
      <c r="G555" s="2457"/>
      <c r="H555" s="2457"/>
      <c r="I555" s="2457"/>
      <c r="J555" s="2457"/>
      <c r="K555" s="2457"/>
      <c r="L555" s="2457"/>
      <c r="M555" s="2457"/>
      <c r="N555" s="2457"/>
      <c r="O555" s="2457"/>
      <c r="P555" s="2457"/>
      <c r="Q555" s="2457"/>
      <c r="R555" s="2457"/>
      <c r="S555" s="2457"/>
      <c r="T555" s="2457"/>
      <c r="U555" s="2457"/>
      <c r="V555" s="2457"/>
      <c r="W555" s="2457"/>
      <c r="X555" s="2457"/>
      <c r="Y555" s="2457"/>
      <c r="Z555" s="2457"/>
      <c r="AA555" s="2457"/>
      <c r="AB555" s="2457"/>
      <c r="AC555" s="2457"/>
      <c r="AD555" s="2457"/>
      <c r="AE555" s="2457"/>
      <c r="AF555" s="2457"/>
      <c r="AG555" s="2457"/>
      <c r="AH555" s="2457"/>
      <c r="AI555" s="2457"/>
      <c r="AJ555" s="2457"/>
      <c r="AK555" s="2457"/>
      <c r="AL555" s="2458"/>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402" t="s">
        <v>826</v>
      </c>
      <c r="D557" s="2402"/>
      <c r="E557" s="702"/>
      <c r="F557" s="542" t="s">
        <v>2431</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96" t="s">
        <v>2432</v>
      </c>
      <c r="G558" s="2397"/>
      <c r="H558" s="2397"/>
      <c r="I558" s="2397"/>
      <c r="J558" s="2397"/>
      <c r="K558" s="2397"/>
      <c r="L558" s="2397"/>
      <c r="M558" s="2397"/>
      <c r="N558" s="2397"/>
      <c r="O558" s="2397"/>
      <c r="P558" s="2397"/>
      <c r="Q558" s="2397"/>
      <c r="R558" s="2397"/>
      <c r="S558" s="2397"/>
      <c r="T558" s="2397"/>
      <c r="U558" s="2397"/>
      <c r="V558" s="2397"/>
      <c r="W558" s="2397"/>
      <c r="X558" s="2397"/>
      <c r="Y558" s="2397"/>
      <c r="Z558" s="2397"/>
      <c r="AA558" s="2397"/>
      <c r="AB558" s="2397"/>
      <c r="AC558" s="2397"/>
      <c r="AD558" s="2397"/>
      <c r="AE558" s="2397"/>
      <c r="AF558" s="2397"/>
      <c r="AG558" s="2397"/>
      <c r="AH558" s="2397"/>
      <c r="AI558" s="2397"/>
      <c r="AJ558" s="2397"/>
      <c r="AK558" s="2397"/>
      <c r="AL558" s="2398"/>
      <c r="AM558" s="493"/>
      <c r="AN558" s="495"/>
      <c r="AS558" s="765"/>
      <c r="AT558" s="765"/>
      <c r="AU558" s="765"/>
      <c r="AV558" s="765"/>
      <c r="AW558" s="765"/>
    </row>
    <row r="559" spans="1:81" s="449" customFormat="1" ht="12.75" customHeight="1">
      <c r="B559" s="702"/>
      <c r="C559" s="702"/>
      <c r="D559" s="702"/>
      <c r="E559" s="702"/>
      <c r="F559" s="2396"/>
      <c r="G559" s="2397"/>
      <c r="H559" s="2397"/>
      <c r="I559" s="2397"/>
      <c r="J559" s="2397"/>
      <c r="K559" s="2397"/>
      <c r="L559" s="2397"/>
      <c r="M559" s="2397"/>
      <c r="N559" s="2397"/>
      <c r="O559" s="2397"/>
      <c r="P559" s="2397"/>
      <c r="Q559" s="2397"/>
      <c r="R559" s="2397"/>
      <c r="S559" s="2397"/>
      <c r="T559" s="2397"/>
      <c r="U559" s="2397"/>
      <c r="V559" s="2397"/>
      <c r="W559" s="2397"/>
      <c r="X559" s="2397"/>
      <c r="Y559" s="2397"/>
      <c r="Z559" s="2397"/>
      <c r="AA559" s="2397"/>
      <c r="AB559" s="2397"/>
      <c r="AC559" s="2397"/>
      <c r="AD559" s="2397"/>
      <c r="AE559" s="2397"/>
      <c r="AF559" s="2397"/>
      <c r="AG559" s="2397"/>
      <c r="AH559" s="2397"/>
      <c r="AI559" s="2397"/>
      <c r="AJ559" s="2397"/>
      <c r="AK559" s="2397"/>
      <c r="AL559" s="2398"/>
      <c r="AM559" s="493"/>
      <c r="AN559" s="495"/>
    </row>
    <row r="560" spans="1:81" s="449" customFormat="1" ht="12.75" customHeight="1">
      <c r="B560" s="702"/>
      <c r="C560" s="702"/>
      <c r="D560" s="702"/>
      <c r="E560" s="702"/>
      <c r="F560" s="707" t="s">
        <v>2433</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96" t="s">
        <v>2434</v>
      </c>
      <c r="G561" s="2397"/>
      <c r="H561" s="2397"/>
      <c r="I561" s="2397"/>
      <c r="J561" s="2397"/>
      <c r="K561" s="2397"/>
      <c r="L561" s="2397"/>
      <c r="M561" s="2397"/>
      <c r="N561" s="2397"/>
      <c r="O561" s="2397"/>
      <c r="P561" s="2397"/>
      <c r="Q561" s="2397"/>
      <c r="R561" s="2397"/>
      <c r="S561" s="2397"/>
      <c r="T561" s="2397"/>
      <c r="U561" s="2397"/>
      <c r="V561" s="2397"/>
      <c r="W561" s="2397"/>
      <c r="X561" s="2397"/>
      <c r="Y561" s="2397"/>
      <c r="Z561" s="2397"/>
      <c r="AA561" s="2397"/>
      <c r="AB561" s="2397"/>
      <c r="AC561" s="2397"/>
      <c r="AD561" s="2397"/>
      <c r="AE561" s="2397"/>
      <c r="AF561" s="2397"/>
      <c r="AG561" s="2397"/>
      <c r="AH561" s="2397"/>
      <c r="AI561" s="2397"/>
      <c r="AJ561" s="2397"/>
      <c r="AK561" s="2397"/>
      <c r="AL561" s="709"/>
      <c r="AM561" s="493"/>
      <c r="AN561" s="495"/>
    </row>
    <row r="562" spans="1:45" s="449" customFormat="1" ht="12.75" customHeight="1">
      <c r="B562" s="702"/>
      <c r="C562" s="702"/>
      <c r="D562" s="702"/>
      <c r="E562" s="702"/>
      <c r="F562" s="2399"/>
      <c r="G562" s="2400"/>
      <c r="H562" s="2400"/>
      <c r="I562" s="2400"/>
      <c r="J562" s="2400"/>
      <c r="K562" s="2400"/>
      <c r="L562" s="2400"/>
      <c r="M562" s="2400"/>
      <c r="N562" s="2400"/>
      <c r="O562" s="2400"/>
      <c r="P562" s="2400"/>
      <c r="Q562" s="2400"/>
      <c r="R562" s="2400"/>
      <c r="S562" s="2400"/>
      <c r="T562" s="2400"/>
      <c r="U562" s="2400"/>
      <c r="V562" s="2400"/>
      <c r="W562" s="2400"/>
      <c r="X562" s="2400"/>
      <c r="Y562" s="2400"/>
      <c r="Z562" s="2400"/>
      <c r="AA562" s="2400"/>
      <c r="AB562" s="2400"/>
      <c r="AC562" s="2400"/>
      <c r="AD562" s="2400"/>
      <c r="AE562" s="2400"/>
      <c r="AF562" s="2400"/>
      <c r="AG562" s="2400"/>
      <c r="AH562" s="2400"/>
      <c r="AI562" s="2400"/>
      <c r="AJ562" s="2400"/>
      <c r="AK562" s="2400"/>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35">
        <f>Application!AJ1001</f>
        <v>18657046</v>
      </c>
      <c r="AQ563" s="2535"/>
      <c r="AR563" s="2535"/>
      <c r="AS563" s="449" t="s">
        <v>2435</v>
      </c>
    </row>
    <row r="564" spans="1:45" s="449" customFormat="1" ht="12.75" customHeight="1">
      <c r="A564" s="399"/>
      <c r="B564" s="349" t="s">
        <v>2436</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408">
        <f>'Sources and Uses Budget'!S107+'Sources and Uses Budget'!T107</f>
        <v>17229875</v>
      </c>
      <c r="AG564" s="2408"/>
      <c r="AH564" s="2408"/>
      <c r="AI564" s="2408"/>
      <c r="AJ564" s="2408"/>
      <c r="AK564" s="493"/>
      <c r="AL564" s="493"/>
      <c r="AM564" s="493"/>
      <c r="AN564" s="495"/>
    </row>
    <row r="565" spans="1:45" s="449" customFormat="1" ht="12.75" customHeight="1">
      <c r="A565" s="523"/>
      <c r="B565" s="523" t="s">
        <v>2437</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39">
        <f>IFERROR(AP572,0)</f>
        <v>30970696.16</v>
      </c>
      <c r="AG565" s="2539"/>
      <c r="AH565" s="2539"/>
      <c r="AI565" s="2539"/>
      <c r="AJ565" s="2539"/>
      <c r="AK565" s="493"/>
      <c r="AL565" s="493"/>
      <c r="AM565" s="493"/>
      <c r="AN565" s="495"/>
      <c r="AP565" s="2535">
        <f>Application!AJ1054</f>
        <v>5597113.7999999998</v>
      </c>
      <c r="AQ565" s="2535"/>
      <c r="AR565" s="2535"/>
      <c r="AS565" s="449" t="s">
        <v>1703</v>
      </c>
    </row>
    <row r="566" spans="1:45" s="449" customFormat="1" ht="12.75" customHeight="1">
      <c r="A566" s="522"/>
      <c r="B566" s="522" t="s">
        <v>1630</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40">
        <f>IFERROR(ROUNDDOWN(IF(C557="YES",((1-(AF564/AF565))*2),(1-(AF564/AF565))),2),0)</f>
        <v>0.44</v>
      </c>
      <c r="AG566" s="2540"/>
      <c r="AH566" s="2540"/>
      <c r="AI566" s="2540"/>
      <c r="AJ566" s="2540"/>
      <c r="AK566" s="493"/>
      <c r="AL566" s="493"/>
      <c r="AM566" s="493"/>
      <c r="AN566" s="495"/>
      <c r="AP566" s="2555">
        <f>Application!AJ1058</f>
        <v>2985127.36</v>
      </c>
      <c r="AQ566" s="2555"/>
      <c r="AR566" s="2555"/>
      <c r="AS566" s="449" t="s">
        <v>1713</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34">
        <f>IF(((AP565+AP566)/AP563)&gt;0.8,0.8,((AP565+AP566)/AP563))</f>
        <v>0.46</v>
      </c>
      <c r="AQ567" s="2534"/>
      <c r="AR567" s="2534"/>
      <c r="AS567" s="449" t="s">
        <v>2438</v>
      </c>
    </row>
    <row r="568" spans="1:45" s="449" customFormat="1" ht="12.75" customHeight="1">
      <c r="A568" s="522"/>
      <c r="B568" s="2481" t="s">
        <v>2439</v>
      </c>
      <c r="C568" s="2482"/>
      <c r="D568" s="2482"/>
      <c r="E568" s="2482"/>
      <c r="F568" s="2482"/>
      <c r="G568" s="2482"/>
      <c r="H568" s="2482"/>
      <c r="I568" s="2482"/>
      <c r="J568" s="2482"/>
      <c r="K568" s="2482"/>
      <c r="L568" s="2482"/>
      <c r="M568" s="2482"/>
      <c r="N568" s="2482"/>
      <c r="O568" s="2482"/>
      <c r="P568" s="2482"/>
      <c r="Q568" s="2482"/>
      <c r="R568" s="2482"/>
      <c r="S568" s="2482"/>
      <c r="T568" s="2482"/>
      <c r="U568" s="2482"/>
      <c r="V568" s="2482"/>
      <c r="W568" s="2482"/>
      <c r="X568" s="2482"/>
      <c r="Y568" s="2482"/>
      <c r="Z568" s="2482"/>
      <c r="AA568" s="2482"/>
      <c r="AB568" s="2482"/>
      <c r="AC568" s="2482"/>
      <c r="AD568" s="2482"/>
      <c r="AE568" s="2482"/>
      <c r="AF568" s="2482"/>
      <c r="AG568" s="2482"/>
      <c r="AH568" s="2482"/>
      <c r="AI568" s="2482"/>
      <c r="AJ568" s="2483"/>
      <c r="AK568" s="493"/>
      <c r="AL568" s="493"/>
      <c r="AM568" s="493"/>
      <c r="AN568" s="495"/>
    </row>
    <row r="569" spans="1:45" s="449" customFormat="1" ht="12.75" customHeight="1">
      <c r="A569" s="522"/>
      <c r="B569" s="2484"/>
      <c r="C569" s="2485"/>
      <c r="D569" s="2485"/>
      <c r="E569" s="2485"/>
      <c r="F569" s="2485"/>
      <c r="G569" s="2485"/>
      <c r="H569" s="2485"/>
      <c r="I569" s="2485"/>
      <c r="J569" s="2485"/>
      <c r="K569" s="2485"/>
      <c r="L569" s="2485"/>
      <c r="M569" s="2485"/>
      <c r="N569" s="2485"/>
      <c r="O569" s="2485"/>
      <c r="P569" s="2485"/>
      <c r="Q569" s="2485"/>
      <c r="R569" s="2485"/>
      <c r="S569" s="2485"/>
      <c r="T569" s="2485"/>
      <c r="U569" s="2485"/>
      <c r="V569" s="2485"/>
      <c r="W569" s="2485"/>
      <c r="X569" s="2485"/>
      <c r="Y569" s="2485"/>
      <c r="Z569" s="2485"/>
      <c r="AA569" s="2485"/>
      <c r="AB569" s="2485"/>
      <c r="AC569" s="2485"/>
      <c r="AD569" s="2485"/>
      <c r="AE569" s="2485"/>
      <c r="AF569" s="2485"/>
      <c r="AG569" s="2485"/>
      <c r="AH569" s="2485"/>
      <c r="AI569" s="2485"/>
      <c r="AJ569" s="2486"/>
      <c r="AK569" s="493"/>
      <c r="AL569" s="493"/>
      <c r="AM569" s="493"/>
      <c r="AN569" s="495"/>
      <c r="AP569" s="2535">
        <f>AP570-AP565-AP566</f>
        <v>22388455</v>
      </c>
      <c r="AQ569" s="2466"/>
      <c r="AR569" s="2466"/>
      <c r="AS569" s="449" t="s">
        <v>2440</v>
      </c>
    </row>
    <row r="570" spans="1:45" s="449" customFormat="1" ht="12.75" customHeight="1">
      <c r="A570" s="522"/>
      <c r="B570" s="2487"/>
      <c r="C570" s="2488"/>
      <c r="D570" s="2488"/>
      <c r="E570" s="2488"/>
      <c r="F570" s="2488"/>
      <c r="G570" s="2488"/>
      <c r="H570" s="2488"/>
      <c r="I570" s="2488"/>
      <c r="J570" s="2488"/>
      <c r="K570" s="2488"/>
      <c r="L570" s="2488"/>
      <c r="M570" s="2488"/>
      <c r="N570" s="2488"/>
      <c r="O570" s="2488"/>
      <c r="P570" s="2488"/>
      <c r="Q570" s="2488"/>
      <c r="R570" s="2488"/>
      <c r="S570" s="2488"/>
      <c r="T570" s="2488"/>
      <c r="U570" s="2488"/>
      <c r="V570" s="2488"/>
      <c r="W570" s="2488"/>
      <c r="X570" s="2488"/>
      <c r="Y570" s="2488"/>
      <c r="Z570" s="2488"/>
      <c r="AA570" s="2488"/>
      <c r="AB570" s="2488"/>
      <c r="AC570" s="2488"/>
      <c r="AD570" s="2488"/>
      <c r="AE570" s="2488"/>
      <c r="AF570" s="2488"/>
      <c r="AG570" s="2488"/>
      <c r="AH570" s="2488"/>
      <c r="AI570" s="2488"/>
      <c r="AJ570" s="2489"/>
      <c r="AK570" s="493"/>
      <c r="AL570" s="493"/>
      <c r="AM570" s="493"/>
      <c r="AN570" s="495"/>
      <c r="AP570" s="2535">
        <f>Application!AJ1062</f>
        <v>30970696.16</v>
      </c>
      <c r="AQ570" s="2535"/>
      <c r="AR570" s="2535"/>
      <c r="AS570" s="449" t="s">
        <v>2441</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2442</v>
      </c>
      <c r="AK572" s="2490">
        <f>IFERROR(IF(AND(C554="N/A",C557="N/A"),0,IF(AF566=0,0,IF((AF566*100)&gt;12,12,(AF566*100)))),0)</f>
        <v>12</v>
      </c>
      <c r="AL572" s="2490"/>
      <c r="AM572" s="2491"/>
      <c r="AN572" s="495"/>
      <c r="AP572" s="2548">
        <f>AP569+(AP563*AP567)</f>
        <v>30970696.16</v>
      </c>
      <c r="AQ572" s="2549"/>
      <c r="AR572" s="2550"/>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2443</v>
      </c>
      <c r="B575" s="439" t="s">
        <v>2444</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7" t="s">
        <v>2142</v>
      </c>
      <c r="AF575" s="2347"/>
      <c r="AG575" s="2347"/>
      <c r="AH575" s="2347"/>
      <c r="AI575" s="2347"/>
      <c r="AJ575" s="2347"/>
      <c r="AK575" s="2347"/>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97" t="s">
        <v>2445</v>
      </c>
      <c r="C577" s="2397"/>
      <c r="D577" s="2397"/>
      <c r="E577" s="2397"/>
      <c r="F577" s="2397"/>
      <c r="G577" s="2397"/>
      <c r="H577" s="2397"/>
      <c r="I577" s="2397"/>
      <c r="J577" s="2397"/>
      <c r="K577" s="2397"/>
      <c r="L577" s="2397"/>
      <c r="M577" s="2397"/>
      <c r="N577" s="2397"/>
      <c r="O577" s="2397"/>
      <c r="P577" s="2397"/>
      <c r="Q577" s="2397"/>
      <c r="R577" s="2397"/>
      <c r="S577" s="2397"/>
      <c r="T577" s="2397"/>
      <c r="U577" s="2397"/>
      <c r="V577" s="2397"/>
      <c r="W577" s="2397"/>
      <c r="X577" s="2397"/>
      <c r="Y577" s="2397"/>
      <c r="Z577" s="2397"/>
      <c r="AA577" s="2397"/>
      <c r="AB577" s="2397"/>
      <c r="AC577" s="2397"/>
      <c r="AD577" s="2397"/>
      <c r="AE577" s="2397"/>
      <c r="AF577" s="2397"/>
      <c r="AG577" s="2397"/>
      <c r="AH577" s="2397"/>
      <c r="AI577" s="2397"/>
      <c r="AJ577" s="2397"/>
      <c r="AK577" s="540"/>
      <c r="AL577" s="471"/>
      <c r="AM577" s="501"/>
      <c r="AN577" s="495"/>
    </row>
    <row r="578" spans="1:42" s="449" customFormat="1" ht="12.75" customHeight="1">
      <c r="A578" s="501"/>
      <c r="B578" s="2397"/>
      <c r="C578" s="2397"/>
      <c r="D578" s="2397"/>
      <c r="E578" s="2397"/>
      <c r="F578" s="2397"/>
      <c r="G578" s="2397"/>
      <c r="H578" s="2397"/>
      <c r="I578" s="2397"/>
      <c r="J578" s="2397"/>
      <c r="K578" s="2397"/>
      <c r="L578" s="2397"/>
      <c r="M578" s="2397"/>
      <c r="N578" s="2397"/>
      <c r="O578" s="2397"/>
      <c r="P578" s="2397"/>
      <c r="Q578" s="2397"/>
      <c r="R578" s="2397"/>
      <c r="S578" s="2397"/>
      <c r="T578" s="2397"/>
      <c r="U578" s="2397"/>
      <c r="V578" s="2397"/>
      <c r="W578" s="2397"/>
      <c r="X578" s="2397"/>
      <c r="Y578" s="2397"/>
      <c r="Z578" s="2397"/>
      <c r="AA578" s="2397"/>
      <c r="AB578" s="2397"/>
      <c r="AC578" s="2397"/>
      <c r="AD578" s="2397"/>
      <c r="AE578" s="2397"/>
      <c r="AF578" s="2397"/>
      <c r="AG578" s="2397"/>
      <c r="AH578" s="2397"/>
      <c r="AI578" s="2397"/>
      <c r="AJ578" s="2397"/>
      <c r="AK578" s="540"/>
      <c r="AL578" s="471"/>
      <c r="AM578" s="501"/>
      <c r="AN578" s="495"/>
    </row>
    <row r="579" spans="1:42" s="449" customFormat="1" ht="12.75" customHeight="1">
      <c r="A579" s="501"/>
      <c r="B579" s="2397"/>
      <c r="C579" s="2397"/>
      <c r="D579" s="2397"/>
      <c r="E579" s="2397"/>
      <c r="F579" s="2397"/>
      <c r="G579" s="2397"/>
      <c r="H579" s="2397"/>
      <c r="I579" s="2397"/>
      <c r="J579" s="2397"/>
      <c r="K579" s="2397"/>
      <c r="L579" s="2397"/>
      <c r="M579" s="2397"/>
      <c r="N579" s="2397"/>
      <c r="O579" s="2397"/>
      <c r="P579" s="2397"/>
      <c r="Q579" s="2397"/>
      <c r="R579" s="2397"/>
      <c r="S579" s="2397"/>
      <c r="T579" s="2397"/>
      <c r="U579" s="2397"/>
      <c r="V579" s="2397"/>
      <c r="W579" s="2397"/>
      <c r="X579" s="2397"/>
      <c r="Y579" s="2397"/>
      <c r="Z579" s="2397"/>
      <c r="AA579" s="2397"/>
      <c r="AB579" s="2397"/>
      <c r="AC579" s="2397"/>
      <c r="AD579" s="2397"/>
      <c r="AE579" s="2397"/>
      <c r="AF579" s="2397"/>
      <c r="AG579" s="2397"/>
      <c r="AH579" s="2397"/>
      <c r="AI579" s="2397"/>
      <c r="AJ579" s="2397"/>
      <c r="AK579" s="540"/>
      <c r="AL579" s="471"/>
      <c r="AM579" s="501"/>
      <c r="AN579" s="495"/>
    </row>
    <row r="580" spans="1:42" s="449" customFormat="1" ht="12.75" customHeight="1">
      <c r="A580" s="501"/>
      <c r="B580" s="2397"/>
      <c r="C580" s="2397"/>
      <c r="D580" s="2397"/>
      <c r="E580" s="2397"/>
      <c r="F580" s="2397"/>
      <c r="G580" s="2397"/>
      <c r="H580" s="2397"/>
      <c r="I580" s="2397"/>
      <c r="J580" s="2397"/>
      <c r="K580" s="2397"/>
      <c r="L580" s="2397"/>
      <c r="M580" s="2397"/>
      <c r="N580" s="2397"/>
      <c r="O580" s="2397"/>
      <c r="P580" s="2397"/>
      <c r="Q580" s="2397"/>
      <c r="R580" s="2397"/>
      <c r="S580" s="2397"/>
      <c r="T580" s="2397"/>
      <c r="U580" s="2397"/>
      <c r="V580" s="2397"/>
      <c r="W580" s="2397"/>
      <c r="X580" s="2397"/>
      <c r="Y580" s="2397"/>
      <c r="Z580" s="2397"/>
      <c r="AA580" s="2397"/>
      <c r="AB580" s="2397"/>
      <c r="AC580" s="2397"/>
      <c r="AD580" s="2397"/>
      <c r="AE580" s="2397"/>
      <c r="AF580" s="2397"/>
      <c r="AG580" s="2397"/>
      <c r="AH580" s="2397"/>
      <c r="AI580" s="2397"/>
      <c r="AJ580" s="2397"/>
      <c r="AK580" s="540"/>
      <c r="AL580" s="471"/>
      <c r="AM580" s="501"/>
      <c r="AN580" s="495"/>
    </row>
    <row r="581" spans="1:42" s="449" customFormat="1" ht="12.75" customHeight="1">
      <c r="A581" s="501"/>
      <c r="B581" s="2397"/>
      <c r="C581" s="2397"/>
      <c r="D581" s="2397"/>
      <c r="E581" s="2397"/>
      <c r="F581" s="2397"/>
      <c r="G581" s="2397"/>
      <c r="H581" s="2397"/>
      <c r="I581" s="2397"/>
      <c r="J581" s="2397"/>
      <c r="K581" s="2397"/>
      <c r="L581" s="2397"/>
      <c r="M581" s="2397"/>
      <c r="N581" s="2397"/>
      <c r="O581" s="2397"/>
      <c r="P581" s="2397"/>
      <c r="Q581" s="2397"/>
      <c r="R581" s="2397"/>
      <c r="S581" s="2397"/>
      <c r="T581" s="2397"/>
      <c r="U581" s="2397"/>
      <c r="V581" s="2397"/>
      <c r="W581" s="2397"/>
      <c r="X581" s="2397"/>
      <c r="Y581" s="2397"/>
      <c r="Z581" s="2397"/>
      <c r="AA581" s="2397"/>
      <c r="AB581" s="2397"/>
      <c r="AC581" s="2397"/>
      <c r="AD581" s="2397"/>
      <c r="AE581" s="2397"/>
      <c r="AF581" s="2397"/>
      <c r="AG581" s="2397"/>
      <c r="AH581" s="2397"/>
      <c r="AI581" s="2397"/>
      <c r="AJ581" s="2397"/>
      <c r="AK581" s="540"/>
      <c r="AL581" s="471"/>
      <c r="AM581" s="501"/>
      <c r="AN581" s="495"/>
    </row>
    <row r="582" spans="1:42" s="449" customFormat="1" ht="12.75" customHeight="1">
      <c r="A582" s="501"/>
      <c r="B582" s="2397"/>
      <c r="C582" s="2397"/>
      <c r="D582" s="2397"/>
      <c r="E582" s="2397"/>
      <c r="F582" s="2397"/>
      <c r="G582" s="2397"/>
      <c r="H582" s="2397"/>
      <c r="I582" s="2397"/>
      <c r="J582" s="2397"/>
      <c r="K582" s="2397"/>
      <c r="L582" s="2397"/>
      <c r="M582" s="2397"/>
      <c r="N582" s="2397"/>
      <c r="O582" s="2397"/>
      <c r="P582" s="2397"/>
      <c r="Q582" s="2397"/>
      <c r="R582" s="2397"/>
      <c r="S582" s="2397"/>
      <c r="T582" s="2397"/>
      <c r="U582" s="2397"/>
      <c r="V582" s="2397"/>
      <c r="W582" s="2397"/>
      <c r="X582" s="2397"/>
      <c r="Y582" s="2397"/>
      <c r="Z582" s="2397"/>
      <c r="AA582" s="2397"/>
      <c r="AB582" s="2397"/>
      <c r="AC582" s="2397"/>
      <c r="AD582" s="2397"/>
      <c r="AE582" s="2397"/>
      <c r="AF582" s="2397"/>
      <c r="AG582" s="2397"/>
      <c r="AH582" s="2397"/>
      <c r="AI582" s="2397"/>
      <c r="AJ582" s="2397"/>
      <c r="AK582" s="540"/>
      <c r="AL582" s="471"/>
      <c r="AM582" s="501"/>
      <c r="AN582" s="495"/>
    </row>
    <row r="583" spans="1:42" s="449" customFormat="1" ht="12.75" customHeight="1">
      <c r="A583" s="501"/>
      <c r="B583" s="2397"/>
      <c r="C583" s="2397"/>
      <c r="D583" s="2397"/>
      <c r="E583" s="2397"/>
      <c r="F583" s="2397"/>
      <c r="G583" s="2397"/>
      <c r="H583" s="2397"/>
      <c r="I583" s="2397"/>
      <c r="J583" s="2397"/>
      <c r="K583" s="2397"/>
      <c r="L583" s="2397"/>
      <c r="M583" s="2397"/>
      <c r="N583" s="2397"/>
      <c r="O583" s="2397"/>
      <c r="P583" s="2397"/>
      <c r="Q583" s="2397"/>
      <c r="R583" s="2397"/>
      <c r="S583" s="2397"/>
      <c r="T583" s="2397"/>
      <c r="U583" s="2397"/>
      <c r="V583" s="2397"/>
      <c r="W583" s="2397"/>
      <c r="X583" s="2397"/>
      <c r="Y583" s="2397"/>
      <c r="Z583" s="2397"/>
      <c r="AA583" s="2397"/>
      <c r="AB583" s="2397"/>
      <c r="AC583" s="2397"/>
      <c r="AD583" s="2397"/>
      <c r="AE583" s="2397"/>
      <c r="AF583" s="2397"/>
      <c r="AG583" s="2397"/>
      <c r="AH583" s="2397"/>
      <c r="AI583" s="2397"/>
      <c r="AJ583" s="2397"/>
      <c r="AK583" s="540"/>
      <c r="AL583" s="471"/>
      <c r="AM583" s="501"/>
      <c r="AN583" s="495"/>
    </row>
    <row r="584" spans="1:42" ht="12.75" customHeight="1">
      <c r="A584" s="501"/>
      <c r="B584" s="2397"/>
      <c r="C584" s="2397"/>
      <c r="D584" s="2397"/>
      <c r="E584" s="2397"/>
      <c r="F584" s="2397"/>
      <c r="G584" s="2397"/>
      <c r="H584" s="2397"/>
      <c r="I584" s="2397"/>
      <c r="J584" s="2397"/>
      <c r="K584" s="2397"/>
      <c r="L584" s="2397"/>
      <c r="M584" s="2397"/>
      <c r="N584" s="2397"/>
      <c r="O584" s="2397"/>
      <c r="P584" s="2397"/>
      <c r="Q584" s="2397"/>
      <c r="R584" s="2397"/>
      <c r="S584" s="2397"/>
      <c r="T584" s="2397"/>
      <c r="U584" s="2397"/>
      <c r="V584" s="2397"/>
      <c r="W584" s="2397"/>
      <c r="X584" s="2397"/>
      <c r="Y584" s="2397"/>
      <c r="Z584" s="2397"/>
      <c r="AA584" s="2397"/>
      <c r="AB584" s="2397"/>
      <c r="AC584" s="2397"/>
      <c r="AD584" s="2397"/>
      <c r="AE584" s="2397"/>
      <c r="AF584" s="2397"/>
      <c r="AG584" s="2397"/>
      <c r="AH584" s="2397"/>
      <c r="AI584" s="2397"/>
      <c r="AJ584" s="2397"/>
      <c r="AK584" s="540"/>
      <c r="AL584" s="471"/>
      <c r="AM584" s="501"/>
    </row>
    <row r="585" spans="1:42" s="449" customFormat="1" ht="12.75" customHeight="1">
      <c r="B585" s="2397"/>
      <c r="C585" s="2397"/>
      <c r="D585" s="2397"/>
      <c r="E585" s="2397"/>
      <c r="F585" s="2397"/>
      <c r="G585" s="2397"/>
      <c r="H585" s="2397"/>
      <c r="I585" s="2397"/>
      <c r="J585" s="2397"/>
      <c r="K585" s="2397"/>
      <c r="L585" s="2397"/>
      <c r="M585" s="2397"/>
      <c r="N585" s="2397"/>
      <c r="O585" s="2397"/>
      <c r="P585" s="2397"/>
      <c r="Q585" s="2397"/>
      <c r="R585" s="2397"/>
      <c r="S585" s="2397"/>
      <c r="T585" s="2397"/>
      <c r="U585" s="2397"/>
      <c r="V585" s="2397"/>
      <c r="W585" s="2397"/>
      <c r="X585" s="2397"/>
      <c r="Y585" s="2397"/>
      <c r="Z585" s="2397"/>
      <c r="AA585" s="2397"/>
      <c r="AB585" s="2397"/>
      <c r="AC585" s="2397"/>
      <c r="AD585" s="2397"/>
      <c r="AE585" s="2397"/>
      <c r="AF585" s="2397"/>
      <c r="AG585" s="2397"/>
      <c r="AH585" s="2397"/>
      <c r="AI585" s="2397"/>
      <c r="AJ585" s="2397"/>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2446</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826</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860</v>
      </c>
    </row>
    <row r="589" spans="1:42" s="449" customFormat="1" ht="12.75" customHeight="1">
      <c r="C589" s="439" t="s">
        <v>2447</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2448</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80" t="s">
        <v>2187</v>
      </c>
      <c r="AG591" s="2380"/>
      <c r="AH591" s="2380"/>
      <c r="AI591" s="2380"/>
      <c r="AJ591" s="2380"/>
      <c r="AK591" s="2380"/>
      <c r="AL591" s="2380"/>
      <c r="AN591" s="495"/>
    </row>
    <row r="592" spans="1:42" s="449" customFormat="1" ht="12.75" customHeight="1">
      <c r="B592" s="436"/>
      <c r="C592" s="514"/>
      <c r="D592" s="559"/>
      <c r="E592" s="734" t="s">
        <v>2449</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2450</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2451</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2452</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2453</v>
      </c>
      <c r="AP595" s="449" t="b">
        <f>IF(Application!AF427&gt;=25,TRUE,FALSE)</f>
        <v>1</v>
      </c>
    </row>
    <row r="596" spans="1:42" s="449" customFormat="1" ht="12.75" customHeight="1">
      <c r="B596" s="436"/>
      <c r="C596" s="514"/>
      <c r="D596" s="559"/>
      <c r="E596" s="734" t="s">
        <v>2454</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2455</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80" t="s">
        <v>2456</v>
      </c>
      <c r="AG598" s="2380"/>
      <c r="AH598" s="2380"/>
      <c r="AI598" s="2380"/>
      <c r="AJ598" s="2380"/>
      <c r="AK598" s="2380"/>
      <c r="AL598" s="2380"/>
      <c r="AN598" s="495"/>
    </row>
    <row r="599" spans="1:42" s="449" customFormat="1" ht="12.75" customHeight="1">
      <c r="B599" s="436"/>
      <c r="C599" s="823"/>
      <c r="D599" s="559"/>
      <c r="E599" s="734" t="s">
        <v>2457</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826</v>
      </c>
      <c r="AP599" s="569">
        <v>0</v>
      </c>
    </row>
    <row r="600" spans="1:42" s="449" customFormat="1" ht="12.75" customHeight="1">
      <c r="B600" s="508"/>
      <c r="C600" s="821"/>
      <c r="D600" s="559"/>
      <c r="E600" s="734" t="s">
        <v>2458</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2459</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2460</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2461</v>
      </c>
      <c r="AP603" s="449">
        <v>4</v>
      </c>
    </row>
    <row r="604" spans="1:42" s="449" customFormat="1" ht="12.75" customHeight="1">
      <c r="B604" s="436"/>
      <c r="C604" s="821"/>
      <c r="D604" s="559" t="s">
        <v>49</v>
      </c>
      <c r="E604" s="734" t="s">
        <v>2462</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80" t="s">
        <v>2463</v>
      </c>
      <c r="AG604" s="2380"/>
      <c r="AH604" s="2380"/>
      <c r="AI604" s="2380"/>
      <c r="AJ604" s="2380"/>
      <c r="AK604" s="2380"/>
      <c r="AL604" s="2380"/>
      <c r="AN604" s="495"/>
      <c r="AO604" s="509" t="s">
        <v>2464</v>
      </c>
      <c r="AP604" s="449">
        <v>3</v>
      </c>
    </row>
    <row r="605" spans="1:42" s="449" customFormat="1" ht="12.75" customHeight="1">
      <c r="B605" s="436"/>
      <c r="C605" s="823"/>
      <c r="D605" s="559"/>
      <c r="E605" s="734" t="s">
        <v>2457</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2458</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2465</v>
      </c>
    </row>
    <row r="607" spans="1:42" s="449" customFormat="1" ht="12.75" customHeight="1">
      <c r="B607" s="436"/>
      <c r="C607" s="823"/>
      <c r="D607" s="559"/>
      <c r="E607" s="734" t="s">
        <v>2459</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2466</v>
      </c>
    </row>
    <row r="608" spans="1:42" s="449" customFormat="1" ht="12.75" customHeight="1">
      <c r="B608" s="436"/>
      <c r="C608" s="823"/>
      <c r="D608" s="559"/>
      <c r="E608" s="734" t="s">
        <v>2460</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2467</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2461</v>
      </c>
      <c r="E610" s="734" t="s">
        <v>2468</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80" t="s">
        <v>2469</v>
      </c>
      <c r="AG610" s="2380"/>
      <c r="AH610" s="2380"/>
      <c r="AI610" s="2380"/>
      <c r="AJ610" s="2380"/>
      <c r="AK610" s="2380"/>
      <c r="AL610" s="2380"/>
      <c r="AN610" s="495"/>
      <c r="AO610" s="449" t="str">
        <f>X647</f>
        <v>N/A</v>
      </c>
    </row>
    <row r="611" spans="1:53" s="449" customFormat="1" ht="12.75" customHeight="1">
      <c r="B611" s="436"/>
      <c r="C611" s="823"/>
      <c r="D611" s="559"/>
      <c r="E611" s="734" t="s">
        <v>2470</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2471</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2472</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2473</v>
      </c>
    </row>
    <row r="614" spans="1:53" s="449" customFormat="1" ht="12.75" customHeight="1">
      <c r="B614" s="508"/>
      <c r="C614" s="821"/>
      <c r="D614" s="559"/>
      <c r="E614" s="436" t="s">
        <v>2474</v>
      </c>
      <c r="O614" s="2462" t="s">
        <v>1016</v>
      </c>
      <c r="P614" s="2462"/>
      <c r="Q614" s="2462"/>
      <c r="R614" s="2462"/>
      <c r="S614" s="2462"/>
      <c r="T614" s="2462"/>
      <c r="U614" s="2462"/>
      <c r="V614" s="2462"/>
      <c r="W614" s="2462"/>
      <c r="X614" s="2462"/>
      <c r="Y614" s="2462"/>
      <c r="Z614" s="2462"/>
      <c r="AA614" s="2462"/>
      <c r="AB614" s="2462"/>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2464</v>
      </c>
      <c r="E616" s="734" t="s">
        <v>2475</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80" t="s">
        <v>2203</v>
      </c>
      <c r="AG616" s="2380"/>
      <c r="AH616" s="2380"/>
      <c r="AI616" s="2380"/>
      <c r="AJ616" s="2380"/>
      <c r="AK616" s="2380"/>
      <c r="AL616" s="2380"/>
      <c r="AN616" s="495"/>
    </row>
    <row r="617" spans="1:53" s="449" customFormat="1" ht="12.75" customHeight="1">
      <c r="B617" s="436"/>
      <c r="C617" s="821"/>
      <c r="D617" s="559"/>
      <c r="E617" s="734" t="s">
        <v>2476</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826</v>
      </c>
      <c r="AP618" s="569">
        <v>0</v>
      </c>
      <c r="AT618" s="449" t="s">
        <v>826</v>
      </c>
      <c r="AU618" s="569">
        <v>0</v>
      </c>
    </row>
    <row r="619" spans="1:53" s="449" customFormat="1" ht="12.75" customHeight="1">
      <c r="B619" s="436"/>
      <c r="C619" s="823"/>
      <c r="D619" s="436" t="s">
        <v>2477</v>
      </c>
      <c r="E619" s="826"/>
      <c r="F619" s="826"/>
      <c r="G619" s="826"/>
      <c r="H619" s="2460" t="s">
        <v>27</v>
      </c>
      <c r="I619" s="2460"/>
      <c r="J619" s="826"/>
      <c r="K619" s="826"/>
      <c r="L619" s="826"/>
      <c r="N619" s="19"/>
      <c r="O619" s="19"/>
      <c r="P619" s="19"/>
      <c r="Q619" s="1034" t="s">
        <v>2478</v>
      </c>
      <c r="R619" s="2463"/>
      <c r="S619" s="2463"/>
      <c r="T619" s="2463"/>
      <c r="U619" s="2463"/>
      <c r="V619" s="2463"/>
      <c r="W619" s="2463"/>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4" t="str">
        <f>IF(AND(H619="(i)",NOT(AP595)),AO612,IF(AND(H619="(iv)",OR(R619=AO608,R619=AO607),NOT(AP596)),AO613,""))</f>
        <v/>
      </c>
      <c r="Z620" s="2464"/>
      <c r="AA620" s="2464"/>
      <c r="AB620" s="2464"/>
      <c r="AC620" s="2464"/>
      <c r="AD620" s="2464"/>
      <c r="AE620" s="2464"/>
      <c r="AF620" s="2464"/>
      <c r="AG620" s="2464"/>
      <c r="AH620" s="2464"/>
      <c r="AI620" s="2464"/>
      <c r="AJ620" s="2464"/>
      <c r="AK620" s="2464"/>
      <c r="AL620" s="2464"/>
      <c r="AM620" s="2465"/>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4"/>
      <c r="Z621" s="2464"/>
      <c r="AA621" s="2464"/>
      <c r="AB621" s="2464"/>
      <c r="AC621" s="2464"/>
      <c r="AD621" s="2464"/>
      <c r="AE621" s="2464"/>
      <c r="AF621" s="2464"/>
      <c r="AG621" s="2464"/>
      <c r="AH621" s="2464"/>
      <c r="AI621" s="2464"/>
      <c r="AJ621" s="2464"/>
      <c r="AK621" s="2464"/>
      <c r="AL621" s="2464"/>
      <c r="AM621" s="2465"/>
      <c r="AN621" s="495"/>
      <c r="AO621" s="509"/>
      <c r="AT621" s="509"/>
    </row>
    <row r="622" spans="1:53" s="449" customFormat="1" ht="12.75" customHeight="1">
      <c r="B622" s="436"/>
      <c r="C622" s="823"/>
      <c r="D622" s="436" t="s">
        <v>2479</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2480</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2481</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2482</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826</v>
      </c>
      <c r="AP626" s="569">
        <v>0</v>
      </c>
    </row>
    <row r="627" spans="1:42" s="449" customFormat="1" ht="12.75" customHeight="1">
      <c r="B627" s="436"/>
      <c r="C627" s="823"/>
      <c r="D627" s="436"/>
      <c r="E627" s="436" t="s">
        <v>2477</v>
      </c>
      <c r="F627" s="826"/>
      <c r="G627" s="826"/>
      <c r="I627" s="2461" t="s">
        <v>826</v>
      </c>
      <c r="J627" s="2461"/>
      <c r="K627" s="2461"/>
      <c r="L627" s="2461"/>
      <c r="M627" s="2461"/>
      <c r="N627" s="2461"/>
      <c r="O627" s="2461"/>
      <c r="P627" s="2461"/>
      <c r="Q627" s="2461"/>
      <c r="R627" s="2461"/>
      <c r="S627" s="2461"/>
      <c r="T627" s="2461"/>
      <c r="U627" s="2461"/>
      <c r="V627" s="2461"/>
      <c r="W627" s="2461"/>
      <c r="X627" s="2461"/>
      <c r="Y627" s="2461"/>
      <c r="Z627" s="2461"/>
      <c r="AA627" s="2461"/>
      <c r="AB627" s="2461"/>
      <c r="AC627" s="2461"/>
      <c r="AD627" s="2461"/>
      <c r="AE627" s="2461"/>
      <c r="AF627" s="436"/>
      <c r="AG627" s="436"/>
      <c r="AH627" s="436"/>
      <c r="AI627" s="436"/>
      <c r="AJ627" s="436"/>
      <c r="AK627" s="436"/>
      <c r="AL627" s="436"/>
      <c r="AN627" s="495"/>
      <c r="AO627" s="449" t="s">
        <v>2483</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2484</v>
      </c>
      <c r="AP628" s="449">
        <v>2</v>
      </c>
    </row>
    <row r="629" spans="1:42" s="449" customFormat="1" ht="12.75" customHeight="1">
      <c r="B629" s="2392" t="s">
        <v>826</v>
      </c>
      <c r="C629" s="2392"/>
      <c r="D629" s="540"/>
      <c r="E629" s="2397" t="s">
        <v>2485</v>
      </c>
      <c r="F629" s="2397"/>
      <c r="G629" s="2397"/>
      <c r="H629" s="2397"/>
      <c r="I629" s="2397"/>
      <c r="J629" s="2397"/>
      <c r="K629" s="2397"/>
      <c r="L629" s="2397"/>
      <c r="M629" s="2397"/>
      <c r="N629" s="2397"/>
      <c r="O629" s="2397"/>
      <c r="P629" s="2397"/>
      <c r="Q629" s="2397"/>
      <c r="R629" s="2397"/>
      <c r="S629" s="2397"/>
      <c r="T629" s="2397"/>
      <c r="U629" s="2397"/>
      <c r="V629" s="2397"/>
      <c r="W629" s="2397"/>
      <c r="X629" s="2397"/>
      <c r="Y629" s="2397"/>
      <c r="Z629" s="2397"/>
      <c r="AA629" s="2397"/>
      <c r="AB629" s="2397"/>
      <c r="AC629" s="2397"/>
      <c r="AD629" s="2397"/>
      <c r="AE629" s="2397"/>
      <c r="AF629" s="2397"/>
      <c r="AG629" s="2397"/>
      <c r="AH629" s="540"/>
      <c r="AI629" s="540"/>
      <c r="AJ629" s="540"/>
      <c r="AK629" s="540"/>
      <c r="AL629" s="540"/>
      <c r="AN629" s="495"/>
    </row>
    <row r="630" spans="1:42" s="449" customFormat="1" ht="12.75" customHeight="1">
      <c r="B630" s="436"/>
      <c r="C630" s="823"/>
      <c r="D630" s="540"/>
      <c r="E630" s="2397"/>
      <c r="F630" s="2397"/>
      <c r="G630" s="2397"/>
      <c r="H630" s="2397"/>
      <c r="I630" s="2397"/>
      <c r="J630" s="2397"/>
      <c r="K630" s="2397"/>
      <c r="L630" s="2397"/>
      <c r="M630" s="2397"/>
      <c r="N630" s="2397"/>
      <c r="O630" s="2397"/>
      <c r="P630" s="2397"/>
      <c r="Q630" s="2397"/>
      <c r="R630" s="2397"/>
      <c r="S630" s="2397"/>
      <c r="T630" s="2397"/>
      <c r="U630" s="2397"/>
      <c r="V630" s="2397"/>
      <c r="W630" s="2397"/>
      <c r="X630" s="2397"/>
      <c r="Y630" s="2397"/>
      <c r="Z630" s="2397"/>
      <c r="AA630" s="2397"/>
      <c r="AB630" s="2397"/>
      <c r="AC630" s="2397"/>
      <c r="AD630" s="2397"/>
      <c r="AE630" s="2397"/>
      <c r="AF630" s="2397"/>
      <c r="AG630" s="2397"/>
      <c r="AH630" s="540"/>
      <c r="AI630" s="540"/>
      <c r="AJ630" s="540"/>
      <c r="AK630" s="540"/>
      <c r="AL630" s="540"/>
      <c r="AN630" s="495"/>
    </row>
    <row r="631" spans="1:42" s="449" customFormat="1" ht="12.75" customHeight="1">
      <c r="B631" s="436"/>
      <c r="C631" s="823"/>
      <c r="D631" s="540"/>
      <c r="E631" s="2397"/>
      <c r="F631" s="2397"/>
      <c r="G631" s="2397"/>
      <c r="H631" s="2397"/>
      <c r="I631" s="2397"/>
      <c r="J631" s="2397"/>
      <c r="K631" s="2397"/>
      <c r="L631" s="2397"/>
      <c r="M631" s="2397"/>
      <c r="N631" s="2397"/>
      <c r="O631" s="2397"/>
      <c r="P631" s="2397"/>
      <c r="Q631" s="2397"/>
      <c r="R631" s="2397"/>
      <c r="S631" s="2397"/>
      <c r="T631" s="2397"/>
      <c r="U631" s="2397"/>
      <c r="V631" s="2397"/>
      <c r="W631" s="2397"/>
      <c r="X631" s="2397"/>
      <c r="Y631" s="2397"/>
      <c r="Z631" s="2397"/>
      <c r="AA631" s="2397"/>
      <c r="AB631" s="2397"/>
      <c r="AC631" s="2397"/>
      <c r="AD631" s="2397"/>
      <c r="AE631" s="2397"/>
      <c r="AF631" s="2397"/>
      <c r="AG631" s="2397"/>
      <c r="AH631" s="540"/>
      <c r="AI631" s="540"/>
      <c r="AJ631" s="540"/>
      <c r="AK631" s="540"/>
      <c r="AL631" s="540"/>
      <c r="AN631" s="495"/>
    </row>
    <row r="632" spans="1:42" s="449" customFormat="1" ht="12.75" customHeight="1">
      <c r="B632" s="436"/>
      <c r="C632" s="823"/>
      <c r="D632" s="540"/>
      <c r="E632" s="2397"/>
      <c r="F632" s="2397"/>
      <c r="G632" s="2397"/>
      <c r="H632" s="2397"/>
      <c r="I632" s="2397"/>
      <c r="J632" s="2397"/>
      <c r="K632" s="2397"/>
      <c r="L632" s="2397"/>
      <c r="M632" s="2397"/>
      <c r="N632" s="2397"/>
      <c r="O632" s="2397"/>
      <c r="P632" s="2397"/>
      <c r="Q632" s="2397"/>
      <c r="R632" s="2397"/>
      <c r="S632" s="2397"/>
      <c r="T632" s="2397"/>
      <c r="U632" s="2397"/>
      <c r="V632" s="2397"/>
      <c r="W632" s="2397"/>
      <c r="X632" s="2397"/>
      <c r="Y632" s="2397"/>
      <c r="Z632" s="2397"/>
      <c r="AA632" s="2397"/>
      <c r="AB632" s="2397"/>
      <c r="AC632" s="2397"/>
      <c r="AD632" s="2397"/>
      <c r="AE632" s="2397"/>
      <c r="AF632" s="2397"/>
      <c r="AG632" s="2397"/>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2486</v>
      </c>
      <c r="AJ634" s="2405">
        <f>VLOOKUP($H$619,$AO$599:$AP$604,2,FALSE)+IF(R619=AO607,0,VLOOKUP($I$627,$AO$626:$AP$628,2,FALSE))</f>
        <v>6</v>
      </c>
      <c r="AK634" s="2407"/>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2487</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59" t="s">
        <v>2488</v>
      </c>
      <c r="F638" s="2459"/>
      <c r="G638" s="2459"/>
      <c r="H638" s="2459"/>
      <c r="I638" s="2459"/>
      <c r="J638" s="2459"/>
      <c r="K638" s="2459"/>
      <c r="L638" s="2459"/>
      <c r="M638" s="2459"/>
      <c r="N638" s="2459"/>
      <c r="O638" s="2459"/>
      <c r="P638" s="2459"/>
      <c r="Q638" s="2459"/>
      <c r="R638" s="2459"/>
      <c r="S638" s="2459"/>
      <c r="T638" s="2459"/>
      <c r="U638" s="2459"/>
      <c r="V638" s="2459"/>
      <c r="W638" s="2459"/>
      <c r="X638" s="2459"/>
      <c r="Y638" s="2459"/>
      <c r="Z638" s="2459"/>
      <c r="AA638" s="2459"/>
      <c r="AB638" s="2459"/>
      <c r="AC638" s="2459"/>
      <c r="AD638" s="2459"/>
      <c r="AE638" s="439"/>
      <c r="AF638" s="2380" t="s">
        <v>2203</v>
      </c>
      <c r="AG638" s="2380"/>
      <c r="AH638" s="2380"/>
      <c r="AI638" s="2380"/>
      <c r="AJ638" s="2380"/>
      <c r="AK638" s="2380"/>
      <c r="AL638" s="2380"/>
      <c r="AM638" s="449"/>
      <c r="AN638" s="574"/>
    </row>
    <row r="639" spans="1:42" s="449" customFormat="1" ht="12.75" customHeight="1">
      <c r="A639" s="575"/>
      <c r="B639" s="436"/>
      <c r="C639" s="823"/>
      <c r="D639" s="559"/>
      <c r="E639" s="2459"/>
      <c r="F639" s="2459"/>
      <c r="G639" s="2459"/>
      <c r="H639" s="2459"/>
      <c r="I639" s="2459"/>
      <c r="J639" s="2459"/>
      <c r="K639" s="2459"/>
      <c r="L639" s="2459"/>
      <c r="M639" s="2459"/>
      <c r="N639" s="2459"/>
      <c r="O639" s="2459"/>
      <c r="P639" s="2459"/>
      <c r="Q639" s="2459"/>
      <c r="R639" s="2459"/>
      <c r="S639" s="2459"/>
      <c r="T639" s="2459"/>
      <c r="U639" s="2459"/>
      <c r="V639" s="2459"/>
      <c r="W639" s="2459"/>
      <c r="X639" s="2459"/>
      <c r="Y639" s="2459"/>
      <c r="Z639" s="2459"/>
      <c r="AA639" s="2459"/>
      <c r="AB639" s="2459"/>
      <c r="AC639" s="2459"/>
      <c r="AD639" s="2459"/>
      <c r="AE639" s="436"/>
      <c r="AF639" s="436"/>
      <c r="AG639" s="436"/>
      <c r="AH639" s="436"/>
      <c r="AI639" s="436"/>
      <c r="AJ639" s="436"/>
      <c r="AK639" s="436"/>
      <c r="AL639" s="436"/>
      <c r="AN639" s="495"/>
    </row>
    <row r="640" spans="1:42" s="449" customFormat="1" ht="12.75" customHeight="1">
      <c r="B640" s="436"/>
      <c r="C640" s="821"/>
      <c r="D640" s="559"/>
      <c r="E640" s="2459"/>
      <c r="F640" s="2459"/>
      <c r="G640" s="2459"/>
      <c r="H640" s="2459"/>
      <c r="I640" s="2459"/>
      <c r="J640" s="2459"/>
      <c r="K640" s="2459"/>
      <c r="L640" s="2459"/>
      <c r="M640" s="2459"/>
      <c r="N640" s="2459"/>
      <c r="O640" s="2459"/>
      <c r="P640" s="2459"/>
      <c r="Q640" s="2459"/>
      <c r="R640" s="2459"/>
      <c r="S640" s="2459"/>
      <c r="T640" s="2459"/>
      <c r="U640" s="2459"/>
      <c r="V640" s="2459"/>
      <c r="W640" s="2459"/>
      <c r="X640" s="2459"/>
      <c r="Y640" s="2459"/>
      <c r="Z640" s="2459"/>
      <c r="AA640" s="2459"/>
      <c r="AB640" s="2459"/>
      <c r="AC640" s="2459"/>
      <c r="AD640" s="2459"/>
      <c r="AE640" s="436"/>
      <c r="AF640" s="436"/>
      <c r="AG640" s="436"/>
      <c r="AH640" s="436"/>
      <c r="AI640" s="436"/>
      <c r="AJ640" s="436"/>
      <c r="AK640" s="436"/>
      <c r="AL640" s="436"/>
      <c r="AN640" s="495"/>
    </row>
    <row r="641" spans="1:42" s="449" customFormat="1" ht="12.75" customHeight="1">
      <c r="B641" s="436"/>
      <c r="C641" s="821"/>
      <c r="D641" s="559"/>
      <c r="E641" s="2459"/>
      <c r="F641" s="2459"/>
      <c r="G641" s="2459"/>
      <c r="H641" s="2459"/>
      <c r="I641" s="2459"/>
      <c r="J641" s="2459"/>
      <c r="K641" s="2459"/>
      <c r="L641" s="2459"/>
      <c r="M641" s="2459"/>
      <c r="N641" s="2459"/>
      <c r="O641" s="2459"/>
      <c r="P641" s="2459"/>
      <c r="Q641" s="2459"/>
      <c r="R641" s="2459"/>
      <c r="S641" s="2459"/>
      <c r="T641" s="2459"/>
      <c r="U641" s="2459"/>
      <c r="V641" s="2459"/>
      <c r="W641" s="2459"/>
      <c r="X641" s="2459"/>
      <c r="Y641" s="2459"/>
      <c r="Z641" s="2459"/>
      <c r="AA641" s="2459"/>
      <c r="AB641" s="2459"/>
      <c r="AC641" s="2459"/>
      <c r="AD641" s="2459"/>
      <c r="AE641" s="436"/>
      <c r="AF641" s="436"/>
      <c r="AG641" s="436"/>
      <c r="AH641" s="436"/>
      <c r="AI641" s="436"/>
      <c r="AJ641" s="436"/>
      <c r="AK641" s="436"/>
      <c r="AL641" s="436"/>
      <c r="AN641" s="495"/>
    </row>
    <row r="642" spans="1:42" s="449" customFormat="1" ht="12.75" customHeight="1">
      <c r="B642" s="436"/>
      <c r="C642" s="821"/>
      <c r="D642" s="559"/>
      <c r="E642" s="2459"/>
      <c r="F642" s="2459"/>
      <c r="G642" s="2459"/>
      <c r="H642" s="2459"/>
      <c r="I642" s="2459"/>
      <c r="J642" s="2459"/>
      <c r="K642" s="2459"/>
      <c r="L642" s="2459"/>
      <c r="M642" s="2459"/>
      <c r="N642" s="2459"/>
      <c r="O642" s="2459"/>
      <c r="P642" s="2459"/>
      <c r="Q642" s="2459"/>
      <c r="R642" s="2459"/>
      <c r="S642" s="2459"/>
      <c r="T642" s="2459"/>
      <c r="U642" s="2459"/>
      <c r="V642" s="2459"/>
      <c r="W642" s="2459"/>
      <c r="X642" s="2459"/>
      <c r="Y642" s="2459"/>
      <c r="Z642" s="2459"/>
      <c r="AA642" s="2459"/>
      <c r="AB642" s="2459"/>
      <c r="AC642" s="2459"/>
      <c r="AD642" s="2459"/>
      <c r="AE642" s="436"/>
      <c r="AF642" s="436"/>
      <c r="AG642" s="436"/>
      <c r="AH642" s="436"/>
      <c r="AI642" s="436"/>
      <c r="AJ642" s="436"/>
      <c r="AK642" s="436"/>
      <c r="AL642" s="436"/>
      <c r="AN642" s="495"/>
    </row>
    <row r="643" spans="1:42" s="449" customFormat="1" ht="12.75" customHeight="1">
      <c r="B643" s="436"/>
      <c r="C643" s="821"/>
      <c r="D643" s="559"/>
      <c r="E643" s="2459"/>
      <c r="F643" s="2459"/>
      <c r="G643" s="2459"/>
      <c r="H643" s="2459"/>
      <c r="I643" s="2459"/>
      <c r="J643" s="2459"/>
      <c r="K643" s="2459"/>
      <c r="L643" s="2459"/>
      <c r="M643" s="2459"/>
      <c r="N643" s="2459"/>
      <c r="O643" s="2459"/>
      <c r="P643" s="2459"/>
      <c r="Q643" s="2459"/>
      <c r="R643" s="2459"/>
      <c r="S643" s="2459"/>
      <c r="T643" s="2459"/>
      <c r="U643" s="2459"/>
      <c r="V643" s="2459"/>
      <c r="W643" s="2459"/>
      <c r="X643" s="2459"/>
      <c r="Y643" s="2459"/>
      <c r="Z643" s="2459"/>
      <c r="AA643" s="2459"/>
      <c r="AB643" s="2459"/>
      <c r="AC643" s="2459"/>
      <c r="AD643" s="2459"/>
      <c r="AE643" s="436"/>
      <c r="AF643" s="436"/>
      <c r="AG643" s="436"/>
      <c r="AH643" s="436"/>
      <c r="AI643" s="436"/>
      <c r="AJ643" s="436"/>
      <c r="AK643" s="436"/>
      <c r="AL643" s="436"/>
      <c r="AN643" s="495"/>
    </row>
    <row r="644" spans="1:42" s="449" customFormat="1" ht="12.75" customHeight="1">
      <c r="A644" s="535"/>
      <c r="B644" s="514"/>
      <c r="C644" s="830"/>
      <c r="D644" s="559"/>
      <c r="E644" s="2459"/>
      <c r="F644" s="2459"/>
      <c r="G644" s="2459"/>
      <c r="H644" s="2459"/>
      <c r="I644" s="2459"/>
      <c r="J644" s="2459"/>
      <c r="K644" s="2459"/>
      <c r="L644" s="2459"/>
      <c r="M644" s="2459"/>
      <c r="N644" s="2459"/>
      <c r="O644" s="2459"/>
      <c r="P644" s="2459"/>
      <c r="Q644" s="2459"/>
      <c r="R644" s="2459"/>
      <c r="S644" s="2459"/>
      <c r="T644" s="2459"/>
      <c r="U644" s="2459"/>
      <c r="V644" s="2459"/>
      <c r="W644" s="2459"/>
      <c r="X644" s="2459"/>
      <c r="Y644" s="2459"/>
      <c r="Z644" s="2459"/>
      <c r="AA644" s="2459"/>
      <c r="AB644" s="2459"/>
      <c r="AC644" s="2459"/>
      <c r="AD644" s="2459"/>
      <c r="AE644" s="514"/>
      <c r="AF644" s="514"/>
      <c r="AG644" s="514"/>
      <c r="AH644" s="514"/>
      <c r="AI644" s="514"/>
      <c r="AJ644" s="514"/>
      <c r="AK644" s="436"/>
      <c r="AL644" s="436"/>
      <c r="AN644" s="495"/>
    </row>
    <row r="645" spans="1:42" s="449" customFormat="1" ht="12.75" customHeight="1">
      <c r="B645" s="514"/>
      <c r="C645" s="830"/>
      <c r="D645" s="559"/>
      <c r="E645" s="2459"/>
      <c r="F645" s="2459"/>
      <c r="G645" s="2459"/>
      <c r="H645" s="2459"/>
      <c r="I645" s="2459"/>
      <c r="J645" s="2459"/>
      <c r="K645" s="2459"/>
      <c r="L645" s="2459"/>
      <c r="M645" s="2459"/>
      <c r="N645" s="2459"/>
      <c r="O645" s="2459"/>
      <c r="P645" s="2459"/>
      <c r="Q645" s="2459"/>
      <c r="R645" s="2459"/>
      <c r="S645" s="2459"/>
      <c r="T645" s="2459"/>
      <c r="U645" s="2459"/>
      <c r="V645" s="2459"/>
      <c r="W645" s="2459"/>
      <c r="X645" s="2459"/>
      <c r="Y645" s="2459"/>
      <c r="Z645" s="2459"/>
      <c r="AA645" s="2459"/>
      <c r="AB645" s="2459"/>
      <c r="AC645" s="2459"/>
      <c r="AD645" s="2459"/>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826</v>
      </c>
      <c r="AP646" s="569">
        <v>0</v>
      </c>
    </row>
    <row r="647" spans="1:42" s="449" customFormat="1" ht="12.75" customHeight="1">
      <c r="B647" s="514"/>
      <c r="C647" s="821"/>
      <c r="D647" s="559"/>
      <c r="E647" s="514" t="s">
        <v>2489</v>
      </c>
      <c r="F647" s="831"/>
      <c r="G647" s="831"/>
      <c r="H647" s="831"/>
      <c r="I647" s="831"/>
      <c r="J647" s="831"/>
      <c r="K647" s="831"/>
      <c r="L647" s="831"/>
      <c r="M647" s="831"/>
      <c r="N647" s="831"/>
      <c r="O647" s="831"/>
      <c r="P647" s="831"/>
      <c r="Q647" s="831"/>
      <c r="R647" s="831"/>
      <c r="U647" s="831"/>
      <c r="V647" s="831"/>
      <c r="W647" s="831"/>
      <c r="X647" s="2392" t="s">
        <v>826</v>
      </c>
      <c r="Y647" s="2392"/>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2490</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80" t="s">
        <v>2491</v>
      </c>
      <c r="AG649" s="2380"/>
      <c r="AH649" s="2380"/>
      <c r="AI649" s="2380"/>
      <c r="AJ649" s="2380"/>
      <c r="AK649" s="2380"/>
      <c r="AL649" s="2380"/>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2461</v>
      </c>
      <c r="AP650" s="576">
        <v>4</v>
      </c>
    </row>
    <row r="651" spans="1:42" s="449" customFormat="1" ht="12.75" customHeight="1">
      <c r="B651" s="436"/>
      <c r="C651" s="821"/>
      <c r="D651" s="436" t="s">
        <v>2477</v>
      </c>
      <c r="E651" s="826"/>
      <c r="F651" s="826"/>
      <c r="G651" s="826"/>
      <c r="H651" s="2460" t="s">
        <v>826</v>
      </c>
      <c r="I651" s="2460"/>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2464</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2492</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2493</v>
      </c>
      <c r="AJ653" s="2405">
        <f>VLOOKUP($H$651,$AO$618:$AP$620,2,FALSE)</f>
        <v>0</v>
      </c>
      <c r="AK653" s="2407"/>
      <c r="AL653" s="493"/>
      <c r="AN653" s="495"/>
      <c r="AO653" s="509" t="s">
        <v>2494</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2495</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97" t="s">
        <v>2496</v>
      </c>
      <c r="F657" s="2397"/>
      <c r="G657" s="2397"/>
      <c r="H657" s="2397"/>
      <c r="I657" s="2397"/>
      <c r="J657" s="2397"/>
      <c r="K657" s="2397"/>
      <c r="L657" s="2397"/>
      <c r="M657" s="2397"/>
      <c r="N657" s="2397"/>
      <c r="O657" s="2397"/>
      <c r="P657" s="2397"/>
      <c r="Q657" s="2397"/>
      <c r="R657" s="2397"/>
      <c r="S657" s="2397"/>
      <c r="T657" s="2397"/>
      <c r="U657" s="2397"/>
      <c r="V657" s="2397"/>
      <c r="W657" s="2397"/>
      <c r="X657" s="2397"/>
      <c r="Y657" s="2397"/>
      <c r="Z657" s="2397"/>
      <c r="AA657" s="2397"/>
      <c r="AB657" s="2397"/>
      <c r="AC657" s="2397"/>
      <c r="AD657" s="2397"/>
      <c r="AE657" s="436"/>
      <c r="AF657" s="2380" t="s">
        <v>2203</v>
      </c>
      <c r="AG657" s="2380"/>
      <c r="AH657" s="2380"/>
      <c r="AI657" s="2380"/>
      <c r="AJ657" s="2380"/>
      <c r="AK657" s="2380"/>
      <c r="AL657" s="2380"/>
      <c r="AN657" s="495"/>
    </row>
    <row r="658" spans="1:42" s="449" customFormat="1" ht="12.75" customHeight="1">
      <c r="B658" s="436"/>
      <c r="C658" s="436"/>
      <c r="D658" s="559"/>
      <c r="E658" s="2397"/>
      <c r="F658" s="2397"/>
      <c r="G658" s="2397"/>
      <c r="H658" s="2397"/>
      <c r="I658" s="2397"/>
      <c r="J658" s="2397"/>
      <c r="K658" s="2397"/>
      <c r="L658" s="2397"/>
      <c r="M658" s="2397"/>
      <c r="N658" s="2397"/>
      <c r="O658" s="2397"/>
      <c r="P658" s="2397"/>
      <c r="Q658" s="2397"/>
      <c r="R658" s="2397"/>
      <c r="S658" s="2397"/>
      <c r="T658" s="2397"/>
      <c r="U658" s="2397"/>
      <c r="V658" s="2397"/>
      <c r="W658" s="2397"/>
      <c r="X658" s="2397"/>
      <c r="Y658" s="2397"/>
      <c r="Z658" s="2397"/>
      <c r="AA658" s="2397"/>
      <c r="AB658" s="2397"/>
      <c r="AC658" s="2397"/>
      <c r="AD658" s="2397"/>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2497</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80" t="s">
        <v>2491</v>
      </c>
      <c r="AG660" s="2380"/>
      <c r="AH660" s="2380"/>
      <c r="AI660" s="2380"/>
      <c r="AJ660" s="2380"/>
      <c r="AK660" s="2380"/>
      <c r="AL660" s="2380"/>
      <c r="AN660" s="495"/>
    </row>
    <row r="661" spans="1:42" s="449" customFormat="1" ht="12.75" customHeight="1">
      <c r="B661" s="436"/>
      <c r="C661" s="821"/>
      <c r="D661" s="559"/>
      <c r="E661" s="514" t="s">
        <v>2498</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2477</v>
      </c>
      <c r="E663" s="826"/>
      <c r="F663" s="826"/>
      <c r="G663" s="826"/>
      <c r="H663" s="2460" t="s">
        <v>22</v>
      </c>
      <c r="I663" s="2460"/>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2499</v>
      </c>
      <c r="AJ665" s="2405">
        <f>VLOOKUP(H663,AT618:AU620,2,FALSE)</f>
        <v>3</v>
      </c>
      <c r="AK665" s="2407"/>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2500</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2501</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97" t="s">
        <v>2502</v>
      </c>
      <c r="F670" s="2397"/>
      <c r="G670" s="2397"/>
      <c r="H670" s="2397"/>
      <c r="I670" s="2397"/>
      <c r="J670" s="2397"/>
      <c r="K670" s="2397"/>
      <c r="L670" s="2397"/>
      <c r="M670" s="2397"/>
      <c r="N670" s="2397"/>
      <c r="O670" s="2397"/>
      <c r="P670" s="2397"/>
      <c r="Q670" s="2397"/>
      <c r="R670" s="2397"/>
      <c r="S670" s="2397"/>
      <c r="T670" s="2397"/>
      <c r="U670" s="2397"/>
      <c r="V670" s="2397"/>
      <c r="W670" s="2397"/>
      <c r="X670" s="2397"/>
      <c r="Y670" s="2397"/>
      <c r="Z670" s="2397"/>
      <c r="AA670" s="2397"/>
      <c r="AB670" s="2397"/>
      <c r="AC670" s="2397"/>
      <c r="AD670" s="436"/>
      <c r="AE670" s="436"/>
      <c r="AF670" s="2380" t="s">
        <v>2463</v>
      </c>
      <c r="AG670" s="2380"/>
      <c r="AH670" s="2380"/>
      <c r="AI670" s="2380"/>
      <c r="AJ670" s="2380"/>
      <c r="AK670" s="2380"/>
      <c r="AL670" s="2380"/>
      <c r="AN670" s="495"/>
    </row>
    <row r="671" spans="1:42" s="449" customFormat="1" ht="12.75" customHeight="1">
      <c r="B671" s="436"/>
      <c r="C671" s="439"/>
      <c r="D671" s="436"/>
      <c r="E671" s="2397"/>
      <c r="F671" s="2397"/>
      <c r="G671" s="2397"/>
      <c r="H671" s="2397"/>
      <c r="I671" s="2397"/>
      <c r="J671" s="2397"/>
      <c r="K671" s="2397"/>
      <c r="L671" s="2397"/>
      <c r="M671" s="2397"/>
      <c r="N671" s="2397"/>
      <c r="O671" s="2397"/>
      <c r="P671" s="2397"/>
      <c r="Q671" s="2397"/>
      <c r="R671" s="2397"/>
      <c r="S671" s="2397"/>
      <c r="T671" s="2397"/>
      <c r="U671" s="2397"/>
      <c r="V671" s="2397"/>
      <c r="W671" s="2397"/>
      <c r="X671" s="2397"/>
      <c r="Y671" s="2397"/>
      <c r="Z671" s="2397"/>
      <c r="AA671" s="2397"/>
      <c r="AB671" s="2397"/>
      <c r="AC671" s="2397"/>
      <c r="AD671" s="436"/>
      <c r="AE671" s="436"/>
      <c r="AF671" s="436"/>
      <c r="AG671" s="436"/>
      <c r="AH671" s="436"/>
      <c r="AI671" s="436"/>
      <c r="AJ671" s="436"/>
      <c r="AK671" s="436"/>
      <c r="AL671" s="436"/>
      <c r="AN671" s="495"/>
    </row>
    <row r="672" spans="1:42" s="449" customFormat="1" ht="12.75" customHeight="1">
      <c r="B672" s="436"/>
      <c r="C672" s="439"/>
      <c r="D672" s="559"/>
      <c r="E672" s="2397"/>
      <c r="F672" s="2397"/>
      <c r="G672" s="2397"/>
      <c r="H672" s="2397"/>
      <c r="I672" s="2397"/>
      <c r="J672" s="2397"/>
      <c r="K672" s="2397"/>
      <c r="L672" s="2397"/>
      <c r="M672" s="2397"/>
      <c r="N672" s="2397"/>
      <c r="O672" s="2397"/>
      <c r="P672" s="2397"/>
      <c r="Q672" s="2397"/>
      <c r="R672" s="2397"/>
      <c r="S672" s="2397"/>
      <c r="T672" s="2397"/>
      <c r="U672" s="2397"/>
      <c r="V672" s="2397"/>
      <c r="W672" s="2397"/>
      <c r="X672" s="2397"/>
      <c r="Y672" s="2397"/>
      <c r="Z672" s="2397"/>
      <c r="AA672" s="2397"/>
      <c r="AB672" s="2397"/>
      <c r="AC672" s="2397"/>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97" t="s">
        <v>2503</v>
      </c>
      <c r="F674" s="2397"/>
      <c r="G674" s="2397"/>
      <c r="H674" s="2397"/>
      <c r="I674" s="2397"/>
      <c r="J674" s="2397"/>
      <c r="K674" s="2397"/>
      <c r="L674" s="2397"/>
      <c r="M674" s="2397"/>
      <c r="N674" s="2397"/>
      <c r="O674" s="2397"/>
      <c r="P674" s="2397"/>
      <c r="Q674" s="2397"/>
      <c r="R674" s="2397"/>
      <c r="S674" s="2397"/>
      <c r="T674" s="2397"/>
      <c r="U674" s="2397"/>
      <c r="V674" s="2397"/>
      <c r="W674" s="2397"/>
      <c r="X674" s="2397"/>
      <c r="Y674" s="2397"/>
      <c r="Z674" s="2397"/>
      <c r="AA674" s="2397"/>
      <c r="AB674" s="2397"/>
      <c r="AC674" s="2397"/>
      <c r="AD674" s="436"/>
      <c r="AE674" s="436"/>
      <c r="AF674" s="2380" t="s">
        <v>2469</v>
      </c>
      <c r="AG674" s="2380"/>
      <c r="AH674" s="2380"/>
      <c r="AI674" s="2380"/>
      <c r="AJ674" s="2380"/>
      <c r="AK674" s="2380"/>
      <c r="AL674" s="2380"/>
      <c r="AN674" s="495"/>
    </row>
    <row r="675" spans="1:42" s="449" customFormat="1" ht="12.75" customHeight="1">
      <c r="B675" s="436"/>
      <c r="C675" s="439"/>
      <c r="D675" s="436"/>
      <c r="E675" s="2397"/>
      <c r="F675" s="2397"/>
      <c r="G675" s="2397"/>
      <c r="H675" s="2397"/>
      <c r="I675" s="2397"/>
      <c r="J675" s="2397"/>
      <c r="K675" s="2397"/>
      <c r="L675" s="2397"/>
      <c r="M675" s="2397"/>
      <c r="N675" s="2397"/>
      <c r="O675" s="2397"/>
      <c r="P675" s="2397"/>
      <c r="Q675" s="2397"/>
      <c r="R675" s="2397"/>
      <c r="S675" s="2397"/>
      <c r="T675" s="2397"/>
      <c r="U675" s="2397"/>
      <c r="V675" s="2397"/>
      <c r="W675" s="2397"/>
      <c r="X675" s="2397"/>
      <c r="Y675" s="2397"/>
      <c r="Z675" s="2397"/>
      <c r="AA675" s="2397"/>
      <c r="AB675" s="2397"/>
      <c r="AC675" s="2397"/>
      <c r="AD675" s="436"/>
      <c r="AE675" s="436"/>
      <c r="AF675" s="436"/>
      <c r="AG675" s="436"/>
      <c r="AH675" s="436"/>
      <c r="AI675" s="436"/>
      <c r="AJ675" s="436"/>
      <c r="AK675" s="436"/>
      <c r="AL675" s="436"/>
      <c r="AN675" s="495"/>
    </row>
    <row r="676" spans="1:42" s="449" customFormat="1" ht="15" customHeight="1">
      <c r="B676" s="436"/>
      <c r="C676" s="439"/>
      <c r="D676" s="559"/>
      <c r="E676" s="2397"/>
      <c r="F676" s="2397"/>
      <c r="G676" s="2397"/>
      <c r="H676" s="2397"/>
      <c r="I676" s="2397"/>
      <c r="J676" s="2397"/>
      <c r="K676" s="2397"/>
      <c r="L676" s="2397"/>
      <c r="M676" s="2397"/>
      <c r="N676" s="2397"/>
      <c r="O676" s="2397"/>
      <c r="P676" s="2397"/>
      <c r="Q676" s="2397"/>
      <c r="R676" s="2397"/>
      <c r="S676" s="2397"/>
      <c r="T676" s="2397"/>
      <c r="U676" s="2397"/>
      <c r="V676" s="2397"/>
      <c r="W676" s="2397"/>
      <c r="X676" s="2397"/>
      <c r="Y676" s="2397"/>
      <c r="Z676" s="2397"/>
      <c r="AA676" s="2397"/>
      <c r="AB676" s="2397"/>
      <c r="AC676" s="2397"/>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97" t="s">
        <v>2504</v>
      </c>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c r="AA678" s="2397"/>
      <c r="AB678" s="2397"/>
      <c r="AC678" s="2397"/>
      <c r="AD678" s="436"/>
      <c r="AE678" s="436"/>
      <c r="AF678" s="2380" t="s">
        <v>2203</v>
      </c>
      <c r="AG678" s="2380"/>
      <c r="AH678" s="2380"/>
      <c r="AI678" s="2380"/>
      <c r="AJ678" s="2380"/>
      <c r="AK678" s="2380"/>
      <c r="AL678" s="2380"/>
      <c r="AN678" s="495"/>
    </row>
    <row r="679" spans="1:42" s="449" customFormat="1" ht="12.75" customHeight="1">
      <c r="B679" s="436"/>
      <c r="C679" s="821"/>
      <c r="D679" s="436"/>
      <c r="E679" s="2397"/>
      <c r="F679" s="2397"/>
      <c r="G679" s="2397"/>
      <c r="H679" s="2397"/>
      <c r="I679" s="2397"/>
      <c r="J679" s="2397"/>
      <c r="K679" s="2397"/>
      <c r="L679" s="2397"/>
      <c r="M679" s="2397"/>
      <c r="N679" s="2397"/>
      <c r="O679" s="2397"/>
      <c r="P679" s="2397"/>
      <c r="Q679" s="2397"/>
      <c r="R679" s="2397"/>
      <c r="S679" s="2397"/>
      <c r="T679" s="2397"/>
      <c r="U679" s="2397"/>
      <c r="V679" s="2397"/>
      <c r="W679" s="2397"/>
      <c r="X679" s="2397"/>
      <c r="Y679" s="2397"/>
      <c r="Z679" s="2397"/>
      <c r="AA679" s="2397"/>
      <c r="AB679" s="2397"/>
      <c r="AC679" s="2397"/>
      <c r="AD679" s="436"/>
      <c r="AE679" s="2380"/>
      <c r="AF679" s="2380"/>
      <c r="AG679" s="2380"/>
      <c r="AH679" s="2380"/>
      <c r="AI679" s="2380"/>
      <c r="AJ679" s="2380"/>
      <c r="AK679" s="2380"/>
      <c r="AL679" s="492"/>
      <c r="AN679" s="495"/>
      <c r="AO679" s="449" t="s">
        <v>826</v>
      </c>
      <c r="AP679" s="569">
        <v>0</v>
      </c>
    </row>
    <row r="680" spans="1:42" s="449" customFormat="1" ht="12.75" customHeight="1">
      <c r="A680" s="575"/>
      <c r="B680" s="436"/>
      <c r="C680" s="436"/>
      <c r="D680" s="559"/>
      <c r="E680" s="2397"/>
      <c r="F680" s="2397"/>
      <c r="G680" s="2397"/>
      <c r="H680" s="2397"/>
      <c r="I680" s="2397"/>
      <c r="J680" s="2397"/>
      <c r="K680" s="2397"/>
      <c r="L680" s="2397"/>
      <c r="M680" s="2397"/>
      <c r="N680" s="2397"/>
      <c r="O680" s="2397"/>
      <c r="P680" s="2397"/>
      <c r="Q680" s="2397"/>
      <c r="R680" s="2397"/>
      <c r="S680" s="2397"/>
      <c r="T680" s="2397"/>
      <c r="U680" s="2397"/>
      <c r="V680" s="2397"/>
      <c r="W680" s="2397"/>
      <c r="X680" s="2397"/>
      <c r="Y680" s="2397"/>
      <c r="Z680" s="2397"/>
      <c r="AA680" s="2397"/>
      <c r="AB680" s="2397"/>
      <c r="AC680" s="2397"/>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2461</v>
      </c>
      <c r="E682" s="2397" t="s">
        <v>2505</v>
      </c>
      <c r="F682" s="2397"/>
      <c r="G682" s="2397"/>
      <c r="H682" s="2397"/>
      <c r="I682" s="2397"/>
      <c r="J682" s="2397"/>
      <c r="K682" s="2397"/>
      <c r="L682" s="2397"/>
      <c r="M682" s="2397"/>
      <c r="N682" s="2397"/>
      <c r="O682" s="2397"/>
      <c r="P682" s="2397"/>
      <c r="Q682" s="2397"/>
      <c r="R682" s="2397"/>
      <c r="S682" s="2397"/>
      <c r="T682" s="2397"/>
      <c r="U682" s="2397"/>
      <c r="V682" s="2397"/>
      <c r="W682" s="2397"/>
      <c r="X682" s="2397"/>
      <c r="Y682" s="2397"/>
      <c r="Z682" s="2397"/>
      <c r="AA682" s="2397"/>
      <c r="AB682" s="2397"/>
      <c r="AC682" s="2397"/>
      <c r="AD682" s="436"/>
      <c r="AE682" s="436"/>
      <c r="AF682" s="2380" t="s">
        <v>2469</v>
      </c>
      <c r="AG682" s="2380"/>
      <c r="AH682" s="2380"/>
      <c r="AI682" s="2380"/>
      <c r="AJ682" s="2380"/>
      <c r="AK682" s="2380"/>
      <c r="AL682" s="2380"/>
      <c r="AN682" s="495"/>
    </row>
    <row r="683" spans="1:42" s="449" customFormat="1" ht="12.75" customHeight="1">
      <c r="A683" s="566"/>
      <c r="B683" s="436"/>
      <c r="C683" s="837"/>
      <c r="D683" s="559"/>
      <c r="E683" s="2397"/>
      <c r="F683" s="2397"/>
      <c r="G683" s="2397"/>
      <c r="H683" s="2397"/>
      <c r="I683" s="2397"/>
      <c r="J683" s="2397"/>
      <c r="K683" s="2397"/>
      <c r="L683" s="2397"/>
      <c r="M683" s="2397"/>
      <c r="N683" s="2397"/>
      <c r="O683" s="2397"/>
      <c r="P683" s="2397"/>
      <c r="Q683" s="2397"/>
      <c r="R683" s="2397"/>
      <c r="S683" s="2397"/>
      <c r="T683" s="2397"/>
      <c r="U683" s="2397"/>
      <c r="V683" s="2397"/>
      <c r="W683" s="2397"/>
      <c r="X683" s="2397"/>
      <c r="Y683" s="2397"/>
      <c r="Z683" s="2397"/>
      <c r="AA683" s="2397"/>
      <c r="AB683" s="2397"/>
      <c r="AC683" s="2397"/>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97"/>
      <c r="F684" s="2397"/>
      <c r="G684" s="2397"/>
      <c r="H684" s="2397"/>
      <c r="I684" s="2397"/>
      <c r="J684" s="2397"/>
      <c r="K684" s="2397"/>
      <c r="L684" s="2397"/>
      <c r="M684" s="2397"/>
      <c r="N684" s="2397"/>
      <c r="O684" s="2397"/>
      <c r="P684" s="2397"/>
      <c r="Q684" s="2397"/>
      <c r="R684" s="2397"/>
      <c r="S684" s="2397"/>
      <c r="T684" s="2397"/>
      <c r="U684" s="2397"/>
      <c r="V684" s="2397"/>
      <c r="W684" s="2397"/>
      <c r="X684" s="2397"/>
      <c r="Y684" s="2397"/>
      <c r="Z684" s="2397"/>
      <c r="AA684" s="2397"/>
      <c r="AB684" s="2397"/>
      <c r="AC684" s="2397"/>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2464</v>
      </c>
      <c r="E686" s="2397" t="s">
        <v>2506</v>
      </c>
      <c r="F686" s="2397"/>
      <c r="G686" s="2397"/>
      <c r="H686" s="2397"/>
      <c r="I686" s="2397"/>
      <c r="J686" s="2397"/>
      <c r="K686" s="2397"/>
      <c r="L686" s="2397"/>
      <c r="M686" s="2397"/>
      <c r="N686" s="2397"/>
      <c r="O686" s="2397"/>
      <c r="P686" s="2397"/>
      <c r="Q686" s="2397"/>
      <c r="R686" s="2397"/>
      <c r="S686" s="2397"/>
      <c r="T686" s="2397"/>
      <c r="U686" s="2397"/>
      <c r="V686" s="2397"/>
      <c r="W686" s="2397"/>
      <c r="X686" s="2397"/>
      <c r="Y686" s="2397"/>
      <c r="Z686" s="2397"/>
      <c r="AA686" s="2397"/>
      <c r="AB686" s="2397"/>
      <c r="AC686" s="2397"/>
      <c r="AD686" s="436"/>
      <c r="AE686" s="436"/>
      <c r="AF686" s="2380" t="s">
        <v>2203</v>
      </c>
      <c r="AG686" s="2380"/>
      <c r="AH686" s="2380"/>
      <c r="AI686" s="2380"/>
      <c r="AJ686" s="2380"/>
      <c r="AK686" s="2380"/>
      <c r="AL686" s="2380"/>
      <c r="AM686" s="494"/>
      <c r="AN686" s="495"/>
    </row>
    <row r="687" spans="1:42" s="449" customFormat="1" ht="12.75" customHeight="1">
      <c r="B687" s="436"/>
      <c r="C687" s="821"/>
      <c r="D687" s="559"/>
      <c r="E687" s="2397"/>
      <c r="F687" s="2397"/>
      <c r="G687" s="2397"/>
      <c r="H687" s="2397"/>
      <c r="I687" s="2397"/>
      <c r="J687" s="2397"/>
      <c r="K687" s="2397"/>
      <c r="L687" s="2397"/>
      <c r="M687" s="2397"/>
      <c r="N687" s="2397"/>
      <c r="O687" s="2397"/>
      <c r="P687" s="2397"/>
      <c r="Q687" s="2397"/>
      <c r="R687" s="2397"/>
      <c r="S687" s="2397"/>
      <c r="T687" s="2397"/>
      <c r="U687" s="2397"/>
      <c r="V687" s="2397"/>
      <c r="W687" s="2397"/>
      <c r="X687" s="2397"/>
      <c r="Y687" s="2397"/>
      <c r="Z687" s="2397"/>
      <c r="AA687" s="2397"/>
      <c r="AB687" s="2397"/>
      <c r="AC687" s="2397"/>
      <c r="AD687" s="436"/>
      <c r="AE687" s="436"/>
      <c r="AF687" s="436"/>
      <c r="AG687" s="436"/>
      <c r="AH687" s="436"/>
      <c r="AI687" s="436"/>
      <c r="AJ687" s="436"/>
      <c r="AK687" s="436"/>
      <c r="AL687" s="436"/>
      <c r="AM687" s="494"/>
      <c r="AN687" s="495"/>
    </row>
    <row r="688" spans="1:42" s="449" customFormat="1" ht="12.75" customHeight="1">
      <c r="B688" s="436"/>
      <c r="C688" s="821"/>
      <c r="D688" s="559"/>
      <c r="E688" s="2397"/>
      <c r="F688" s="2397"/>
      <c r="G688" s="2397"/>
      <c r="H688" s="2397"/>
      <c r="I688" s="2397"/>
      <c r="J688" s="2397"/>
      <c r="K688" s="2397"/>
      <c r="L688" s="2397"/>
      <c r="M688" s="2397"/>
      <c r="N688" s="2397"/>
      <c r="O688" s="2397"/>
      <c r="P688" s="2397"/>
      <c r="Q688" s="2397"/>
      <c r="R688" s="2397"/>
      <c r="S688" s="2397"/>
      <c r="T688" s="2397"/>
      <c r="U688" s="2397"/>
      <c r="V688" s="2397"/>
      <c r="W688" s="2397"/>
      <c r="X688" s="2397"/>
      <c r="Y688" s="2397"/>
      <c r="Z688" s="2397"/>
      <c r="AA688" s="2397"/>
      <c r="AB688" s="2397"/>
      <c r="AC688" s="2397"/>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2492</v>
      </c>
      <c r="E690" s="2397" t="s">
        <v>2507</v>
      </c>
      <c r="F690" s="2397"/>
      <c r="G690" s="2397"/>
      <c r="H690" s="2397"/>
      <c r="I690" s="2397"/>
      <c r="J690" s="2397"/>
      <c r="K690" s="2397"/>
      <c r="L690" s="2397"/>
      <c r="M690" s="2397"/>
      <c r="N690" s="2397"/>
      <c r="O690" s="2397"/>
      <c r="P690" s="2397"/>
      <c r="Q690" s="2397"/>
      <c r="R690" s="2397"/>
      <c r="S690" s="2397"/>
      <c r="T690" s="2397"/>
      <c r="U690" s="2397"/>
      <c r="V690" s="2397"/>
      <c r="W690" s="2397"/>
      <c r="X690" s="2397"/>
      <c r="Y690" s="2397"/>
      <c r="Z690" s="2397"/>
      <c r="AA690" s="2397"/>
      <c r="AB690" s="2397"/>
      <c r="AC690" s="2397"/>
      <c r="AD690" s="436"/>
      <c r="AE690" s="436"/>
      <c r="AF690" s="2380" t="s">
        <v>2491</v>
      </c>
      <c r="AG690" s="2380"/>
      <c r="AH690" s="2380"/>
      <c r="AI690" s="2380"/>
      <c r="AJ690" s="2380"/>
      <c r="AK690" s="2380"/>
      <c r="AL690" s="2380"/>
      <c r="AM690" s="494"/>
      <c r="AN690" s="495"/>
    </row>
    <row r="691" spans="1:50" s="449" customFormat="1" ht="12.75" customHeight="1">
      <c r="A691" s="575"/>
      <c r="B691" s="436"/>
      <c r="C691" s="821"/>
      <c r="D691" s="559"/>
      <c r="E691" s="2397"/>
      <c r="F691" s="2397"/>
      <c r="G691" s="2397"/>
      <c r="H691" s="2397"/>
      <c r="I691" s="2397"/>
      <c r="J691" s="2397"/>
      <c r="K691" s="2397"/>
      <c r="L691" s="2397"/>
      <c r="M691" s="2397"/>
      <c r="N691" s="2397"/>
      <c r="O691" s="2397"/>
      <c r="P691" s="2397"/>
      <c r="Q691" s="2397"/>
      <c r="R691" s="2397"/>
      <c r="S691" s="2397"/>
      <c r="T691" s="2397"/>
      <c r="U691" s="2397"/>
      <c r="V691" s="2397"/>
      <c r="W691" s="2397"/>
      <c r="X691" s="2397"/>
      <c r="Y691" s="2397"/>
      <c r="Z691" s="2397"/>
      <c r="AA691" s="2397"/>
      <c r="AB691" s="2397"/>
      <c r="AC691" s="2397"/>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97"/>
      <c r="F692" s="2397"/>
      <c r="G692" s="2397"/>
      <c r="H692" s="2397"/>
      <c r="I692" s="2397"/>
      <c r="J692" s="2397"/>
      <c r="K692" s="2397"/>
      <c r="L692" s="2397"/>
      <c r="M692" s="2397"/>
      <c r="N692" s="2397"/>
      <c r="O692" s="2397"/>
      <c r="P692" s="2397"/>
      <c r="Q692" s="2397"/>
      <c r="R692" s="2397"/>
      <c r="S692" s="2397"/>
      <c r="T692" s="2397"/>
      <c r="U692" s="2397"/>
      <c r="V692" s="2397"/>
      <c r="W692" s="2397"/>
      <c r="X692" s="2397"/>
      <c r="Y692" s="2397"/>
      <c r="Z692" s="2397"/>
      <c r="AA692" s="2397"/>
      <c r="AB692" s="2397"/>
      <c r="AC692" s="2397"/>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826</v>
      </c>
      <c r="AP693" s="535">
        <v>0</v>
      </c>
    </row>
    <row r="694" spans="1:50" s="449" customFormat="1" ht="12.75" customHeight="1">
      <c r="A694" s="575"/>
      <c r="B694" s="436"/>
      <c r="C694" s="821"/>
      <c r="D694" s="559" t="s">
        <v>2494</v>
      </c>
      <c r="E694" s="2397" t="s">
        <v>2508</v>
      </c>
      <c r="F694" s="2397"/>
      <c r="G694" s="2397"/>
      <c r="H694" s="2397"/>
      <c r="I694" s="2397"/>
      <c r="J694" s="2397"/>
      <c r="K694" s="2397"/>
      <c r="L694" s="2397"/>
      <c r="M694" s="2397"/>
      <c r="N694" s="2397"/>
      <c r="O694" s="2397"/>
      <c r="P694" s="2397"/>
      <c r="Q694" s="2397"/>
      <c r="R694" s="2397"/>
      <c r="S694" s="2397"/>
      <c r="T694" s="2397"/>
      <c r="U694" s="2397"/>
      <c r="V694" s="2397"/>
      <c r="W694" s="2397"/>
      <c r="X694" s="2397"/>
      <c r="Y694" s="2397"/>
      <c r="Z694" s="2397"/>
      <c r="AA694" s="2397"/>
      <c r="AB694" s="2397"/>
      <c r="AC694" s="2397"/>
      <c r="AD694" s="436"/>
      <c r="AE694" s="436"/>
      <c r="AF694" s="2380" t="s">
        <v>2509</v>
      </c>
      <c r="AG694" s="2380"/>
      <c r="AH694" s="2380"/>
      <c r="AI694" s="2380"/>
      <c r="AJ694" s="2380"/>
      <c r="AK694" s="2380"/>
      <c r="AL694" s="2380"/>
      <c r="AM694" s="494"/>
      <c r="AN694" s="495"/>
      <c r="AO694" s="509" t="s">
        <v>22</v>
      </c>
      <c r="AP694" s="449">
        <v>3</v>
      </c>
    </row>
    <row r="695" spans="1:50" s="449" customFormat="1" ht="12.75" customHeight="1">
      <c r="A695" s="575"/>
      <c r="B695" s="436"/>
      <c r="C695" s="821"/>
      <c r="D695" s="559"/>
      <c r="E695" s="2397"/>
      <c r="F695" s="2397"/>
      <c r="G695" s="2397"/>
      <c r="H695" s="2397"/>
      <c r="I695" s="2397"/>
      <c r="J695" s="2397"/>
      <c r="K695" s="2397"/>
      <c r="L695" s="2397"/>
      <c r="M695" s="2397"/>
      <c r="N695" s="2397"/>
      <c r="O695" s="2397"/>
      <c r="P695" s="2397"/>
      <c r="Q695" s="2397"/>
      <c r="R695" s="2397"/>
      <c r="S695" s="2397"/>
      <c r="T695" s="2397"/>
      <c r="U695" s="2397"/>
      <c r="V695" s="2397"/>
      <c r="W695" s="2397"/>
      <c r="X695" s="2397"/>
      <c r="Y695" s="2397"/>
      <c r="Z695" s="2397"/>
      <c r="AA695" s="2397"/>
      <c r="AB695" s="2397"/>
      <c r="AC695" s="2397"/>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97"/>
      <c r="F696" s="2397"/>
      <c r="G696" s="2397"/>
      <c r="H696" s="2397"/>
      <c r="I696" s="2397"/>
      <c r="J696" s="2397"/>
      <c r="K696" s="2397"/>
      <c r="L696" s="2397"/>
      <c r="M696" s="2397"/>
      <c r="N696" s="2397"/>
      <c r="O696" s="2397"/>
      <c r="P696" s="2397"/>
      <c r="Q696" s="2397"/>
      <c r="R696" s="2397"/>
      <c r="S696" s="2397"/>
      <c r="T696" s="2397"/>
      <c r="U696" s="2397"/>
      <c r="V696" s="2397"/>
      <c r="W696" s="2397"/>
      <c r="X696" s="2397"/>
      <c r="Y696" s="2397"/>
      <c r="Z696" s="2397"/>
      <c r="AA696" s="2397"/>
      <c r="AB696" s="2397"/>
      <c r="AC696" s="2397"/>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2477</v>
      </c>
      <c r="E698" s="826"/>
      <c r="F698" s="826"/>
      <c r="G698" s="826"/>
      <c r="H698" s="2460" t="s">
        <v>49</v>
      </c>
      <c r="I698" s="2460"/>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2510</v>
      </c>
      <c r="AJ700" s="2405">
        <f>VLOOKUP($H$698,$AO$646:$AP$653,2,FALSE)</f>
        <v>3</v>
      </c>
      <c r="AK700" s="2407"/>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2511</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2512</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2513</v>
      </c>
      <c r="AX703" s="1035">
        <f>Application!G761</f>
        <v>35</v>
      </c>
    </row>
    <row r="704" spans="1:50" s="449" customFormat="1" ht="12.75" customHeight="1">
      <c r="A704" s="575"/>
      <c r="B704" s="436"/>
      <c r="C704" s="838"/>
      <c r="D704" s="559" t="s">
        <v>22</v>
      </c>
      <c r="E704" s="2467" t="s">
        <v>2514</v>
      </c>
      <c r="F704" s="2467"/>
      <c r="G704" s="2467"/>
      <c r="H704" s="2467"/>
      <c r="I704" s="2467"/>
      <c r="J704" s="2467"/>
      <c r="K704" s="2467"/>
      <c r="L704" s="2467"/>
      <c r="M704" s="2467"/>
      <c r="N704" s="2467"/>
      <c r="O704" s="2467"/>
      <c r="P704" s="2467"/>
      <c r="Q704" s="2467"/>
      <c r="R704" s="2467"/>
      <c r="S704" s="2467"/>
      <c r="T704" s="2467"/>
      <c r="U704" s="2467"/>
      <c r="V704" s="2467"/>
      <c r="W704" s="2467"/>
      <c r="X704" s="2467"/>
      <c r="Y704" s="2467"/>
      <c r="Z704" s="2467"/>
      <c r="AA704" s="2467"/>
      <c r="AB704" s="2467"/>
      <c r="AC704" s="436"/>
      <c r="AD704" s="436"/>
      <c r="AE704" s="436"/>
      <c r="AF704" s="2380" t="s">
        <v>2203</v>
      </c>
      <c r="AG704" s="2380"/>
      <c r="AH704" s="2380"/>
      <c r="AI704" s="2380"/>
      <c r="AJ704" s="2380"/>
      <c r="AK704" s="2380"/>
      <c r="AL704" s="2380"/>
      <c r="AN704" s="495"/>
      <c r="AW704" s="19" t="s">
        <v>2515</v>
      </c>
      <c r="AX704" s="449">
        <f>Application!DE761</f>
        <v>23</v>
      </c>
    </row>
    <row r="705" spans="1:51" s="449" customFormat="1" ht="12.75" customHeight="1">
      <c r="A705" s="575"/>
      <c r="B705" s="436"/>
      <c r="C705" s="838"/>
      <c r="D705" s="559"/>
      <c r="E705" s="2467"/>
      <c r="F705" s="2467"/>
      <c r="G705" s="2467"/>
      <c r="H705" s="2467"/>
      <c r="I705" s="2467"/>
      <c r="J705" s="2467"/>
      <c r="K705" s="2467"/>
      <c r="L705" s="2467"/>
      <c r="M705" s="2467"/>
      <c r="N705" s="2467"/>
      <c r="O705" s="2467"/>
      <c r="P705" s="2467"/>
      <c r="Q705" s="2467"/>
      <c r="R705" s="2467"/>
      <c r="S705" s="2467"/>
      <c r="T705" s="2467"/>
      <c r="U705" s="2467"/>
      <c r="V705" s="2467"/>
      <c r="W705" s="2467"/>
      <c r="X705" s="2467"/>
      <c r="Y705" s="2467"/>
      <c r="Z705" s="2467"/>
      <c r="AA705" s="2467"/>
      <c r="AB705" s="2467"/>
      <c r="AC705" s="436"/>
      <c r="AD705" s="436"/>
      <c r="AE705" s="436"/>
      <c r="AF705" s="436"/>
      <c r="AG705" s="436"/>
      <c r="AH705" s="436"/>
      <c r="AI705" s="436"/>
      <c r="AJ705" s="436"/>
      <c r="AK705" s="436"/>
      <c r="AL705" s="436"/>
      <c r="AN705" s="495"/>
      <c r="AW705" s="19" t="s">
        <v>2516</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2517</v>
      </c>
      <c r="AX706" s="449">
        <f>Application!DO761</f>
        <v>0</v>
      </c>
    </row>
    <row r="707" spans="1:51" s="449" customFormat="1" ht="12.75" customHeight="1">
      <c r="B707" s="436"/>
      <c r="C707" s="821"/>
      <c r="D707" s="559" t="s">
        <v>27</v>
      </c>
      <c r="E707" s="2397" t="s">
        <v>2518</v>
      </c>
      <c r="F707" s="2397"/>
      <c r="G707" s="2397"/>
      <c r="H707" s="2397"/>
      <c r="I707" s="2397"/>
      <c r="J707" s="2397"/>
      <c r="K707" s="2397"/>
      <c r="L707" s="2397"/>
      <c r="M707" s="2397"/>
      <c r="N707" s="2397"/>
      <c r="O707" s="2397"/>
      <c r="P707" s="2397"/>
      <c r="Q707" s="2397"/>
      <c r="R707" s="2397"/>
      <c r="S707" s="2397"/>
      <c r="T707" s="2397"/>
      <c r="U707" s="2397"/>
      <c r="V707" s="2397"/>
      <c r="W707" s="2397"/>
      <c r="X707" s="2397"/>
      <c r="Y707" s="2397"/>
      <c r="Z707" s="2397"/>
      <c r="AA707" s="2397"/>
      <c r="AB707" s="2397"/>
      <c r="AC707" s="436"/>
      <c r="AD707" s="436"/>
      <c r="AE707" s="436"/>
      <c r="AF707" s="2380" t="s">
        <v>2203</v>
      </c>
      <c r="AG707" s="2380"/>
      <c r="AH707" s="2380"/>
      <c r="AI707" s="2380"/>
      <c r="AJ707" s="2380"/>
      <c r="AK707" s="2380"/>
      <c r="AL707" s="2380"/>
      <c r="AN707" s="495"/>
      <c r="AW707" s="19" t="s">
        <v>2519</v>
      </c>
      <c r="AX707" s="449">
        <f>AX704+AX705+AX706</f>
        <v>23</v>
      </c>
    </row>
    <row r="708" spans="1:51" s="449" customFormat="1" ht="12.75" customHeight="1">
      <c r="B708" s="436"/>
      <c r="C708" s="830"/>
      <c r="D708" s="559"/>
      <c r="E708" s="2397"/>
      <c r="F708" s="2397"/>
      <c r="G708" s="2397"/>
      <c r="H708" s="2397"/>
      <c r="I708" s="2397"/>
      <c r="J708" s="2397"/>
      <c r="K708" s="2397"/>
      <c r="L708" s="2397"/>
      <c r="M708" s="2397"/>
      <c r="N708" s="2397"/>
      <c r="O708" s="2397"/>
      <c r="P708" s="2397"/>
      <c r="Q708" s="2397"/>
      <c r="R708" s="2397"/>
      <c r="S708" s="2397"/>
      <c r="T708" s="2397"/>
      <c r="U708" s="2397"/>
      <c r="V708" s="2397"/>
      <c r="W708" s="2397"/>
      <c r="X708" s="2397"/>
      <c r="Y708" s="2397"/>
      <c r="Z708" s="2397"/>
      <c r="AA708" s="2397"/>
      <c r="AB708" s="2397"/>
      <c r="AC708" s="436"/>
      <c r="AD708" s="436"/>
      <c r="AE708" s="514"/>
      <c r="AF708" s="436"/>
      <c r="AG708" s="436"/>
      <c r="AH708" s="436"/>
      <c r="AI708" s="436"/>
      <c r="AJ708" s="436"/>
      <c r="AK708" s="436"/>
      <c r="AL708" s="436"/>
      <c r="AN708" s="495"/>
      <c r="AO708" s="2466" t="b">
        <f>IF(Application!D211="Special Needs",IF(AY708&gt;=0.25,TRUE,FALSE),IF(AX708&gt;=0.25,TRUE,FALSE))</f>
        <v>1</v>
      </c>
      <c r="AP708" s="2466"/>
      <c r="AW708" s="19" t="s">
        <v>2520</v>
      </c>
      <c r="AX708" s="449">
        <f>IFERROR(AX707/AX703,0)</f>
        <v>0.65714285714285714</v>
      </c>
      <c r="AY708" s="449">
        <f>IFERROR(AX707/(AX703-AX702),0)</f>
        <v>0.65714285714285714</v>
      </c>
    </row>
    <row r="709" spans="1:51" s="449" customFormat="1" ht="12.75" customHeight="1">
      <c r="B709" s="436"/>
      <c r="C709" s="830"/>
      <c r="E709" s="2397"/>
      <c r="F709" s="2397"/>
      <c r="G709" s="2397"/>
      <c r="H709" s="2397"/>
      <c r="I709" s="2397"/>
      <c r="J709" s="2397"/>
      <c r="K709" s="2397"/>
      <c r="L709" s="2397"/>
      <c r="M709" s="2397"/>
      <c r="N709" s="2397"/>
      <c r="O709" s="2397"/>
      <c r="P709" s="2397"/>
      <c r="Q709" s="2397"/>
      <c r="R709" s="2397"/>
      <c r="S709" s="2397"/>
      <c r="T709" s="2397"/>
      <c r="U709" s="2397"/>
      <c r="V709" s="2397"/>
      <c r="W709" s="2397"/>
      <c r="X709" s="2397"/>
      <c r="Y709" s="2397"/>
      <c r="Z709" s="2397"/>
      <c r="AA709" s="2397"/>
      <c r="AB709" s="2397"/>
      <c r="AC709" s="436"/>
      <c r="AD709" s="436"/>
      <c r="AE709" s="514"/>
      <c r="AF709" s="514"/>
      <c r="AG709" s="514"/>
      <c r="AH709" s="514"/>
      <c r="AI709" s="514"/>
      <c r="AJ709" s="514"/>
      <c r="AK709" s="514"/>
      <c r="AL709" s="514"/>
      <c r="AN709" s="495"/>
      <c r="AW709" s="13"/>
    </row>
    <row r="710" spans="1:51" s="449" customFormat="1" ht="28.5" customHeight="1">
      <c r="B710" s="436"/>
      <c r="C710" s="830"/>
      <c r="D710" s="436"/>
      <c r="E710" s="2397"/>
      <c r="F710" s="2397"/>
      <c r="G710" s="2397"/>
      <c r="H710" s="2397"/>
      <c r="I710" s="2397"/>
      <c r="J710" s="2397"/>
      <c r="K710" s="2397"/>
      <c r="L710" s="2397"/>
      <c r="M710" s="2397"/>
      <c r="N710" s="2397"/>
      <c r="O710" s="2397"/>
      <c r="P710" s="2397"/>
      <c r="Q710" s="2397"/>
      <c r="R710" s="2397"/>
      <c r="S710" s="2397"/>
      <c r="T710" s="2397"/>
      <c r="U710" s="2397"/>
      <c r="V710" s="2397"/>
      <c r="W710" s="2397"/>
      <c r="X710" s="2397"/>
      <c r="Y710" s="2397"/>
      <c r="Z710" s="2397"/>
      <c r="AA710" s="2397"/>
      <c r="AB710" s="2397"/>
      <c r="AC710" s="436"/>
      <c r="AD710" s="436"/>
      <c r="AE710" s="514"/>
      <c r="AF710" s="514"/>
      <c r="AG710" s="514"/>
      <c r="AH710" s="514"/>
      <c r="AI710" s="514"/>
      <c r="AJ710" s="514"/>
      <c r="AK710" s="514"/>
      <c r="AL710" s="514"/>
      <c r="AN710" s="495"/>
      <c r="AO710" s="449" t="s">
        <v>826</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97" t="s">
        <v>2521</v>
      </c>
      <c r="F712" s="2397"/>
      <c r="G712" s="2397"/>
      <c r="H712" s="2397"/>
      <c r="I712" s="2397"/>
      <c r="J712" s="2397"/>
      <c r="K712" s="2397"/>
      <c r="L712" s="2397"/>
      <c r="M712" s="2397"/>
      <c r="N712" s="2397"/>
      <c r="O712" s="2397"/>
      <c r="P712" s="2397"/>
      <c r="Q712" s="2397"/>
      <c r="R712" s="2397"/>
      <c r="S712" s="2397"/>
      <c r="T712" s="2397"/>
      <c r="U712" s="2397"/>
      <c r="V712" s="2397"/>
      <c r="W712" s="2397"/>
      <c r="X712" s="2397"/>
      <c r="Y712" s="2397"/>
      <c r="Z712" s="2397"/>
      <c r="AA712" s="2397"/>
      <c r="AB712" s="2397"/>
      <c r="AC712" s="436"/>
      <c r="AD712" s="436"/>
      <c r="AE712" s="436"/>
      <c r="AF712" s="2380" t="s">
        <v>2491</v>
      </c>
      <c r="AG712" s="2380"/>
      <c r="AH712" s="2380"/>
      <c r="AI712" s="2380"/>
      <c r="AJ712" s="2380"/>
      <c r="AK712" s="2380"/>
      <c r="AL712" s="2380"/>
      <c r="AN712" s="495"/>
      <c r="AO712" s="509" t="s">
        <v>27</v>
      </c>
      <c r="AP712" s="449">
        <v>1</v>
      </c>
    </row>
    <row r="713" spans="1:51" s="449" customFormat="1" ht="12" customHeight="1">
      <c r="B713" s="436"/>
      <c r="C713" s="821"/>
      <c r="E713" s="2397"/>
      <c r="F713" s="2397"/>
      <c r="G713" s="2397"/>
      <c r="H713" s="2397"/>
      <c r="I713" s="2397"/>
      <c r="J713" s="2397"/>
      <c r="K713" s="2397"/>
      <c r="L713" s="2397"/>
      <c r="M713" s="2397"/>
      <c r="N713" s="2397"/>
      <c r="O713" s="2397"/>
      <c r="P713" s="2397"/>
      <c r="Q713" s="2397"/>
      <c r="R713" s="2397"/>
      <c r="S713" s="2397"/>
      <c r="T713" s="2397"/>
      <c r="U713" s="2397"/>
      <c r="V713" s="2397"/>
      <c r="W713" s="2397"/>
      <c r="X713" s="2397"/>
      <c r="Y713" s="2397"/>
      <c r="Z713" s="2397"/>
      <c r="AA713" s="2397"/>
      <c r="AB713" s="2397"/>
      <c r="AC713" s="436"/>
      <c r="AD713" s="436"/>
      <c r="AE713" s="514"/>
      <c r="AF713" s="436"/>
      <c r="AG713" s="436"/>
      <c r="AH713" s="436"/>
      <c r="AI713" s="436"/>
      <c r="AJ713" s="436"/>
      <c r="AK713" s="436"/>
      <c r="AL713" s="436"/>
      <c r="AN713" s="495"/>
    </row>
    <row r="714" spans="1:51" s="449" customFormat="1" ht="12" customHeight="1">
      <c r="B714" s="436"/>
      <c r="C714" s="821"/>
      <c r="D714" s="436"/>
      <c r="E714" s="2397"/>
      <c r="F714" s="2397"/>
      <c r="G714" s="2397"/>
      <c r="H714" s="2397"/>
      <c r="I714" s="2397"/>
      <c r="J714" s="2397"/>
      <c r="K714" s="2397"/>
      <c r="L714" s="2397"/>
      <c r="M714" s="2397"/>
      <c r="N714" s="2397"/>
      <c r="O714" s="2397"/>
      <c r="P714" s="2397"/>
      <c r="Q714" s="2397"/>
      <c r="R714" s="2397"/>
      <c r="S714" s="2397"/>
      <c r="T714" s="2397"/>
      <c r="U714" s="2397"/>
      <c r="V714" s="2397"/>
      <c r="W714" s="2397"/>
      <c r="X714" s="2397"/>
      <c r="Y714" s="2397"/>
      <c r="Z714" s="2397"/>
      <c r="AA714" s="2397"/>
      <c r="AB714" s="2397"/>
      <c r="AC714" s="436"/>
      <c r="AD714" s="436"/>
      <c r="AE714" s="514"/>
      <c r="AF714" s="436"/>
      <c r="AG714" s="436"/>
      <c r="AH714" s="436"/>
      <c r="AI714" s="436"/>
      <c r="AJ714" s="436"/>
      <c r="AK714" s="436"/>
      <c r="AL714" s="436"/>
      <c r="AN714" s="495"/>
    </row>
    <row r="715" spans="1:51" s="449" customFormat="1" ht="12" customHeight="1">
      <c r="B715" s="436"/>
      <c r="C715" s="821"/>
      <c r="D715" s="436"/>
      <c r="E715" s="2397"/>
      <c r="F715" s="2397"/>
      <c r="G715" s="2397"/>
      <c r="H715" s="2397"/>
      <c r="I715" s="2397"/>
      <c r="J715" s="2397"/>
      <c r="K715" s="2397"/>
      <c r="L715" s="2397"/>
      <c r="M715" s="2397"/>
      <c r="N715" s="2397"/>
      <c r="O715" s="2397"/>
      <c r="P715" s="2397"/>
      <c r="Q715" s="2397"/>
      <c r="R715" s="2397"/>
      <c r="S715" s="2397"/>
      <c r="T715" s="2397"/>
      <c r="U715" s="2397"/>
      <c r="V715" s="2397"/>
      <c r="W715" s="2397"/>
      <c r="X715" s="2397"/>
      <c r="Y715" s="2397"/>
      <c r="Z715" s="2397"/>
      <c r="AA715" s="2397"/>
      <c r="AB715" s="2397"/>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97"/>
      <c r="F716" s="2397"/>
      <c r="G716" s="2397"/>
      <c r="H716" s="2397"/>
      <c r="I716" s="2397"/>
      <c r="J716" s="2397"/>
      <c r="K716" s="2397"/>
      <c r="L716" s="2397"/>
      <c r="M716" s="2397"/>
      <c r="N716" s="2397"/>
      <c r="O716" s="2397"/>
      <c r="P716" s="2397"/>
      <c r="Q716" s="2397"/>
      <c r="R716" s="2397"/>
      <c r="S716" s="2397"/>
      <c r="T716" s="2397"/>
      <c r="U716" s="2397"/>
      <c r="V716" s="2397"/>
      <c r="W716" s="2397"/>
      <c r="X716" s="2397"/>
      <c r="Y716" s="2397"/>
      <c r="Z716" s="2397"/>
      <c r="AA716" s="2397"/>
      <c r="AB716" s="2397"/>
      <c r="AC716" s="436"/>
      <c r="AD716" s="436"/>
      <c r="AE716" s="514"/>
      <c r="AF716" s="514"/>
      <c r="AG716" s="514"/>
      <c r="AH716" s="514"/>
      <c r="AI716" s="514"/>
      <c r="AJ716" s="436"/>
      <c r="AK716" s="436"/>
      <c r="AL716" s="436"/>
      <c r="AM716" s="449"/>
      <c r="AN716" s="580"/>
      <c r="AO716" s="449" t="s">
        <v>826</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97" t="s">
        <v>2522</v>
      </c>
      <c r="F718" s="2397"/>
      <c r="G718" s="2397"/>
      <c r="H718" s="2397"/>
      <c r="I718" s="2397"/>
      <c r="J718" s="2397"/>
      <c r="K718" s="2397"/>
      <c r="L718" s="2397"/>
      <c r="M718" s="2397"/>
      <c r="N718" s="2397"/>
      <c r="O718" s="2397"/>
      <c r="P718" s="2397"/>
      <c r="Q718" s="2397"/>
      <c r="R718" s="2397"/>
      <c r="S718" s="2397"/>
      <c r="T718" s="2397"/>
      <c r="U718" s="2397"/>
      <c r="V718" s="2397"/>
      <c r="W718" s="2397"/>
      <c r="X718" s="2397"/>
      <c r="Y718" s="2397"/>
      <c r="Z718" s="2397"/>
      <c r="AA718" s="2397"/>
      <c r="AB718" s="2397"/>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97"/>
      <c r="F719" s="2397"/>
      <c r="G719" s="2397"/>
      <c r="H719" s="2397"/>
      <c r="I719" s="2397"/>
      <c r="J719" s="2397"/>
      <c r="K719" s="2397"/>
      <c r="L719" s="2397"/>
      <c r="M719" s="2397"/>
      <c r="N719" s="2397"/>
      <c r="O719" s="2397"/>
      <c r="P719" s="2397"/>
      <c r="Q719" s="2397"/>
      <c r="R719" s="2397"/>
      <c r="S719" s="2397"/>
      <c r="T719" s="2397"/>
      <c r="U719" s="2397"/>
      <c r="V719" s="2397"/>
      <c r="W719" s="2397"/>
      <c r="X719" s="2397"/>
      <c r="Y719" s="2397"/>
      <c r="Z719" s="2397"/>
      <c r="AA719" s="2397"/>
      <c r="AB719" s="2397"/>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97"/>
      <c r="F720" s="2397"/>
      <c r="G720" s="2397"/>
      <c r="H720" s="2397"/>
      <c r="I720" s="2397"/>
      <c r="J720" s="2397"/>
      <c r="K720" s="2397"/>
      <c r="L720" s="2397"/>
      <c r="M720" s="2397"/>
      <c r="N720" s="2397"/>
      <c r="O720" s="2397"/>
      <c r="P720" s="2397"/>
      <c r="Q720" s="2397"/>
      <c r="R720" s="2397"/>
      <c r="S720" s="2397"/>
      <c r="T720" s="2397"/>
      <c r="U720" s="2397"/>
      <c r="V720" s="2397"/>
      <c r="W720" s="2397"/>
      <c r="X720" s="2397"/>
      <c r="Y720" s="2397"/>
      <c r="Z720" s="2397"/>
      <c r="AA720" s="2397"/>
      <c r="AB720" s="2397"/>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2477</v>
      </c>
      <c r="E722" s="826"/>
      <c r="F722" s="826"/>
      <c r="G722" s="826"/>
      <c r="H722" s="2460" t="s">
        <v>826</v>
      </c>
      <c r="I722" s="2460"/>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2523</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2487</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2524</v>
      </c>
      <c r="AJ724" s="2405">
        <f>VLOOKUP($H$722,$AO$716:$AP$719,2,FALSE)</f>
        <v>0</v>
      </c>
      <c r="AK724" s="2407"/>
      <c r="AL724" s="493"/>
      <c r="AM724" s="449"/>
      <c r="AN724" s="580"/>
      <c r="AP724" s="468" t="s">
        <v>2495</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2525</v>
      </c>
    </row>
    <row r="726" spans="1:43" s="468" customFormat="1" ht="12.75" customHeight="1">
      <c r="A726" s="449"/>
      <c r="B726" s="436"/>
      <c r="C726" s="439" t="s">
        <v>2526</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2527</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2528</v>
      </c>
    </row>
    <row r="728" spans="1:43" s="468" customFormat="1" ht="12.75" customHeight="1">
      <c r="A728" s="535"/>
      <c r="B728" s="436"/>
      <c r="C728" s="821"/>
      <c r="D728" s="559" t="s">
        <v>22</v>
      </c>
      <c r="E728" s="2468" t="s">
        <v>2529</v>
      </c>
      <c r="F728" s="2468"/>
      <c r="G728" s="2468"/>
      <c r="H728" s="2468"/>
      <c r="I728" s="2468"/>
      <c r="J728" s="2468"/>
      <c r="K728" s="2468"/>
      <c r="L728" s="2468"/>
      <c r="M728" s="2468"/>
      <c r="N728" s="2468"/>
      <c r="O728" s="2468"/>
      <c r="P728" s="2468"/>
      <c r="Q728" s="2468"/>
      <c r="R728" s="2468"/>
      <c r="S728" s="2468"/>
      <c r="T728" s="2468"/>
      <c r="U728" s="2468"/>
      <c r="V728" s="2468"/>
      <c r="W728" s="2468"/>
      <c r="X728" s="2468"/>
      <c r="Y728" s="2468"/>
      <c r="Z728" s="2468"/>
      <c r="AA728" s="2468"/>
      <c r="AB728" s="2468"/>
      <c r="AC728" s="436"/>
      <c r="AD728" s="436"/>
      <c r="AE728" s="436"/>
      <c r="AF728" s="2380" t="s">
        <v>2203</v>
      </c>
      <c r="AG728" s="2380"/>
      <c r="AH728" s="2380"/>
      <c r="AI728" s="2380"/>
      <c r="AJ728" s="2380"/>
      <c r="AK728" s="2380"/>
      <c r="AL728" s="2380"/>
      <c r="AM728" s="449"/>
      <c r="AN728" s="580"/>
      <c r="AP728" s="468" t="s">
        <v>2530</v>
      </c>
    </row>
    <row r="729" spans="1:43" s="468" customFormat="1" ht="11.85" customHeight="1">
      <c r="A729" s="449"/>
      <c r="B729" s="436"/>
      <c r="C729" s="823"/>
      <c r="D729" s="559"/>
      <c r="E729" s="2468"/>
      <c r="F729" s="2468"/>
      <c r="G729" s="2468"/>
      <c r="H729" s="2468"/>
      <c r="I729" s="2468"/>
      <c r="J729" s="2468"/>
      <c r="K729" s="2468"/>
      <c r="L729" s="2468"/>
      <c r="M729" s="2468"/>
      <c r="N729" s="2468"/>
      <c r="O729" s="2468"/>
      <c r="P729" s="2468"/>
      <c r="Q729" s="2468"/>
      <c r="R729" s="2468"/>
      <c r="S729" s="2468"/>
      <c r="T729" s="2468"/>
      <c r="U729" s="2468"/>
      <c r="V729" s="2468"/>
      <c r="W729" s="2468"/>
      <c r="X729" s="2468"/>
      <c r="Y729" s="2468"/>
      <c r="Z729" s="2468"/>
      <c r="AA729" s="2468"/>
      <c r="AB729" s="2468"/>
      <c r="AC729" s="436"/>
      <c r="AD729" s="436"/>
      <c r="AE729" s="436"/>
      <c r="AF729" s="436"/>
      <c r="AG729" s="436"/>
      <c r="AH729" s="436"/>
      <c r="AI729" s="436"/>
      <c r="AJ729" s="436"/>
      <c r="AK729" s="436"/>
      <c r="AL729" s="436"/>
      <c r="AM729" s="449"/>
      <c r="AN729" s="580"/>
      <c r="AP729" s="468" t="s">
        <v>2531</v>
      </c>
    </row>
    <row r="730" spans="1:43" s="468" customFormat="1" ht="13.9" customHeight="1">
      <c r="A730" s="449"/>
      <c r="B730" s="508"/>
      <c r="C730" s="821"/>
      <c r="D730" s="559"/>
      <c r="E730" s="2468"/>
      <c r="F730" s="2468"/>
      <c r="G730" s="2468"/>
      <c r="H730" s="2468"/>
      <c r="I730" s="2468"/>
      <c r="J730" s="2468"/>
      <c r="K730" s="2468"/>
      <c r="L730" s="2468"/>
      <c r="M730" s="2468"/>
      <c r="N730" s="2468"/>
      <c r="O730" s="2468"/>
      <c r="P730" s="2468"/>
      <c r="Q730" s="2468"/>
      <c r="R730" s="2468"/>
      <c r="S730" s="2468"/>
      <c r="T730" s="2468"/>
      <c r="U730" s="2468"/>
      <c r="V730" s="2468"/>
      <c r="W730" s="2468"/>
      <c r="X730" s="2468"/>
      <c r="Y730" s="2468"/>
      <c r="Z730" s="2468"/>
      <c r="AA730" s="2468"/>
      <c r="AB730" s="2468"/>
      <c r="AC730" s="436"/>
      <c r="AD730" s="436"/>
      <c r="AE730" s="514"/>
      <c r="AF730" s="436"/>
      <c r="AG730" s="436"/>
      <c r="AH730" s="436"/>
      <c r="AI730" s="436"/>
      <c r="AJ730" s="436"/>
      <c r="AK730" s="436"/>
      <c r="AL730" s="436"/>
      <c r="AM730" s="449"/>
      <c r="AN730" s="580"/>
      <c r="AP730" s="468" t="s">
        <v>2532</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2533</v>
      </c>
    </row>
    <row r="732" spans="1:43" s="468" customFormat="1" ht="13.9" customHeight="1">
      <c r="A732" s="449"/>
      <c r="B732" s="436"/>
      <c r="C732" s="821"/>
      <c r="D732" s="559" t="s">
        <v>27</v>
      </c>
      <c r="E732" s="2469" t="s">
        <v>2534</v>
      </c>
      <c r="F732" s="2469"/>
      <c r="G732" s="2469"/>
      <c r="H732" s="2469"/>
      <c r="I732" s="2469"/>
      <c r="J732" s="2469"/>
      <c r="K732" s="2469"/>
      <c r="L732" s="2469"/>
      <c r="M732" s="2469"/>
      <c r="N732" s="2469"/>
      <c r="O732" s="2469"/>
      <c r="P732" s="2469"/>
      <c r="Q732" s="2469"/>
      <c r="R732" s="2469"/>
      <c r="S732" s="2469"/>
      <c r="T732" s="2469"/>
      <c r="U732" s="2469"/>
      <c r="V732" s="2469"/>
      <c r="W732" s="2469"/>
      <c r="X732" s="2469"/>
      <c r="Y732" s="2469"/>
      <c r="Z732" s="2469"/>
      <c r="AA732" s="2469"/>
      <c r="AB732" s="2469"/>
      <c r="AC732" s="436"/>
      <c r="AD732" s="436"/>
      <c r="AE732" s="436"/>
      <c r="AF732" s="2380" t="s">
        <v>2491</v>
      </c>
      <c r="AG732" s="2380"/>
      <c r="AH732" s="2380"/>
      <c r="AI732" s="2380"/>
      <c r="AJ732" s="2380"/>
      <c r="AK732" s="2380"/>
      <c r="AL732" s="2380"/>
      <c r="AM732" s="449"/>
      <c r="AN732" s="581"/>
    </row>
    <row r="733" spans="1:43" s="468" customFormat="1" ht="12.75" customHeight="1">
      <c r="A733" s="449"/>
      <c r="B733" s="436"/>
      <c r="C733" s="823"/>
      <c r="D733" s="436"/>
      <c r="E733" s="2469"/>
      <c r="F733" s="2469"/>
      <c r="G733" s="2469"/>
      <c r="H733" s="2469"/>
      <c r="I733" s="2469"/>
      <c r="J733" s="2469"/>
      <c r="K733" s="2469"/>
      <c r="L733" s="2469"/>
      <c r="M733" s="2469"/>
      <c r="N733" s="2469"/>
      <c r="O733" s="2469"/>
      <c r="P733" s="2469"/>
      <c r="Q733" s="2469"/>
      <c r="R733" s="2469"/>
      <c r="S733" s="2469"/>
      <c r="T733" s="2469"/>
      <c r="U733" s="2469"/>
      <c r="V733" s="2469"/>
      <c r="W733" s="2469"/>
      <c r="X733" s="2469"/>
      <c r="Y733" s="2469"/>
      <c r="Z733" s="2469"/>
      <c r="AA733" s="2469"/>
      <c r="AB733" s="2469"/>
      <c r="AC733" s="436"/>
      <c r="AD733" s="436"/>
      <c r="AE733" s="436"/>
      <c r="AF733" s="436"/>
      <c r="AG733" s="436"/>
      <c r="AH733" s="436"/>
      <c r="AI733" s="436"/>
      <c r="AJ733" s="436"/>
      <c r="AK733" s="436"/>
      <c r="AL733" s="436"/>
      <c r="AM733" s="449"/>
      <c r="AN733" s="580"/>
      <c r="AP733" s="449" t="s">
        <v>826</v>
      </c>
      <c r="AQ733" s="569">
        <v>0</v>
      </c>
    </row>
    <row r="734" spans="1:43" s="468" customFormat="1" ht="13.9" customHeight="1">
      <c r="A734" s="449"/>
      <c r="B734" s="436"/>
      <c r="C734" s="823"/>
      <c r="D734" s="436"/>
      <c r="E734" s="2469"/>
      <c r="F734" s="2469"/>
      <c r="G734" s="2469"/>
      <c r="H734" s="2469"/>
      <c r="I734" s="2469"/>
      <c r="J734" s="2469"/>
      <c r="K734" s="2469"/>
      <c r="L734" s="2469"/>
      <c r="M734" s="2469"/>
      <c r="N734" s="2469"/>
      <c r="O734" s="2469"/>
      <c r="P734" s="2469"/>
      <c r="Q734" s="2469"/>
      <c r="R734" s="2469"/>
      <c r="S734" s="2469"/>
      <c r="T734" s="2469"/>
      <c r="U734" s="2469"/>
      <c r="V734" s="2469"/>
      <c r="W734" s="2469"/>
      <c r="X734" s="2469"/>
      <c r="Y734" s="2469"/>
      <c r="Z734" s="2469"/>
      <c r="AA734" s="2469"/>
      <c r="AB734" s="2469"/>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2477</v>
      </c>
      <c r="E736" s="826"/>
      <c r="F736" s="826"/>
      <c r="G736" s="826"/>
      <c r="H736" s="2460" t="s">
        <v>826</v>
      </c>
      <c r="I736" s="2460"/>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2535</v>
      </c>
      <c r="AJ738" s="2405">
        <f>VLOOKUP($H$736,$AP$733:$AQ$735,2,FALSE)</f>
        <v>0</v>
      </c>
      <c r="AK738" s="2407"/>
      <c r="AL738" s="493"/>
      <c r="AM738" s="449"/>
      <c r="AN738" s="580"/>
      <c r="AP738" s="2405"/>
      <c r="AQ738" s="2407"/>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2536</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97" t="s">
        <v>2537</v>
      </c>
      <c r="F742" s="2397"/>
      <c r="G742" s="2397"/>
      <c r="H742" s="2397"/>
      <c r="I742" s="2397"/>
      <c r="J742" s="2397"/>
      <c r="K742" s="2397"/>
      <c r="L742" s="2397"/>
      <c r="M742" s="2397"/>
      <c r="N742" s="2397"/>
      <c r="O742" s="2397"/>
      <c r="P742" s="2397"/>
      <c r="Q742" s="2397"/>
      <c r="R742" s="2397"/>
      <c r="S742" s="2397"/>
      <c r="T742" s="2397"/>
      <c r="U742" s="2397"/>
      <c r="V742" s="2397"/>
      <c r="W742" s="2397"/>
      <c r="X742" s="2397"/>
      <c r="Y742" s="2397"/>
      <c r="Z742" s="2397"/>
      <c r="AA742" s="2397"/>
      <c r="AB742" s="2397"/>
      <c r="AC742" s="436"/>
      <c r="AD742" s="436"/>
      <c r="AE742" s="436"/>
      <c r="AF742" s="2380" t="s">
        <v>2203</v>
      </c>
      <c r="AG742" s="2380"/>
      <c r="AH742" s="2380"/>
      <c r="AI742" s="2380"/>
      <c r="AJ742" s="2380"/>
      <c r="AK742" s="2380"/>
      <c r="AL742" s="2380"/>
      <c r="AM742" s="449"/>
      <c r="AN742" s="580"/>
      <c r="AT742" s="13"/>
      <c r="AU742" s="13"/>
      <c r="AV742" s="13"/>
      <c r="AW742" s="13"/>
      <c r="AX742" s="13"/>
      <c r="AY742" s="13"/>
      <c r="AZ742" s="13"/>
    </row>
    <row r="743" spans="1:81" s="468" customFormat="1">
      <c r="A743" s="449"/>
      <c r="B743" s="436"/>
      <c r="C743" s="823"/>
      <c r="D743" s="559"/>
      <c r="E743" s="2397"/>
      <c r="F743" s="2397"/>
      <c r="G743" s="2397"/>
      <c r="H743" s="2397"/>
      <c r="I743" s="2397"/>
      <c r="J743" s="2397"/>
      <c r="K743" s="2397"/>
      <c r="L743" s="2397"/>
      <c r="M743" s="2397"/>
      <c r="N743" s="2397"/>
      <c r="O743" s="2397"/>
      <c r="P743" s="2397"/>
      <c r="Q743" s="2397"/>
      <c r="R743" s="2397"/>
      <c r="S743" s="2397"/>
      <c r="T743" s="2397"/>
      <c r="U743" s="2397"/>
      <c r="V743" s="2397"/>
      <c r="W743" s="2397"/>
      <c r="X743" s="2397"/>
      <c r="Y743" s="2397"/>
      <c r="Z743" s="2397"/>
      <c r="AA743" s="2397"/>
      <c r="AB743" s="2397"/>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97" t="s">
        <v>2538</v>
      </c>
      <c r="F745" s="2397"/>
      <c r="G745" s="2397"/>
      <c r="H745" s="2397"/>
      <c r="I745" s="2397"/>
      <c r="J745" s="2397"/>
      <c r="K745" s="2397"/>
      <c r="L745" s="2397"/>
      <c r="M745" s="2397"/>
      <c r="N745" s="2397"/>
      <c r="O745" s="2397"/>
      <c r="P745" s="2397"/>
      <c r="Q745" s="2397"/>
      <c r="R745" s="2397"/>
      <c r="S745" s="2397"/>
      <c r="T745" s="2397"/>
      <c r="U745" s="2397"/>
      <c r="V745" s="2397"/>
      <c r="W745" s="2397"/>
      <c r="X745" s="2397"/>
      <c r="Y745" s="2397"/>
      <c r="Z745" s="2397"/>
      <c r="AA745" s="2397"/>
      <c r="AB745" s="2397"/>
      <c r="AC745" s="436"/>
      <c r="AD745" s="436"/>
      <c r="AE745" s="436"/>
      <c r="AF745" s="2380" t="s">
        <v>2491</v>
      </c>
      <c r="AG745" s="2380"/>
      <c r="AH745" s="2380"/>
      <c r="AI745" s="2380"/>
      <c r="AJ745" s="2380"/>
      <c r="AK745" s="2380"/>
      <c r="AL745" s="2380"/>
      <c r="AM745" s="449"/>
      <c r="AN745" s="580"/>
      <c r="AT745" s="13"/>
      <c r="AU745" s="13"/>
      <c r="AV745" s="13"/>
      <c r="AW745" s="13"/>
      <c r="AX745" s="13"/>
      <c r="AY745" s="13"/>
      <c r="AZ745" s="13"/>
    </row>
    <row r="746" spans="1:81" s="468" customFormat="1">
      <c r="A746" s="449"/>
      <c r="B746" s="436"/>
      <c r="C746" s="823"/>
      <c r="D746" s="436"/>
      <c r="E746" s="2397"/>
      <c r="F746" s="2397"/>
      <c r="G746" s="2397"/>
      <c r="H746" s="2397"/>
      <c r="I746" s="2397"/>
      <c r="J746" s="2397"/>
      <c r="K746" s="2397"/>
      <c r="L746" s="2397"/>
      <c r="M746" s="2397"/>
      <c r="N746" s="2397"/>
      <c r="O746" s="2397"/>
      <c r="P746" s="2397"/>
      <c r="Q746" s="2397"/>
      <c r="R746" s="2397"/>
      <c r="S746" s="2397"/>
      <c r="T746" s="2397"/>
      <c r="U746" s="2397"/>
      <c r="V746" s="2397"/>
      <c r="W746" s="2397"/>
      <c r="X746" s="2397"/>
      <c r="Y746" s="2397"/>
      <c r="Z746" s="2397"/>
      <c r="AA746" s="2397"/>
      <c r="AB746" s="2397"/>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2477</v>
      </c>
      <c r="E748" s="826"/>
      <c r="F748" s="826"/>
      <c r="G748" s="826"/>
      <c r="H748" s="2460" t="s">
        <v>826</v>
      </c>
      <c r="I748" s="2460"/>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2539</v>
      </c>
      <c r="AJ750" s="2405">
        <f>VLOOKUP($H$748,$AO$679:$AP$681,2,FALSE)</f>
        <v>0</v>
      </c>
      <c r="AK750" s="2407"/>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2540</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97" t="s">
        <v>2541</v>
      </c>
      <c r="F754" s="2397"/>
      <c r="G754" s="2397"/>
      <c r="H754" s="2397"/>
      <c r="I754" s="2397"/>
      <c r="J754" s="2397"/>
      <c r="K754" s="2397"/>
      <c r="L754" s="2397"/>
      <c r="M754" s="2397"/>
      <c r="N754" s="2397"/>
      <c r="O754" s="2397"/>
      <c r="P754" s="2397"/>
      <c r="Q754" s="2397"/>
      <c r="R754" s="2397"/>
      <c r="S754" s="2397"/>
      <c r="T754" s="2397"/>
      <c r="U754" s="2397"/>
      <c r="V754" s="2397"/>
      <c r="W754" s="2397"/>
      <c r="X754" s="2397"/>
      <c r="Y754" s="2397"/>
      <c r="Z754" s="2397"/>
      <c r="AA754" s="2397"/>
      <c r="AB754" s="2397"/>
      <c r="AC754" s="436"/>
      <c r="AD754" s="436"/>
      <c r="AE754" s="436"/>
      <c r="AF754" s="2380" t="s">
        <v>2203</v>
      </c>
      <c r="AG754" s="2380"/>
      <c r="AH754" s="2380"/>
      <c r="AI754" s="2380"/>
      <c r="AJ754" s="2380"/>
      <c r="AK754" s="2380"/>
      <c r="AL754" s="2380"/>
      <c r="AM754" s="449"/>
      <c r="AN754" s="580"/>
      <c r="AT754" s="13"/>
      <c r="AU754" s="13"/>
      <c r="AV754" s="13"/>
      <c r="AW754" s="13"/>
      <c r="AX754" s="13"/>
      <c r="AY754" s="13"/>
      <c r="AZ754" s="13"/>
    </row>
    <row r="755" spans="1:81" s="468" customFormat="1">
      <c r="A755" s="449"/>
      <c r="B755" s="436"/>
      <c r="C755" s="821"/>
      <c r="D755" s="559"/>
      <c r="E755" s="2397"/>
      <c r="F755" s="2397"/>
      <c r="G755" s="2397"/>
      <c r="H755" s="2397"/>
      <c r="I755" s="2397"/>
      <c r="J755" s="2397"/>
      <c r="K755" s="2397"/>
      <c r="L755" s="2397"/>
      <c r="M755" s="2397"/>
      <c r="N755" s="2397"/>
      <c r="O755" s="2397"/>
      <c r="P755" s="2397"/>
      <c r="Q755" s="2397"/>
      <c r="R755" s="2397"/>
      <c r="S755" s="2397"/>
      <c r="T755" s="2397"/>
      <c r="U755" s="2397"/>
      <c r="V755" s="2397"/>
      <c r="W755" s="2397"/>
      <c r="X755" s="2397"/>
      <c r="Y755" s="2397"/>
      <c r="Z755" s="2397"/>
      <c r="AA755" s="2397"/>
      <c r="AB755" s="2397"/>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97"/>
      <c r="F756" s="2397"/>
      <c r="G756" s="2397"/>
      <c r="H756" s="2397"/>
      <c r="I756" s="2397"/>
      <c r="J756" s="2397"/>
      <c r="K756" s="2397"/>
      <c r="L756" s="2397"/>
      <c r="M756" s="2397"/>
      <c r="N756" s="2397"/>
      <c r="O756" s="2397"/>
      <c r="P756" s="2397"/>
      <c r="Q756" s="2397"/>
      <c r="R756" s="2397"/>
      <c r="S756" s="2397"/>
      <c r="T756" s="2397"/>
      <c r="U756" s="2397"/>
      <c r="V756" s="2397"/>
      <c r="W756" s="2397"/>
      <c r="X756" s="2397"/>
      <c r="Y756" s="2397"/>
      <c r="Z756" s="2397"/>
      <c r="AA756" s="2397"/>
      <c r="AB756" s="2397"/>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97"/>
      <c r="F757" s="2397"/>
      <c r="G757" s="2397"/>
      <c r="H757" s="2397"/>
      <c r="I757" s="2397"/>
      <c r="J757" s="2397"/>
      <c r="K757" s="2397"/>
      <c r="L757" s="2397"/>
      <c r="M757" s="2397"/>
      <c r="N757" s="2397"/>
      <c r="O757" s="2397"/>
      <c r="P757" s="2397"/>
      <c r="Q757" s="2397"/>
      <c r="R757" s="2397"/>
      <c r="S757" s="2397"/>
      <c r="T757" s="2397"/>
      <c r="U757" s="2397"/>
      <c r="V757" s="2397"/>
      <c r="W757" s="2397"/>
      <c r="X757" s="2397"/>
      <c r="Y757" s="2397"/>
      <c r="Z757" s="2397"/>
      <c r="AA757" s="2397"/>
      <c r="AB757" s="2397"/>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97" t="s">
        <v>2542</v>
      </c>
      <c r="F759" s="2397"/>
      <c r="G759" s="2397"/>
      <c r="H759" s="2397"/>
      <c r="I759" s="2397"/>
      <c r="J759" s="2397"/>
      <c r="K759" s="2397"/>
      <c r="L759" s="2397"/>
      <c r="M759" s="2397"/>
      <c r="N759" s="2397"/>
      <c r="O759" s="2397"/>
      <c r="P759" s="2397"/>
      <c r="Q759" s="2397"/>
      <c r="R759" s="2397"/>
      <c r="S759" s="2397"/>
      <c r="T759" s="2397"/>
      <c r="U759" s="2397"/>
      <c r="V759" s="2397"/>
      <c r="W759" s="2397"/>
      <c r="X759" s="2397"/>
      <c r="Y759" s="2397"/>
      <c r="Z759" s="2397"/>
      <c r="AA759" s="2397"/>
      <c r="AB759" s="473"/>
      <c r="AC759" s="436"/>
      <c r="AD759" s="436"/>
      <c r="AE759" s="436"/>
      <c r="AF759" s="2380" t="s">
        <v>2491</v>
      </c>
      <c r="AG759" s="2380"/>
      <c r="AH759" s="2380"/>
      <c r="AI759" s="2380"/>
      <c r="AJ759" s="2380"/>
      <c r="AK759" s="2380"/>
      <c r="AL759" s="2380"/>
      <c r="AM759" s="449"/>
      <c r="AN759" s="580"/>
      <c r="AO759" s="25"/>
      <c r="AP759" s="13"/>
    </row>
    <row r="760" spans="1:81" s="468" customFormat="1">
      <c r="A760" s="449"/>
      <c r="B760" s="436"/>
      <c r="C760" s="821"/>
      <c r="D760" s="559"/>
      <c r="E760" s="2397"/>
      <c r="F760" s="2397"/>
      <c r="G760" s="2397"/>
      <c r="H760" s="2397"/>
      <c r="I760" s="2397"/>
      <c r="J760" s="2397"/>
      <c r="K760" s="2397"/>
      <c r="L760" s="2397"/>
      <c r="M760" s="2397"/>
      <c r="N760" s="2397"/>
      <c r="O760" s="2397"/>
      <c r="P760" s="2397"/>
      <c r="Q760" s="2397"/>
      <c r="R760" s="2397"/>
      <c r="S760" s="2397"/>
      <c r="T760" s="2397"/>
      <c r="U760" s="2397"/>
      <c r="V760" s="2397"/>
      <c r="W760" s="2397"/>
      <c r="X760" s="2397"/>
      <c r="Y760" s="2397"/>
      <c r="Z760" s="2397"/>
      <c r="AA760" s="2397"/>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97"/>
      <c r="F761" s="2397"/>
      <c r="G761" s="2397"/>
      <c r="H761" s="2397"/>
      <c r="I761" s="2397"/>
      <c r="J761" s="2397"/>
      <c r="K761" s="2397"/>
      <c r="L761" s="2397"/>
      <c r="M761" s="2397"/>
      <c r="N761" s="2397"/>
      <c r="O761" s="2397"/>
      <c r="P761" s="2397"/>
      <c r="Q761" s="2397"/>
      <c r="R761" s="2397"/>
      <c r="S761" s="2397"/>
      <c r="T761" s="2397"/>
      <c r="U761" s="2397"/>
      <c r="V761" s="2397"/>
      <c r="W761" s="2397"/>
      <c r="X761" s="2397"/>
      <c r="Y761" s="2397"/>
      <c r="Z761" s="2397"/>
      <c r="AA761" s="2397"/>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97"/>
      <c r="F762" s="2397"/>
      <c r="G762" s="2397"/>
      <c r="H762" s="2397"/>
      <c r="I762" s="2397"/>
      <c r="J762" s="2397"/>
      <c r="K762" s="2397"/>
      <c r="L762" s="2397"/>
      <c r="M762" s="2397"/>
      <c r="N762" s="2397"/>
      <c r="O762" s="2397"/>
      <c r="P762" s="2397"/>
      <c r="Q762" s="2397"/>
      <c r="R762" s="2397"/>
      <c r="S762" s="2397"/>
      <c r="T762" s="2397"/>
      <c r="U762" s="2397"/>
      <c r="V762" s="2397"/>
      <c r="W762" s="2397"/>
      <c r="X762" s="2397"/>
      <c r="Y762" s="2397"/>
      <c r="Z762" s="2397"/>
      <c r="AA762" s="2397"/>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2477</v>
      </c>
      <c r="E764" s="826"/>
      <c r="F764" s="826"/>
      <c r="G764" s="826"/>
      <c r="H764" s="2460" t="s">
        <v>22</v>
      </c>
      <c r="I764" s="2460"/>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2543</v>
      </c>
      <c r="AJ766" s="2405">
        <f>VLOOKUP($H$764,$AO$693:$AP$695,2,FALSE)</f>
        <v>3</v>
      </c>
      <c r="AK766" s="2407"/>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2532</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97" t="s">
        <v>2544</v>
      </c>
      <c r="F770" s="2397"/>
      <c r="G770" s="2397"/>
      <c r="H770" s="2397"/>
      <c r="I770" s="2397"/>
      <c r="J770" s="2397"/>
      <c r="K770" s="2397"/>
      <c r="L770" s="2397"/>
      <c r="M770" s="2397"/>
      <c r="N770" s="2397"/>
      <c r="O770" s="2397"/>
      <c r="P770" s="2397"/>
      <c r="Q770" s="2397"/>
      <c r="R770" s="2397"/>
      <c r="S770" s="2397"/>
      <c r="T770" s="2397"/>
      <c r="U770" s="2397"/>
      <c r="V770" s="2397"/>
      <c r="W770" s="2397"/>
      <c r="X770" s="2397"/>
      <c r="Y770" s="2397"/>
      <c r="Z770" s="2397"/>
      <c r="AA770" s="2397"/>
      <c r="AB770" s="2397"/>
      <c r="AC770" s="436"/>
      <c r="AD770" s="436"/>
      <c r="AE770" s="436"/>
      <c r="AF770" s="2380" t="s">
        <v>2491</v>
      </c>
      <c r="AG770" s="2380"/>
      <c r="AH770" s="2380"/>
      <c r="AI770" s="2380"/>
      <c r="AJ770" s="2380"/>
      <c r="AK770" s="2380"/>
      <c r="AL770" s="2380"/>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97"/>
      <c r="F771" s="2397"/>
      <c r="G771" s="2397"/>
      <c r="H771" s="2397"/>
      <c r="I771" s="2397"/>
      <c r="J771" s="2397"/>
      <c r="K771" s="2397"/>
      <c r="L771" s="2397"/>
      <c r="M771" s="2397"/>
      <c r="N771" s="2397"/>
      <c r="O771" s="2397"/>
      <c r="P771" s="2397"/>
      <c r="Q771" s="2397"/>
      <c r="R771" s="2397"/>
      <c r="S771" s="2397"/>
      <c r="T771" s="2397"/>
      <c r="U771" s="2397"/>
      <c r="V771" s="2397"/>
      <c r="W771" s="2397"/>
      <c r="X771" s="2397"/>
      <c r="Y771" s="2397"/>
      <c r="Z771" s="2397"/>
      <c r="AA771" s="2397"/>
      <c r="AB771" s="2397"/>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97" t="s">
        <v>2545</v>
      </c>
      <c r="F773" s="2397"/>
      <c r="G773" s="2397"/>
      <c r="H773" s="2397"/>
      <c r="I773" s="2397"/>
      <c r="J773" s="2397"/>
      <c r="K773" s="2397"/>
      <c r="L773" s="2397"/>
      <c r="M773" s="2397"/>
      <c r="N773" s="2397"/>
      <c r="O773" s="2397"/>
      <c r="P773" s="2397"/>
      <c r="Q773" s="2397"/>
      <c r="R773" s="2397"/>
      <c r="S773" s="2397"/>
      <c r="T773" s="2397"/>
      <c r="U773" s="2397"/>
      <c r="V773" s="2397"/>
      <c r="W773" s="2397"/>
      <c r="X773" s="2397"/>
      <c r="Y773" s="2397"/>
      <c r="Z773" s="2397"/>
      <c r="AA773" s="2397"/>
      <c r="AB773" s="2397"/>
      <c r="AC773" s="436"/>
      <c r="AD773" s="436"/>
      <c r="AE773" s="436"/>
      <c r="AF773" s="2380" t="s">
        <v>2509</v>
      </c>
      <c r="AG773" s="2380"/>
      <c r="AH773" s="2380"/>
      <c r="AI773" s="2380"/>
      <c r="AJ773" s="2380"/>
      <c r="AK773" s="2380"/>
      <c r="AL773" s="2380"/>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97"/>
      <c r="F774" s="2397"/>
      <c r="G774" s="2397"/>
      <c r="H774" s="2397"/>
      <c r="I774" s="2397"/>
      <c r="J774" s="2397"/>
      <c r="K774" s="2397"/>
      <c r="L774" s="2397"/>
      <c r="M774" s="2397"/>
      <c r="N774" s="2397"/>
      <c r="O774" s="2397"/>
      <c r="P774" s="2397"/>
      <c r="Q774" s="2397"/>
      <c r="R774" s="2397"/>
      <c r="S774" s="2397"/>
      <c r="T774" s="2397"/>
      <c r="U774" s="2397"/>
      <c r="V774" s="2397"/>
      <c r="W774" s="2397"/>
      <c r="X774" s="2397"/>
      <c r="Y774" s="2397"/>
      <c r="Z774" s="2397"/>
      <c r="AA774" s="2397"/>
      <c r="AB774" s="2397"/>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2477</v>
      </c>
      <c r="E776" s="826"/>
      <c r="F776" s="826"/>
      <c r="G776" s="826"/>
      <c r="H776" s="2460" t="s">
        <v>826</v>
      </c>
      <c r="I776" s="2460"/>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2546</v>
      </c>
      <c r="AJ778" s="2405">
        <f>VLOOKUP($H$776,$AO$710:$AP$712,2,FALSE)</f>
        <v>0</v>
      </c>
      <c r="AK778" s="2407"/>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2533</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97" t="s">
        <v>2547</v>
      </c>
      <c r="F782" s="2397"/>
      <c r="G782" s="2397"/>
      <c r="H782" s="2397"/>
      <c r="I782" s="2397"/>
      <c r="J782" s="2397"/>
      <c r="K782" s="2397"/>
      <c r="L782" s="2397"/>
      <c r="M782" s="2397"/>
      <c r="N782" s="2397"/>
      <c r="O782" s="2397"/>
      <c r="P782" s="2397"/>
      <c r="Q782" s="2397"/>
      <c r="R782" s="2397"/>
      <c r="S782" s="2397"/>
      <c r="T782" s="2397"/>
      <c r="U782" s="2397"/>
      <c r="V782" s="2397"/>
      <c r="W782" s="2397"/>
      <c r="X782" s="2397"/>
      <c r="Y782" s="2397"/>
      <c r="Z782" s="2397"/>
      <c r="AA782" s="2397"/>
      <c r="AB782" s="2397"/>
      <c r="AC782" s="2397"/>
      <c r="AD782" s="2397"/>
      <c r="AE782" s="436"/>
      <c r="AF782" s="2380" t="s">
        <v>2491</v>
      </c>
      <c r="AG782" s="2380"/>
      <c r="AH782" s="2380"/>
      <c r="AI782" s="2380"/>
      <c r="AJ782" s="2380"/>
      <c r="AK782" s="2380"/>
      <c r="AL782" s="2380"/>
      <c r="AM782" s="511"/>
      <c r="AN782" s="580"/>
      <c r="AO782" s="449" t="s">
        <v>826</v>
      </c>
      <c r="AP782" s="569">
        <v>0</v>
      </c>
    </row>
    <row r="783" spans="1:74" s="468" customFormat="1" ht="13.7" customHeight="1">
      <c r="A783" s="449"/>
      <c r="B783" s="514"/>
      <c r="C783" s="830"/>
      <c r="D783" s="559"/>
      <c r="E783" s="2397"/>
      <c r="F783" s="2397"/>
      <c r="G783" s="2397"/>
      <c r="H783" s="2397"/>
      <c r="I783" s="2397"/>
      <c r="J783" s="2397"/>
      <c r="K783" s="2397"/>
      <c r="L783" s="2397"/>
      <c r="M783" s="2397"/>
      <c r="N783" s="2397"/>
      <c r="O783" s="2397"/>
      <c r="P783" s="2397"/>
      <c r="Q783" s="2397"/>
      <c r="R783" s="2397"/>
      <c r="S783" s="2397"/>
      <c r="T783" s="2397"/>
      <c r="U783" s="2397"/>
      <c r="V783" s="2397"/>
      <c r="W783" s="2397"/>
      <c r="X783" s="2397"/>
      <c r="Y783" s="2397"/>
      <c r="Z783" s="2397"/>
      <c r="AA783" s="2397"/>
      <c r="AB783" s="2397"/>
      <c r="AC783" s="2397"/>
      <c r="AD783" s="2397"/>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97"/>
      <c r="F784" s="2397"/>
      <c r="G784" s="2397"/>
      <c r="H784" s="2397"/>
      <c r="I784" s="2397"/>
      <c r="J784" s="2397"/>
      <c r="K784" s="2397"/>
      <c r="L784" s="2397"/>
      <c r="M784" s="2397"/>
      <c r="N784" s="2397"/>
      <c r="O784" s="2397"/>
      <c r="P784" s="2397"/>
      <c r="Q784" s="2397"/>
      <c r="R784" s="2397"/>
      <c r="S784" s="2397"/>
      <c r="T784" s="2397"/>
      <c r="U784" s="2397"/>
      <c r="V784" s="2397"/>
      <c r="W784" s="2397"/>
      <c r="X784" s="2397"/>
      <c r="Y784" s="2397"/>
      <c r="Z784" s="2397"/>
      <c r="AA784" s="2397"/>
      <c r="AB784" s="2397"/>
      <c r="AC784" s="2397"/>
      <c r="AD784" s="2397"/>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97"/>
      <c r="F785" s="2397"/>
      <c r="G785" s="2397"/>
      <c r="H785" s="2397"/>
      <c r="I785" s="2397"/>
      <c r="J785" s="2397"/>
      <c r="K785" s="2397"/>
      <c r="L785" s="2397"/>
      <c r="M785" s="2397"/>
      <c r="N785" s="2397"/>
      <c r="O785" s="2397"/>
      <c r="P785" s="2397"/>
      <c r="Q785" s="2397"/>
      <c r="R785" s="2397"/>
      <c r="S785" s="2397"/>
      <c r="T785" s="2397"/>
      <c r="U785" s="2397"/>
      <c r="V785" s="2397"/>
      <c r="W785" s="2397"/>
      <c r="X785" s="2397"/>
      <c r="Y785" s="2397"/>
      <c r="Z785" s="2397"/>
      <c r="AA785" s="2397"/>
      <c r="AB785" s="2397"/>
      <c r="AC785" s="2397"/>
      <c r="AD785" s="2397"/>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70" t="s">
        <v>2548</v>
      </c>
      <c r="F787" s="2470"/>
      <c r="G787" s="2470"/>
      <c r="H787" s="2470"/>
      <c r="I787" s="2470"/>
      <c r="J787" s="2470"/>
      <c r="K787" s="2470"/>
      <c r="L787" s="2470"/>
      <c r="M787" s="2470"/>
      <c r="N787" s="2470"/>
      <c r="O787" s="2470"/>
      <c r="P787" s="2470"/>
      <c r="Q787" s="2470"/>
      <c r="R787" s="2470"/>
      <c r="S787" s="2470"/>
      <c r="T787" s="2470"/>
      <c r="U787" s="2470"/>
      <c r="V787" s="2470"/>
      <c r="W787" s="2470"/>
      <c r="X787" s="2470"/>
      <c r="Y787" s="2470"/>
      <c r="Z787" s="2470"/>
      <c r="AA787" s="2470"/>
      <c r="AB787" s="2470"/>
      <c r="AC787" s="2470"/>
      <c r="AD787" s="2470"/>
      <c r="AE787" s="436"/>
      <c r="AF787" s="2380" t="s">
        <v>2203</v>
      </c>
      <c r="AG787" s="2380"/>
      <c r="AH787" s="2380"/>
      <c r="AI787" s="2380"/>
      <c r="AJ787" s="2380"/>
      <c r="AK787" s="2380"/>
      <c r="AL787" s="2380"/>
      <c r="AM787" s="511"/>
      <c r="AN787" s="495"/>
    </row>
    <row r="788" spans="1:81" s="449" customFormat="1" ht="12.75" customHeight="1">
      <c r="B788" s="514"/>
      <c r="C788" s="830"/>
      <c r="D788" s="559"/>
      <c r="E788" s="2470"/>
      <c r="F788" s="2470"/>
      <c r="G788" s="2470"/>
      <c r="H788" s="2470"/>
      <c r="I788" s="2470"/>
      <c r="J788" s="2470"/>
      <c r="K788" s="2470"/>
      <c r="L788" s="2470"/>
      <c r="M788" s="2470"/>
      <c r="N788" s="2470"/>
      <c r="O788" s="2470"/>
      <c r="P788" s="2470"/>
      <c r="Q788" s="2470"/>
      <c r="R788" s="2470"/>
      <c r="S788" s="2470"/>
      <c r="T788" s="2470"/>
      <c r="U788" s="2470"/>
      <c r="V788" s="2470"/>
      <c r="W788" s="2470"/>
      <c r="X788" s="2470"/>
      <c r="Y788" s="2470"/>
      <c r="Z788" s="2470"/>
      <c r="AA788" s="2470"/>
      <c r="AB788" s="2470"/>
      <c r="AC788" s="2470"/>
      <c r="AD788" s="2470"/>
      <c r="AE788" s="492"/>
      <c r="AF788" s="492"/>
      <c r="AG788" s="492"/>
      <c r="AH788" s="492"/>
      <c r="AI788" s="492"/>
      <c r="AJ788" s="492"/>
      <c r="AK788" s="492"/>
      <c r="AL788" s="492"/>
      <c r="AM788" s="511"/>
      <c r="AN788" s="495"/>
    </row>
    <row r="789" spans="1:81" s="449" customFormat="1" ht="12.75" customHeight="1">
      <c r="B789" s="514"/>
      <c r="C789" s="830"/>
      <c r="D789" s="559"/>
      <c r="E789" s="2470"/>
      <c r="F789" s="2470"/>
      <c r="G789" s="2470"/>
      <c r="H789" s="2470"/>
      <c r="I789" s="2470"/>
      <c r="J789" s="2470"/>
      <c r="K789" s="2470"/>
      <c r="L789" s="2470"/>
      <c r="M789" s="2470"/>
      <c r="N789" s="2470"/>
      <c r="O789" s="2470"/>
      <c r="P789" s="2470"/>
      <c r="Q789" s="2470"/>
      <c r="R789" s="2470"/>
      <c r="S789" s="2470"/>
      <c r="T789" s="2470"/>
      <c r="U789" s="2470"/>
      <c r="V789" s="2470"/>
      <c r="W789" s="2470"/>
      <c r="X789" s="2470"/>
      <c r="Y789" s="2470"/>
      <c r="Z789" s="2470"/>
      <c r="AA789" s="2470"/>
      <c r="AB789" s="2470"/>
      <c r="AC789" s="2470"/>
      <c r="AD789" s="2470"/>
      <c r="AE789" s="492"/>
      <c r="AF789" s="492"/>
      <c r="AG789" s="492"/>
      <c r="AH789" s="492"/>
      <c r="AI789" s="492"/>
      <c r="AJ789" s="492"/>
      <c r="AK789" s="492"/>
      <c r="AL789" s="492"/>
      <c r="AM789" s="511"/>
      <c r="AN789" s="495"/>
    </row>
    <row r="790" spans="1:81" s="449" customFormat="1" ht="12.75" customHeight="1">
      <c r="B790" s="514"/>
      <c r="C790" s="830"/>
      <c r="D790" s="559"/>
      <c r="E790" s="2470"/>
      <c r="F790" s="2470"/>
      <c r="G790" s="2470"/>
      <c r="H790" s="2470"/>
      <c r="I790" s="2470"/>
      <c r="J790" s="2470"/>
      <c r="K790" s="2470"/>
      <c r="L790" s="2470"/>
      <c r="M790" s="2470"/>
      <c r="N790" s="2470"/>
      <c r="O790" s="2470"/>
      <c r="P790" s="2470"/>
      <c r="Q790" s="2470"/>
      <c r="R790" s="2470"/>
      <c r="S790" s="2470"/>
      <c r="T790" s="2470"/>
      <c r="U790" s="2470"/>
      <c r="V790" s="2470"/>
      <c r="W790" s="2470"/>
      <c r="X790" s="2470"/>
      <c r="Y790" s="2470"/>
      <c r="Z790" s="2470"/>
      <c r="AA790" s="2470"/>
      <c r="AB790" s="2470"/>
      <c r="AC790" s="2470"/>
      <c r="AD790" s="2470"/>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2477</v>
      </c>
      <c r="E792" s="826"/>
      <c r="F792" s="826"/>
      <c r="G792" s="826"/>
      <c r="H792" s="2460" t="s">
        <v>826</v>
      </c>
      <c r="I792" s="2460"/>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2549</v>
      </c>
      <c r="AJ794" s="2405">
        <f>VLOOKUP($H$792,$AO$782:$AP$784,2,FALSE)</f>
        <v>0</v>
      </c>
      <c r="AK794" s="2407"/>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2550</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826</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97" t="s">
        <v>2551</v>
      </c>
      <c r="F798" s="2397"/>
      <c r="G798" s="2397"/>
      <c r="H798" s="2397"/>
      <c r="I798" s="2397"/>
      <c r="J798" s="2397"/>
      <c r="K798" s="2397"/>
      <c r="L798" s="2397"/>
      <c r="M798" s="2397"/>
      <c r="N798" s="2397"/>
      <c r="O798" s="2397"/>
      <c r="P798" s="2397"/>
      <c r="Q798" s="2397"/>
      <c r="R798" s="2397"/>
      <c r="S798" s="2397"/>
      <c r="T798" s="2397"/>
      <c r="U798" s="2397"/>
      <c r="V798" s="2397"/>
      <c r="W798" s="2397"/>
      <c r="X798" s="2397"/>
      <c r="Y798" s="2397"/>
      <c r="Z798" s="2397"/>
      <c r="AA798" s="2397"/>
      <c r="AB798" s="2397"/>
      <c r="AC798" s="2397"/>
      <c r="AD798" s="2397"/>
      <c r="AE798" s="436"/>
      <c r="AF798" s="2380" t="s">
        <v>2203</v>
      </c>
      <c r="AG798" s="2380"/>
      <c r="AH798" s="2380"/>
      <c r="AI798" s="2380"/>
      <c r="AJ798" s="2380"/>
      <c r="AK798" s="2380"/>
      <c r="AL798" s="2380"/>
      <c r="AM798" s="511"/>
      <c r="AN798" s="580"/>
      <c r="AO798" s="509" t="s">
        <v>860</v>
      </c>
      <c r="AP798" s="449">
        <v>3</v>
      </c>
      <c r="AT798" s="570"/>
      <c r="AU798" s="570"/>
      <c r="AV798" s="570"/>
      <c r="AW798" s="570"/>
      <c r="AX798" s="570"/>
      <c r="AY798" s="570"/>
      <c r="AZ798" s="570"/>
    </row>
    <row r="799" spans="1:81" s="468" customFormat="1" ht="13.7" customHeight="1">
      <c r="A799" s="449"/>
      <c r="B799" s="514"/>
      <c r="C799" s="830"/>
      <c r="D799" s="559"/>
      <c r="E799" s="2397"/>
      <c r="F799" s="2397"/>
      <c r="G799" s="2397"/>
      <c r="H799" s="2397"/>
      <c r="I799" s="2397"/>
      <c r="J799" s="2397"/>
      <c r="K799" s="2397"/>
      <c r="L799" s="2397"/>
      <c r="M799" s="2397"/>
      <c r="N799" s="2397"/>
      <c r="O799" s="2397"/>
      <c r="P799" s="2397"/>
      <c r="Q799" s="2397"/>
      <c r="R799" s="2397"/>
      <c r="S799" s="2397"/>
      <c r="T799" s="2397"/>
      <c r="U799" s="2397"/>
      <c r="V799" s="2397"/>
      <c r="W799" s="2397"/>
      <c r="X799" s="2397"/>
      <c r="Y799" s="2397"/>
      <c r="Z799" s="2397"/>
      <c r="AA799" s="2397"/>
      <c r="AB799" s="2397"/>
      <c r="AC799" s="2397"/>
      <c r="AD799" s="2397"/>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97"/>
      <c r="F800" s="2397"/>
      <c r="G800" s="2397"/>
      <c r="H800" s="2397"/>
      <c r="I800" s="2397"/>
      <c r="J800" s="2397"/>
      <c r="K800" s="2397"/>
      <c r="L800" s="2397"/>
      <c r="M800" s="2397"/>
      <c r="N800" s="2397"/>
      <c r="O800" s="2397"/>
      <c r="P800" s="2397"/>
      <c r="Q800" s="2397"/>
      <c r="R800" s="2397"/>
      <c r="S800" s="2397"/>
      <c r="T800" s="2397"/>
      <c r="U800" s="2397"/>
      <c r="V800" s="2397"/>
      <c r="W800" s="2397"/>
      <c r="X800" s="2397"/>
      <c r="Y800" s="2397"/>
      <c r="Z800" s="2397"/>
      <c r="AA800" s="2397"/>
      <c r="AB800" s="2397"/>
      <c r="AC800" s="2397"/>
      <c r="AD800" s="2397"/>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97"/>
      <c r="F801" s="2397"/>
      <c r="G801" s="2397"/>
      <c r="H801" s="2397"/>
      <c r="I801" s="2397"/>
      <c r="J801" s="2397"/>
      <c r="K801" s="2397"/>
      <c r="L801" s="2397"/>
      <c r="M801" s="2397"/>
      <c r="N801" s="2397"/>
      <c r="O801" s="2397"/>
      <c r="P801" s="2397"/>
      <c r="Q801" s="2397"/>
      <c r="R801" s="2397"/>
      <c r="S801" s="2397"/>
      <c r="T801" s="2397"/>
      <c r="U801" s="2397"/>
      <c r="V801" s="2397"/>
      <c r="W801" s="2397"/>
      <c r="X801" s="2397"/>
      <c r="Y801" s="2397"/>
      <c r="Z801" s="2397"/>
      <c r="AA801" s="2397"/>
      <c r="AB801" s="2397"/>
      <c r="AC801" s="2397"/>
      <c r="AD801" s="2397"/>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2477</v>
      </c>
      <c r="E803" s="826"/>
      <c r="F803" s="826"/>
      <c r="G803" s="826"/>
      <c r="H803" s="2460" t="s">
        <v>826</v>
      </c>
      <c r="I803" s="2460"/>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2552</v>
      </c>
      <c r="AJ805" s="2405">
        <f>VLOOKUP($H$803,$AO$797:$AP$798,2,FALSE)</f>
        <v>0</v>
      </c>
      <c r="AK805" s="2407"/>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2553</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97" t="s">
        <v>2554</v>
      </c>
      <c r="F809" s="2397"/>
      <c r="G809" s="2397"/>
      <c r="H809" s="2397"/>
      <c r="I809" s="2397"/>
      <c r="J809" s="2397"/>
      <c r="K809" s="2397"/>
      <c r="L809" s="2397"/>
      <c r="M809" s="2397"/>
      <c r="N809" s="2397"/>
      <c r="O809" s="2397"/>
      <c r="P809" s="2397"/>
      <c r="Q809" s="2397"/>
      <c r="R809" s="2397"/>
      <c r="S809" s="2397"/>
      <c r="T809" s="2397"/>
      <c r="U809" s="2397"/>
      <c r="V809" s="2397"/>
      <c r="W809" s="2397"/>
      <c r="X809" s="2397"/>
      <c r="Y809" s="2397"/>
      <c r="Z809" s="2397"/>
      <c r="AA809" s="2397"/>
      <c r="AB809" s="2397"/>
      <c r="AC809" s="2397"/>
      <c r="AD809" s="2397"/>
      <c r="AE809" s="450"/>
      <c r="AF809" s="2380" t="s">
        <v>2463</v>
      </c>
      <c r="AG809" s="2380"/>
      <c r="AH809" s="2380"/>
      <c r="AI809" s="2380"/>
      <c r="AJ809" s="2380"/>
      <c r="AK809" s="2380"/>
      <c r="AL809" s="2380"/>
      <c r="AN809" s="495"/>
    </row>
    <row r="810" spans="1:81" s="449" customFormat="1" ht="12.75" customHeight="1">
      <c r="B810" s="514"/>
      <c r="C810" s="584"/>
      <c r="D810" s="559"/>
      <c r="E810" s="2397"/>
      <c r="F810" s="2397"/>
      <c r="G810" s="2397"/>
      <c r="H810" s="2397"/>
      <c r="I810" s="2397"/>
      <c r="J810" s="2397"/>
      <c r="K810" s="2397"/>
      <c r="L810" s="2397"/>
      <c r="M810" s="2397"/>
      <c r="N810" s="2397"/>
      <c r="O810" s="2397"/>
      <c r="P810" s="2397"/>
      <c r="Q810" s="2397"/>
      <c r="R810" s="2397"/>
      <c r="S810" s="2397"/>
      <c r="T810" s="2397"/>
      <c r="U810" s="2397"/>
      <c r="V810" s="2397"/>
      <c r="W810" s="2397"/>
      <c r="X810" s="2397"/>
      <c r="Y810" s="2397"/>
      <c r="Z810" s="2397"/>
      <c r="AA810" s="2397"/>
      <c r="AB810" s="2397"/>
      <c r="AC810" s="2397"/>
      <c r="AD810" s="2397"/>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2477</v>
      </c>
      <c r="E812" s="826"/>
      <c r="F812" s="826"/>
      <c r="G812" s="826"/>
      <c r="H812" s="2460" t="s">
        <v>826</v>
      </c>
      <c r="I812" s="2460"/>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2555</v>
      </c>
      <c r="AJ814" s="2405">
        <f>IF(H812="Yes",5,0)</f>
        <v>0</v>
      </c>
      <c r="AK814" s="2407"/>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2556</v>
      </c>
      <c r="AK816" s="2405">
        <f>IF(($AJ$634+$AJ$653+$AJ$665+$AJ$700+$AJ$724+$AJ$738+$AJ$750+$AJ$766+$AJ$778+$AJ$794+AJ805+AJ814)&gt;10,10,($AJ$634+$AJ$653+$AJ$665+$AJ$700+$AJ$724+$AJ$738+$AJ$750+$AJ$766+$AJ$778+$AJ$794+AJ805+AJ814))</f>
        <v>10</v>
      </c>
      <c r="AL816" s="2406"/>
      <c r="AM816" s="2407"/>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92" t="s">
        <v>2557</v>
      </c>
      <c r="B819" s="2493"/>
      <c r="C819" s="2493"/>
      <c r="D819" s="2493"/>
      <c r="E819" s="2493"/>
      <c r="F819" s="2493"/>
      <c r="G819" s="2493"/>
      <c r="H819" s="2493"/>
      <c r="I819" s="2493"/>
      <c r="J819" s="2493"/>
      <c r="K819" s="2493"/>
      <c r="L819" s="2493"/>
      <c r="M819" s="2493"/>
      <c r="N819" s="2493"/>
      <c r="O819" s="2493"/>
      <c r="P819" s="2493"/>
      <c r="Q819" s="2493"/>
      <c r="R819" s="2493"/>
      <c r="S819" s="2493"/>
      <c r="T819" s="2493"/>
      <c r="U819" s="2493"/>
      <c r="V819" s="2493"/>
      <c r="W819" s="2493"/>
      <c r="X819" s="2493"/>
      <c r="Y819" s="2493"/>
      <c r="Z819" s="2493"/>
      <c r="AA819" s="2493"/>
      <c r="AB819" s="2493"/>
      <c r="AC819" s="2493"/>
      <c r="AD819" s="2493"/>
      <c r="AE819" s="2493"/>
      <c r="AF819" s="2493"/>
      <c r="AG819" s="2493"/>
      <c r="AH819" s="2493"/>
      <c r="AI819" s="2493"/>
      <c r="AJ819" s="2493"/>
      <c r="AK819" s="2493"/>
      <c r="AL819" s="2493"/>
      <c r="AM819" s="2493"/>
    </row>
    <row r="820" spans="1:43">
      <c r="A820" s="2494"/>
      <c r="B820" s="2494"/>
      <c r="C820" s="2494"/>
      <c r="D820" s="2494"/>
      <c r="E820" s="2494"/>
      <c r="F820" s="2494"/>
      <c r="G820" s="2494"/>
      <c r="H820" s="2494"/>
      <c r="I820" s="2494"/>
      <c r="J820" s="2494"/>
      <c r="K820" s="2494"/>
      <c r="L820" s="2494"/>
      <c r="M820" s="2494"/>
      <c r="N820" s="2494"/>
      <c r="O820" s="2494"/>
      <c r="P820" s="2494"/>
      <c r="Q820" s="2494"/>
      <c r="R820" s="2494"/>
      <c r="S820" s="2494"/>
      <c r="T820" s="2494"/>
      <c r="U820" s="2494"/>
      <c r="V820" s="2494"/>
      <c r="W820" s="2494"/>
      <c r="X820" s="2494"/>
      <c r="Y820" s="2494"/>
      <c r="Z820" s="2494"/>
      <c r="AA820" s="2494"/>
      <c r="AB820" s="2494"/>
      <c r="AC820" s="2494"/>
      <c r="AD820" s="2494"/>
      <c r="AE820" s="2494"/>
      <c r="AF820" s="2494"/>
      <c r="AG820" s="2494"/>
      <c r="AH820" s="2494"/>
      <c r="AI820" s="2494"/>
      <c r="AJ820" s="2494"/>
      <c r="AK820" s="2494"/>
      <c r="AL820" s="2494"/>
      <c r="AM820" s="2494"/>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43"/>
      <c r="B822" s="2443"/>
      <c r="C822" s="2443"/>
      <c r="D822" s="2443"/>
      <c r="E822" s="2443"/>
      <c r="F822" s="2443"/>
      <c r="G822" s="2443"/>
      <c r="H822" s="2443"/>
      <c r="I822" s="2443"/>
      <c r="J822" s="2443"/>
      <c r="K822" s="2443"/>
      <c r="L822" s="2443"/>
      <c r="M822" s="2443"/>
      <c r="N822" s="2443"/>
      <c r="O822" s="2443"/>
      <c r="P822" s="2443"/>
      <c r="Q822" s="2443"/>
      <c r="R822" s="2443"/>
      <c r="S822" s="2443"/>
      <c r="T822" s="2443"/>
      <c r="U822" s="2443"/>
      <c r="V822" s="2443"/>
      <c r="W822" s="2443"/>
      <c r="X822" s="2443"/>
      <c r="Y822" s="2443"/>
      <c r="Z822" s="2443"/>
      <c r="AA822" s="2443"/>
      <c r="AB822" s="2443"/>
      <c r="AC822" s="2443"/>
      <c r="AD822" s="2443"/>
      <c r="AE822" s="2443"/>
      <c r="AF822" s="2443"/>
      <c r="AG822" s="2443"/>
      <c r="AH822" s="2443"/>
      <c r="AI822" s="2443"/>
      <c r="AJ822" s="2443"/>
      <c r="AK822" s="2443"/>
      <c r="AL822" s="2443"/>
      <c r="AM822" s="2443"/>
      <c r="AP822" s="712"/>
      <c r="AQ822" s="712"/>
    </row>
    <row r="823" spans="1:43">
      <c r="A823" s="2443"/>
      <c r="B823" s="2443"/>
      <c r="C823" s="2443"/>
      <c r="D823" s="2443"/>
      <c r="E823" s="2443"/>
      <c r="F823" s="2443"/>
      <c r="G823" s="2443"/>
      <c r="H823" s="2443"/>
      <c r="I823" s="2443"/>
      <c r="J823" s="2443"/>
      <c r="K823" s="2443"/>
      <c r="L823" s="2443"/>
      <c r="M823" s="2443"/>
      <c r="N823" s="2443"/>
      <c r="O823" s="2443"/>
      <c r="P823" s="2443"/>
      <c r="Q823" s="2443"/>
      <c r="R823" s="2443"/>
      <c r="S823" s="2443"/>
      <c r="T823" s="2443"/>
      <c r="U823" s="2443"/>
      <c r="V823" s="2443"/>
      <c r="W823" s="2443"/>
      <c r="X823" s="2443"/>
      <c r="Y823" s="2443"/>
      <c r="Z823" s="2443"/>
      <c r="AA823" s="2443"/>
      <c r="AB823" s="2443"/>
      <c r="AC823" s="2443"/>
      <c r="AD823" s="2443"/>
      <c r="AE823" s="2443"/>
      <c r="AF823" s="2443"/>
      <c r="AG823" s="2443"/>
      <c r="AH823" s="2443"/>
      <c r="AI823" s="2443"/>
      <c r="AJ823" s="2443"/>
      <c r="AK823" s="2443"/>
      <c r="AL823" s="2443"/>
      <c r="AM823" s="2443"/>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95" t="s">
        <v>2558</v>
      </c>
      <c r="U824" s="2496"/>
      <c r="V824" s="2496"/>
      <c r="W824" s="2496"/>
      <c r="X824" s="2496"/>
      <c r="Y824" s="2497"/>
      <c r="Z824" s="2495" t="s">
        <v>2559</v>
      </c>
      <c r="AA824" s="2496"/>
      <c r="AB824" s="2496"/>
      <c r="AC824" s="2496"/>
      <c r="AD824" s="2496"/>
      <c r="AE824" s="2497"/>
      <c r="AF824" s="2495" t="s">
        <v>2560</v>
      </c>
      <c r="AG824" s="2496"/>
      <c r="AH824" s="2496"/>
      <c r="AI824" s="2496"/>
      <c r="AJ824" s="2496"/>
      <c r="AK824" s="2497"/>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98"/>
      <c r="U825" s="2499"/>
      <c r="V825" s="2499"/>
      <c r="W825" s="2499"/>
      <c r="X825" s="2499"/>
      <c r="Y825" s="2500"/>
      <c r="Z825" s="2498"/>
      <c r="AA825" s="2499"/>
      <c r="AB825" s="2499"/>
      <c r="AC825" s="2499"/>
      <c r="AD825" s="2499"/>
      <c r="AE825" s="2500"/>
      <c r="AF825" s="2498"/>
      <c r="AG825" s="2499"/>
      <c r="AH825" s="2499"/>
      <c r="AI825" s="2499"/>
      <c r="AJ825" s="2499"/>
      <c r="AK825" s="2500"/>
      <c r="AL825" s="714"/>
      <c r="AM825" s="494"/>
      <c r="AO825" s="712"/>
      <c r="AP825" s="712"/>
      <c r="AQ825" s="712"/>
    </row>
    <row r="826" spans="1:43">
      <c r="A826" s="715" t="s">
        <v>53</v>
      </c>
      <c r="B826" s="2475" t="str">
        <f>B7</f>
        <v xml:space="preserve">Acquisition/Rehabilitation Project Priorities </v>
      </c>
      <c r="C826" s="2475"/>
      <c r="D826" s="2475"/>
      <c r="E826" s="2475"/>
      <c r="F826" s="2475"/>
      <c r="G826" s="2475"/>
      <c r="H826" s="2475"/>
      <c r="I826" s="2475"/>
      <c r="J826" s="2475"/>
      <c r="K826" s="2475"/>
      <c r="L826" s="2475"/>
      <c r="M826" s="2475"/>
      <c r="N826" s="2475"/>
      <c r="O826" s="2475"/>
      <c r="P826" s="2475"/>
      <c r="Q826" s="2475"/>
      <c r="R826" s="2475"/>
      <c r="S826" s="2476"/>
      <c r="T826" s="2477">
        <f>AK61</f>
        <v>19</v>
      </c>
      <c r="U826" s="2478"/>
      <c r="V826" s="2478"/>
      <c r="W826" s="2478"/>
      <c r="X826" s="2478"/>
      <c r="Y826" s="2479"/>
      <c r="Z826" s="2480">
        <v>20</v>
      </c>
      <c r="AA826" s="2478"/>
      <c r="AB826" s="2478"/>
      <c r="AC826" s="2478"/>
      <c r="AD826" s="2478"/>
      <c r="AE826" s="2479"/>
      <c r="AF826" s="2473">
        <f>IF(T826&gt;Z826,Z826,T826)</f>
        <v>19</v>
      </c>
      <c r="AG826" s="2473"/>
      <c r="AH826" s="2473"/>
      <c r="AI826" s="2473"/>
      <c r="AJ826" s="2473"/>
      <c r="AK826" s="2473"/>
      <c r="AL826" s="714"/>
      <c r="AM826" s="494"/>
      <c r="AO826" s="712"/>
      <c r="AP826" s="712"/>
      <c r="AQ826" s="712"/>
    </row>
    <row r="827" spans="1:43">
      <c r="A827" s="715" t="s">
        <v>2408</v>
      </c>
      <c r="B827" s="2475" t="s">
        <v>623</v>
      </c>
      <c r="C827" s="2475"/>
      <c r="D827" s="2475"/>
      <c r="E827" s="2475"/>
      <c r="F827" s="2475"/>
      <c r="G827" s="2475"/>
      <c r="H827" s="2475"/>
      <c r="I827" s="2475"/>
      <c r="J827" s="2475"/>
      <c r="K827" s="2475"/>
      <c r="L827" s="2475"/>
      <c r="M827" s="2475"/>
      <c r="N827" s="2475"/>
      <c r="O827" s="2475"/>
      <c r="P827" s="2475"/>
      <c r="Q827" s="2475"/>
      <c r="R827" s="2475"/>
      <c r="S827" s="2476"/>
      <c r="T827" s="2477">
        <f>AK83</f>
        <v>0</v>
      </c>
      <c r="U827" s="2478"/>
      <c r="V827" s="2478"/>
      <c r="W827" s="2478"/>
      <c r="X827" s="2478"/>
      <c r="Y827" s="2479"/>
      <c r="Z827" s="2480">
        <v>10</v>
      </c>
      <c r="AA827" s="2478"/>
      <c r="AB827" s="2478"/>
      <c r="AC827" s="2478"/>
      <c r="AD827" s="2478"/>
      <c r="AE827" s="2479"/>
      <c r="AF827" s="2473">
        <f>IF(T827&gt;Z827,Z827,T827)</f>
        <v>0</v>
      </c>
      <c r="AG827" s="2473"/>
      <c r="AH827" s="2473"/>
      <c r="AI827" s="2473"/>
      <c r="AJ827" s="2473"/>
      <c r="AK827" s="2473"/>
      <c r="AL827" s="714"/>
      <c r="AM827" s="494"/>
      <c r="AO827" s="712"/>
      <c r="AP827" s="712"/>
      <c r="AQ827" s="712"/>
    </row>
    <row r="828" spans="1:43">
      <c r="A828" s="715" t="s">
        <v>2417</v>
      </c>
      <c r="B828" s="2475" t="s">
        <v>2158</v>
      </c>
      <c r="C828" s="2475"/>
      <c r="D828" s="2475"/>
      <c r="E828" s="2475"/>
      <c r="F828" s="2475"/>
      <c r="G828" s="2475"/>
      <c r="H828" s="2475"/>
      <c r="I828" s="2475"/>
      <c r="J828" s="2475"/>
      <c r="K828" s="2475"/>
      <c r="L828" s="2475"/>
      <c r="M828" s="2475"/>
      <c r="N828" s="2475"/>
      <c r="O828" s="2475"/>
      <c r="P828" s="2475"/>
      <c r="Q828" s="2475"/>
      <c r="R828" s="2475"/>
      <c r="S828" s="2476"/>
      <c r="T828" s="2477">
        <f ca="1">AK108</f>
        <v>20</v>
      </c>
      <c r="U828" s="2478"/>
      <c r="V828" s="2478"/>
      <c r="W828" s="2478"/>
      <c r="X828" s="2478"/>
      <c r="Y828" s="2479"/>
      <c r="Z828" s="2480">
        <v>20</v>
      </c>
      <c r="AA828" s="2478"/>
      <c r="AB828" s="2478"/>
      <c r="AC828" s="2478"/>
      <c r="AD828" s="2478"/>
      <c r="AE828" s="2479"/>
      <c r="AF828" s="2473">
        <f ca="1">IF(T828&gt;Z828,Z828,T828)</f>
        <v>20</v>
      </c>
      <c r="AG828" s="2473"/>
      <c r="AH828" s="2473"/>
      <c r="AI828" s="2473"/>
      <c r="AJ828" s="2473"/>
      <c r="AK828" s="2473"/>
      <c r="AL828" s="714"/>
      <c r="AM828" s="494"/>
      <c r="AO828" s="712"/>
      <c r="AP828" s="712"/>
      <c r="AQ828" s="712"/>
    </row>
    <row r="829" spans="1:43">
      <c r="A829" s="715" t="s">
        <v>2561</v>
      </c>
      <c r="B829" s="2475" t="s">
        <v>2169</v>
      </c>
      <c r="C829" s="2475"/>
      <c r="D829" s="2475"/>
      <c r="E829" s="2475"/>
      <c r="F829" s="2475"/>
      <c r="G829" s="2475"/>
      <c r="H829" s="2475"/>
      <c r="I829" s="2475"/>
      <c r="J829" s="2475"/>
      <c r="K829" s="2475"/>
      <c r="L829" s="2475"/>
      <c r="M829" s="2475"/>
      <c r="N829" s="2475"/>
      <c r="O829" s="2475"/>
      <c r="P829" s="2475"/>
      <c r="Q829" s="2475"/>
      <c r="R829" s="2475"/>
      <c r="S829" s="2476"/>
      <c r="T829" s="2477">
        <f>AK142</f>
        <v>10</v>
      </c>
      <c r="U829" s="2478"/>
      <c r="V829" s="2478"/>
      <c r="W829" s="2478"/>
      <c r="X829" s="2478"/>
      <c r="Y829" s="2479"/>
      <c r="Z829" s="2480">
        <v>10</v>
      </c>
      <c r="AA829" s="2478"/>
      <c r="AB829" s="2478"/>
      <c r="AC829" s="2478"/>
      <c r="AD829" s="2478"/>
      <c r="AE829" s="2479"/>
      <c r="AF829" s="2473">
        <f>IF(T829&gt;Z829,Z829,T829)</f>
        <v>10</v>
      </c>
      <c r="AG829" s="2473"/>
      <c r="AH829" s="2473"/>
      <c r="AI829" s="2473"/>
      <c r="AJ829" s="2473"/>
      <c r="AK829" s="2473"/>
      <c r="AL829" s="714"/>
      <c r="AM829" s="494"/>
      <c r="AO829" s="712"/>
      <c r="AP829" s="712"/>
      <c r="AQ829" s="712"/>
    </row>
    <row r="830" spans="1:43">
      <c r="A830" s="716" t="s">
        <v>2562</v>
      </c>
      <c r="B830" s="2475" t="s">
        <v>2563</v>
      </c>
      <c r="C830" s="2475"/>
      <c r="D830" s="2475"/>
      <c r="E830" s="2475"/>
      <c r="F830" s="2475"/>
      <c r="G830" s="2475"/>
      <c r="H830" s="2475"/>
      <c r="I830" s="2475"/>
      <c r="J830" s="2475"/>
      <c r="K830" s="2475"/>
      <c r="L830" s="2475"/>
      <c r="M830" s="2475"/>
      <c r="N830" s="2475"/>
      <c r="O830" s="2475"/>
      <c r="P830" s="2475"/>
      <c r="Q830" s="2475"/>
      <c r="R830" s="2475"/>
      <c r="S830" s="2476"/>
      <c r="T830" s="2501">
        <f>SUM(T831:Y832)</f>
        <v>10</v>
      </c>
      <c r="U830" s="2501"/>
      <c r="V830" s="2501"/>
      <c r="W830" s="2501"/>
      <c r="X830" s="2501"/>
      <c r="Y830" s="2501"/>
      <c r="Z830" s="2473">
        <v>10</v>
      </c>
      <c r="AA830" s="2473"/>
      <c r="AB830" s="2473"/>
      <c r="AC830" s="2473"/>
      <c r="AD830" s="2473"/>
      <c r="AE830" s="2473"/>
      <c r="AF830" s="2473">
        <f>IF(T830&gt;Z830,Z830,T830)</f>
        <v>10</v>
      </c>
      <c r="AG830" s="2473"/>
      <c r="AH830" s="2473"/>
      <c r="AI830" s="2473"/>
      <c r="AJ830" s="2473"/>
      <c r="AK830" s="2473"/>
      <c r="AL830" s="714"/>
      <c r="AM830" s="494"/>
    </row>
    <row r="831" spans="1:43">
      <c r="A831" s="435"/>
      <c r="B831" s="499"/>
      <c r="C831" s="2502" t="s">
        <v>2564</v>
      </c>
      <c r="D831" s="2502"/>
      <c r="E831" s="2502"/>
      <c r="F831" s="2502"/>
      <c r="G831" s="2502"/>
      <c r="H831" s="2502"/>
      <c r="I831" s="2502"/>
      <c r="J831" s="2502"/>
      <c r="K831" s="2502"/>
      <c r="L831" s="2502"/>
      <c r="M831" s="2502"/>
      <c r="N831" s="2502"/>
      <c r="O831" s="2502"/>
      <c r="P831" s="2502"/>
      <c r="Q831" s="2502"/>
      <c r="R831" s="2502"/>
      <c r="S831" s="2503"/>
      <c r="T831" s="2394">
        <f>AJ165</f>
        <v>7</v>
      </c>
      <c r="U831" s="2394"/>
      <c r="V831" s="2394"/>
      <c r="W831" s="2394"/>
      <c r="X831" s="2394"/>
      <c r="Y831" s="2394"/>
      <c r="Z831" s="2395">
        <v>7</v>
      </c>
      <c r="AA831" s="2395"/>
      <c r="AB831" s="2395"/>
      <c r="AC831" s="2395"/>
      <c r="AD831" s="2395"/>
      <c r="AE831" s="2395"/>
      <c r="AF831" s="2504"/>
      <c r="AG831" s="2504"/>
      <c r="AH831" s="2504"/>
      <c r="AI831" s="2504"/>
      <c r="AJ831" s="2504"/>
      <c r="AK831" s="2504"/>
      <c r="AL831" s="714"/>
      <c r="AM831" s="494"/>
    </row>
    <row r="832" spans="1:43">
      <c r="A832" s="498"/>
      <c r="B832" s="499"/>
      <c r="C832" s="2502" t="s">
        <v>1986</v>
      </c>
      <c r="D832" s="2502"/>
      <c r="E832" s="2502"/>
      <c r="F832" s="2502"/>
      <c r="G832" s="2502"/>
      <c r="H832" s="2502"/>
      <c r="I832" s="2502"/>
      <c r="J832" s="2502"/>
      <c r="K832" s="2502"/>
      <c r="L832" s="2502"/>
      <c r="M832" s="2502"/>
      <c r="N832" s="2502"/>
      <c r="O832" s="2502"/>
      <c r="P832" s="2502"/>
      <c r="Q832" s="2502"/>
      <c r="R832" s="2502"/>
      <c r="S832" s="2503"/>
      <c r="T832" s="2394">
        <f>AJ179</f>
        <v>3</v>
      </c>
      <c r="U832" s="2394"/>
      <c r="V832" s="2394"/>
      <c r="W832" s="2394"/>
      <c r="X832" s="2394"/>
      <c r="Y832" s="2394"/>
      <c r="Z832" s="2395">
        <v>3</v>
      </c>
      <c r="AA832" s="2395"/>
      <c r="AB832" s="2395"/>
      <c r="AC832" s="2395"/>
      <c r="AD832" s="2395"/>
      <c r="AE832" s="2395"/>
      <c r="AF832" s="2504"/>
      <c r="AG832" s="2504"/>
      <c r="AH832" s="2504"/>
      <c r="AI832" s="2504"/>
      <c r="AJ832" s="2504"/>
      <c r="AK832" s="2504"/>
      <c r="AL832" s="714"/>
      <c r="AM832" s="494"/>
      <c r="AO832" s="449"/>
    </row>
    <row r="833" spans="1:81">
      <c r="A833" s="716" t="s">
        <v>2215</v>
      </c>
      <c r="B833" s="2475" t="s">
        <v>2565</v>
      </c>
      <c r="C833" s="2475"/>
      <c r="D833" s="2475"/>
      <c r="E833" s="2475"/>
      <c r="F833" s="2475"/>
      <c r="G833" s="2475"/>
      <c r="H833" s="2475"/>
      <c r="I833" s="2475"/>
      <c r="J833" s="2475"/>
      <c r="K833" s="2475"/>
      <c r="L833" s="2475"/>
      <c r="M833" s="2475"/>
      <c r="N833" s="2475"/>
      <c r="O833" s="2475"/>
      <c r="P833" s="2475"/>
      <c r="Q833" s="2475"/>
      <c r="R833" s="2475"/>
      <c r="S833" s="2476"/>
      <c r="T833" s="2501">
        <f>AK190</f>
        <v>0</v>
      </c>
      <c r="U833" s="2501"/>
      <c r="V833" s="2501"/>
      <c r="W833" s="2501"/>
      <c r="X833" s="2501"/>
      <c r="Y833" s="2501"/>
      <c r="Z833" s="2473">
        <v>10</v>
      </c>
      <c r="AA833" s="2473"/>
      <c r="AB833" s="2473"/>
      <c r="AC833" s="2473"/>
      <c r="AD833" s="2473"/>
      <c r="AE833" s="2473"/>
      <c r="AF833" s="2473">
        <f>IF(T833&gt;Z833,Z833,T833)</f>
        <v>0</v>
      </c>
      <c r="AG833" s="2473"/>
      <c r="AH833" s="2473"/>
      <c r="AI833" s="2473"/>
      <c r="AJ833" s="2473"/>
      <c r="AK833" s="2473"/>
      <c r="AL833" s="714"/>
      <c r="AM833" s="494"/>
    </row>
    <row r="834" spans="1:81" hidden="1">
      <c r="A834" s="715" t="s">
        <v>2225</v>
      </c>
      <c r="B834" s="2475" t="s">
        <v>2226</v>
      </c>
      <c r="C834" s="2475"/>
      <c r="D834" s="2475"/>
      <c r="E834" s="2475"/>
      <c r="F834" s="2475"/>
      <c r="G834" s="2475"/>
      <c r="H834" s="2475"/>
      <c r="I834" s="2475"/>
      <c r="J834" s="2475"/>
      <c r="K834" s="2475"/>
      <c r="L834" s="2475"/>
      <c r="M834" s="2475"/>
      <c r="N834" s="2475"/>
      <c r="O834" s="2475"/>
      <c r="P834" s="2475"/>
      <c r="Q834" s="2475"/>
      <c r="R834" s="2475"/>
      <c r="S834" s="2476"/>
      <c r="T834" s="2501">
        <f>AK272</f>
        <v>0</v>
      </c>
      <c r="U834" s="2501"/>
      <c r="V834" s="2501"/>
      <c r="W834" s="2501"/>
      <c r="X834" s="2501"/>
      <c r="Y834" s="2501"/>
      <c r="Z834" s="2480">
        <v>8</v>
      </c>
      <c r="AA834" s="2478"/>
      <c r="AB834" s="2478"/>
      <c r="AC834" s="2478"/>
      <c r="AD834" s="2478"/>
      <c r="AE834" s="2479"/>
      <c r="AF834" s="2473"/>
      <c r="AG834" s="2473"/>
      <c r="AH834" s="2473"/>
      <c r="AI834" s="2473"/>
      <c r="AJ834" s="2473"/>
      <c r="AK834" s="2473"/>
      <c r="AL834" s="714"/>
      <c r="AM834" s="494"/>
    </row>
    <row r="835" spans="1:81" s="434" customFormat="1" hidden="1">
      <c r="A835" s="716" t="s">
        <v>1023</v>
      </c>
      <c r="B835" s="2475" t="s">
        <v>2566</v>
      </c>
      <c r="C835" s="2475"/>
      <c r="D835" s="2475"/>
      <c r="E835" s="2475"/>
      <c r="F835" s="2475"/>
      <c r="G835" s="2475"/>
      <c r="H835" s="2475"/>
      <c r="I835" s="2475"/>
      <c r="J835" s="2475"/>
      <c r="K835" s="2475"/>
      <c r="L835" s="2475"/>
      <c r="M835" s="2475"/>
      <c r="N835" s="2475"/>
      <c r="O835" s="2475"/>
      <c r="P835" s="2475"/>
      <c r="Q835" s="2475"/>
      <c r="R835" s="2475"/>
      <c r="S835" s="2476"/>
      <c r="T835" s="2501">
        <f>IF(AK548&gt;5,5,AK548)</f>
        <v>0</v>
      </c>
      <c r="U835" s="2501"/>
      <c r="V835" s="2501"/>
      <c r="W835" s="2501"/>
      <c r="X835" s="2501"/>
      <c r="Y835" s="2501"/>
      <c r="Z835" s="2473">
        <v>5</v>
      </c>
      <c r="AA835" s="2473"/>
      <c r="AB835" s="2473"/>
      <c r="AC835" s="2473"/>
      <c r="AD835" s="2473"/>
      <c r="AE835" s="2473"/>
      <c r="AF835" s="2473"/>
      <c r="AG835" s="2473"/>
      <c r="AH835" s="2473"/>
      <c r="AI835" s="2473"/>
      <c r="AJ835" s="2473"/>
      <c r="AK835" s="2473"/>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75" t="str">
        <f>B275</f>
        <v>Readiness to Proceed</v>
      </c>
      <c r="C836" s="2475"/>
      <c r="D836" s="2475"/>
      <c r="E836" s="2475"/>
      <c r="F836" s="2475"/>
      <c r="G836" s="2475"/>
      <c r="H836" s="2475"/>
      <c r="I836" s="2475"/>
      <c r="J836" s="2475"/>
      <c r="K836" s="2475"/>
      <c r="L836" s="2475"/>
      <c r="M836" s="2475"/>
      <c r="N836" s="2475"/>
      <c r="O836" s="2475"/>
      <c r="P836" s="2475"/>
      <c r="Q836" s="2475"/>
      <c r="R836" s="2475"/>
      <c r="S836" s="2476"/>
      <c r="T836" s="2501">
        <f>AK298</f>
        <v>10</v>
      </c>
      <c r="U836" s="2501"/>
      <c r="V836" s="2501"/>
      <c r="W836" s="2501"/>
      <c r="X836" s="2501"/>
      <c r="Y836" s="2501"/>
      <c r="Z836" s="2473">
        <v>10</v>
      </c>
      <c r="AA836" s="2473"/>
      <c r="AB836" s="2473"/>
      <c r="AC836" s="2473"/>
      <c r="AD836" s="2473"/>
      <c r="AE836" s="2473"/>
      <c r="AF836" s="2506">
        <f>IF(T836&gt;Z836,Z836,T836)</f>
        <v>10</v>
      </c>
      <c r="AG836" s="2507"/>
      <c r="AH836" s="2507"/>
      <c r="AI836" s="2507"/>
      <c r="AJ836" s="2507"/>
      <c r="AK836" s="2508"/>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75" t="str">
        <f>B301</f>
        <v>Access to Opportunity</v>
      </c>
      <c r="C837" s="2475"/>
      <c r="D837" s="2475"/>
      <c r="E837" s="2475"/>
      <c r="F837" s="2475"/>
      <c r="G837" s="2475"/>
      <c r="H837" s="2475"/>
      <c r="I837" s="2475"/>
      <c r="J837" s="2475"/>
      <c r="K837" s="2475"/>
      <c r="L837" s="2475"/>
      <c r="M837" s="2475"/>
      <c r="N837" s="2475"/>
      <c r="O837" s="2475"/>
      <c r="P837" s="2475"/>
      <c r="Q837" s="2475"/>
      <c r="R837" s="2475"/>
      <c r="S837" s="2476"/>
      <c r="T837" s="2501">
        <f>AK351</f>
        <v>0</v>
      </c>
      <c r="U837" s="2501"/>
      <c r="V837" s="2501"/>
      <c r="W837" s="2501"/>
      <c r="X837" s="2501"/>
      <c r="Y837" s="2501"/>
      <c r="Z837" s="2506">
        <v>10</v>
      </c>
      <c r="AA837" s="2507"/>
      <c r="AB837" s="2507"/>
      <c r="AC837" s="2507"/>
      <c r="AD837" s="2507"/>
      <c r="AE837" s="2508"/>
      <c r="AF837" s="2506">
        <f>IF(T837&gt;Z837,Z837,T837)</f>
        <v>0</v>
      </c>
      <c r="AG837" s="2507"/>
      <c r="AH837" s="2507"/>
      <c r="AI837" s="2507"/>
      <c r="AJ837" s="2507"/>
      <c r="AK837" s="2508"/>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2567</v>
      </c>
      <c r="D838" s="719"/>
      <c r="E838" s="719"/>
      <c r="F838" s="719"/>
      <c r="G838" s="719"/>
      <c r="H838" s="719"/>
      <c r="I838" s="719"/>
      <c r="J838" s="719"/>
      <c r="K838" s="719"/>
      <c r="L838" s="719"/>
      <c r="M838" s="719"/>
      <c r="N838" s="719"/>
      <c r="O838" s="719"/>
      <c r="P838" s="719"/>
      <c r="Q838" s="719"/>
      <c r="R838" s="717"/>
      <c r="S838" s="720"/>
      <c r="T838" s="2394">
        <f>AK351</f>
        <v>0</v>
      </c>
      <c r="U838" s="2394"/>
      <c r="V838" s="2394"/>
      <c r="W838" s="2394"/>
      <c r="X838" s="2394"/>
      <c r="Y838" s="2394"/>
      <c r="Z838" s="2405">
        <v>20</v>
      </c>
      <c r="AA838" s="2406"/>
      <c r="AB838" s="2406"/>
      <c r="AC838" s="2406"/>
      <c r="AD838" s="2406"/>
      <c r="AE838" s="2407"/>
      <c r="AF838" s="2504"/>
      <c r="AG838" s="2504"/>
      <c r="AH838" s="2504"/>
      <c r="AI838" s="2504"/>
      <c r="AJ838" s="2504"/>
      <c r="AK838" s="2504"/>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75" t="s">
        <v>2312</v>
      </c>
      <c r="C839" s="2475"/>
      <c r="D839" s="2475"/>
      <c r="E839" s="2475"/>
      <c r="F839" s="2475"/>
      <c r="G839" s="2475"/>
      <c r="H839" s="2475"/>
      <c r="I839" s="2475"/>
      <c r="J839" s="2475"/>
      <c r="K839" s="2475"/>
      <c r="L839" s="2475"/>
      <c r="M839" s="2475"/>
      <c r="N839" s="2475"/>
      <c r="O839" s="2475"/>
      <c r="P839" s="2475"/>
      <c r="Q839" s="2475"/>
      <c r="R839" s="2475"/>
      <c r="S839" s="2476"/>
      <c r="T839" s="2501">
        <f>AK482</f>
        <v>10</v>
      </c>
      <c r="U839" s="2501"/>
      <c r="V839" s="2501"/>
      <c r="W839" s="2501"/>
      <c r="X839" s="2501"/>
      <c r="Y839" s="2501"/>
      <c r="Z839" s="2506">
        <v>10</v>
      </c>
      <c r="AA839" s="2507"/>
      <c r="AB839" s="2507"/>
      <c r="AC839" s="2507"/>
      <c r="AD839" s="2507"/>
      <c r="AE839" s="2508"/>
      <c r="AF839" s="2473">
        <f>IF(T839&gt;Z839,Z839,T839)</f>
        <v>10</v>
      </c>
      <c r="AG839" s="2473"/>
      <c r="AH839" s="2473"/>
      <c r="AI839" s="2473"/>
      <c r="AJ839" s="2473"/>
      <c r="AK839" s="2473"/>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75" t="s">
        <v>2428</v>
      </c>
      <c r="C840" s="2475"/>
      <c r="D840" s="2475"/>
      <c r="E840" s="2475"/>
      <c r="F840" s="2475"/>
      <c r="G840" s="2475"/>
      <c r="H840" s="2475"/>
      <c r="I840" s="2475"/>
      <c r="J840" s="2475"/>
      <c r="K840" s="2475"/>
      <c r="L840" s="2475"/>
      <c r="M840" s="2475"/>
      <c r="N840" s="2475"/>
      <c r="O840" s="2475"/>
      <c r="P840" s="2475"/>
      <c r="Q840" s="2475"/>
      <c r="R840" s="2475"/>
      <c r="S840" s="2476"/>
      <c r="T840" s="2501">
        <f>AK572</f>
        <v>12</v>
      </c>
      <c r="U840" s="2501"/>
      <c r="V840" s="2501"/>
      <c r="W840" s="2501"/>
      <c r="X840" s="2501"/>
      <c r="Y840" s="2501"/>
      <c r="Z840" s="2506">
        <v>12</v>
      </c>
      <c r="AA840" s="2507"/>
      <c r="AB840" s="2507"/>
      <c r="AC840" s="2507"/>
      <c r="AD840" s="2507"/>
      <c r="AE840" s="2508"/>
      <c r="AF840" s="2473">
        <f>IF(T840&gt;Z840,Z840,T840)</f>
        <v>12</v>
      </c>
      <c r="AG840" s="2473"/>
      <c r="AH840" s="2473"/>
      <c r="AI840" s="2473"/>
      <c r="AJ840" s="2473"/>
      <c r="AK840" s="2473"/>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75" t="s">
        <v>2568</v>
      </c>
      <c r="C841" s="2475"/>
      <c r="D841" s="2475"/>
      <c r="E841" s="2475"/>
      <c r="F841" s="2475"/>
      <c r="G841" s="2475"/>
      <c r="H841" s="2475"/>
      <c r="I841" s="2475"/>
      <c r="J841" s="2475"/>
      <c r="K841" s="2475"/>
      <c r="L841" s="2475"/>
      <c r="M841" s="2475"/>
      <c r="N841" s="2475"/>
      <c r="O841" s="2475"/>
      <c r="P841" s="2475"/>
      <c r="Q841" s="2475"/>
      <c r="R841" s="2475"/>
      <c r="S841" s="2476"/>
      <c r="T841" s="2501">
        <f>AK816</f>
        <v>10</v>
      </c>
      <c r="U841" s="2501"/>
      <c r="V841" s="2501"/>
      <c r="W841" s="2501"/>
      <c r="X841" s="2501"/>
      <c r="Y841" s="2501"/>
      <c r="Z841" s="2506">
        <v>10</v>
      </c>
      <c r="AA841" s="2507"/>
      <c r="AB841" s="2507"/>
      <c r="AC841" s="2507"/>
      <c r="AD841" s="2507"/>
      <c r="AE841" s="2508"/>
      <c r="AF841" s="2473">
        <f>IF(T841&gt;Z841,Z841,T841)</f>
        <v>10</v>
      </c>
      <c r="AG841" s="2473"/>
      <c r="AH841" s="2473"/>
      <c r="AI841" s="2473"/>
      <c r="AJ841" s="2473"/>
      <c r="AK841" s="2473"/>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2569</v>
      </c>
      <c r="B842" s="596" t="s">
        <v>2570</v>
      </c>
      <c r="C842" s="596"/>
      <c r="D842" s="596"/>
      <c r="E842" s="596"/>
      <c r="F842" s="596"/>
      <c r="G842" s="596"/>
      <c r="H842" s="596"/>
      <c r="I842" s="596"/>
      <c r="J842" s="596"/>
      <c r="K842" s="596"/>
      <c r="L842" s="596"/>
      <c r="M842" s="596"/>
      <c r="N842" s="596"/>
      <c r="O842" s="596"/>
      <c r="P842" s="596"/>
      <c r="Q842" s="596"/>
      <c r="R842" s="596"/>
      <c r="S842" s="1089"/>
      <c r="T842" s="2505"/>
      <c r="U842" s="2505"/>
      <c r="V842" s="2505"/>
      <c r="W842" s="2505"/>
      <c r="X842" s="2505"/>
      <c r="Y842" s="2505"/>
      <c r="Z842" s="2395" t="s">
        <v>2571</v>
      </c>
      <c r="AA842" s="2395"/>
      <c r="AB842" s="2395"/>
      <c r="AC842" s="2395"/>
      <c r="AD842" s="2395"/>
      <c r="AE842" s="2395"/>
      <c r="AF842" s="2506">
        <f>ABS(T842)</f>
        <v>0</v>
      </c>
      <c r="AG842" s="2507"/>
      <c r="AH842" s="2507"/>
      <c r="AI842" s="2507"/>
      <c r="AJ842" s="2507"/>
      <c r="AK842" s="2508"/>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509" t="s">
        <v>2572</v>
      </c>
      <c r="B843" s="2510"/>
      <c r="C843" s="2510"/>
      <c r="D843" s="2510"/>
      <c r="E843" s="2510"/>
      <c r="F843" s="2510"/>
      <c r="G843" s="2510"/>
      <c r="H843" s="2510"/>
      <c r="I843" s="2510"/>
      <c r="J843" s="2510"/>
      <c r="K843" s="2510"/>
      <c r="L843" s="2510"/>
      <c r="M843" s="2510"/>
      <c r="N843" s="2510"/>
      <c r="O843" s="2510"/>
      <c r="P843" s="2510"/>
      <c r="Q843" s="2510"/>
      <c r="R843" s="2510"/>
      <c r="S843" s="2510"/>
      <c r="T843" s="2510"/>
      <c r="U843" s="2510"/>
      <c r="V843" s="2510"/>
      <c r="W843" s="2510"/>
      <c r="X843" s="2510"/>
      <c r="Y843" s="2510"/>
      <c r="Z843" s="2510"/>
      <c r="AA843" s="2510"/>
      <c r="AB843" s="2510"/>
      <c r="AC843" s="2510"/>
      <c r="AD843" s="2510"/>
      <c r="AE843" s="2511"/>
      <c r="AF843" s="2515">
        <f ca="1">SUM(AF826:AK841)-AF842</f>
        <v>101</v>
      </c>
      <c r="AG843" s="2516"/>
      <c r="AH843" s="2516"/>
      <c r="AI843" s="2516"/>
      <c r="AJ843" s="2516"/>
      <c r="AK843" s="2517"/>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512"/>
      <c r="B844" s="2513"/>
      <c r="C844" s="2513"/>
      <c r="D844" s="2513"/>
      <c r="E844" s="2513"/>
      <c r="F844" s="2513"/>
      <c r="G844" s="2513"/>
      <c r="H844" s="2513"/>
      <c r="I844" s="2513"/>
      <c r="J844" s="2513"/>
      <c r="K844" s="2513"/>
      <c r="L844" s="2513"/>
      <c r="M844" s="2513"/>
      <c r="N844" s="2513"/>
      <c r="O844" s="2513"/>
      <c r="P844" s="2513"/>
      <c r="Q844" s="2513"/>
      <c r="R844" s="2513"/>
      <c r="S844" s="2513"/>
      <c r="T844" s="2513"/>
      <c r="U844" s="2513"/>
      <c r="V844" s="2513"/>
      <c r="W844" s="2513"/>
      <c r="X844" s="2513"/>
      <c r="Y844" s="2513"/>
      <c r="Z844" s="2513"/>
      <c r="AA844" s="2513"/>
      <c r="AB844" s="2513"/>
      <c r="AC844" s="2513"/>
      <c r="AD844" s="2513"/>
      <c r="AE844" s="2514"/>
      <c r="AF844" s="2518"/>
      <c r="AG844" s="2519"/>
      <c r="AH844" s="2519"/>
      <c r="AI844" s="2519"/>
      <c r="AJ844" s="2519"/>
      <c r="AK844" s="2520"/>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TaHE+1ghEZdWs7ftHRhlEXz0S6lnUhUcS4r2iQ5Gq17vvAuN6EPmvy2x5CjDDDQk/Q2jw1tm6nYbYHe2xeffwA==" saltValue="KzSGaUB9S04wG0v0SIOIiw=="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1267E2FE7AE1746A8AB43DFC3619693" ma:contentTypeVersion="11" ma:contentTypeDescription="Create a new document." ma:contentTypeScope="" ma:versionID="8cd85a95bab82a3e0e567ed39239b143">
  <xsd:schema xmlns:xsd="http://www.w3.org/2001/XMLSchema" xmlns:xs="http://www.w3.org/2001/XMLSchema" xmlns:p="http://schemas.microsoft.com/office/2006/metadata/properties" xmlns:ns2="90cbff21-57d0-4422-8a11-d62757ab185e" xmlns:ns3="b6c71981-935c-464a-b458-fb3cd932b4be" targetNamespace="http://schemas.microsoft.com/office/2006/metadata/properties" ma:root="true" ma:fieldsID="8f251e5300ad89feda92dee31f5d5f7b" ns2:_="" ns3:_="">
    <xsd:import namespace="90cbff21-57d0-4422-8a11-d62757ab185e"/>
    <xsd:import namespace="b6c71981-935c-464a-b458-fb3cd932b4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cbff21-57d0-4422-8a11-d62757ab18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97cd43d-cef6-4082-a5e1-1af6e5018a7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6c71981-935c-464a-b458-fb3cd932b4b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bf58849-8d45-4177-8bb6-771a712ec39e}" ma:internalName="TaxCatchAll" ma:showField="CatchAllData" ma:web="b6c71981-935c-464a-b458-fb3cd932b4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6c71981-935c-464a-b458-fb3cd932b4be" xsi:nil="true"/>
    <lcf76f155ced4ddcb4097134ff3c332f xmlns="90cbff21-57d0-4422-8a11-d62757ab185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08D5776-2E3D-4D3A-B5E3-881B4BD273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cbff21-57d0-4422-8a11-d62757ab185e"/>
    <ds:schemaRef ds:uri="b6c71981-935c-464a-b458-fb3cd932b4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CA2079-5B24-4851-BFE8-77C36ED62A4B}">
  <ds:schemaRefs>
    <ds:schemaRef ds:uri="http://schemas.microsoft.com/sharepoint/v3/contenttype/forms"/>
  </ds:schemaRefs>
</ds:datastoreItem>
</file>

<file path=customXml/itemProps3.xml><?xml version="1.0" encoding="utf-8"?>
<ds:datastoreItem xmlns:ds="http://schemas.openxmlformats.org/officeDocument/2006/customXml" ds:itemID="{A23DA1E2-2CDE-48C0-B94B-DC165AB522E1}">
  <ds:schemaRefs>
    <ds:schemaRef ds:uri="http://schemas.microsoft.com/office/2006/metadata/properties"/>
    <ds:schemaRef ds:uri="http://schemas.microsoft.com/office/infopath/2007/PartnerControls"/>
    <ds:schemaRef ds:uri="b6c71981-935c-464a-b458-fb3cd932b4be"/>
    <ds:schemaRef ds:uri="90cbff21-57d0-4422-8a11-d62757ab185e"/>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Couzens, Michael</cp:lastModifiedBy>
  <cp:revision/>
  <dcterms:created xsi:type="dcterms:W3CDTF">2007-12-27T18:26:28Z</dcterms:created>
  <dcterms:modified xsi:type="dcterms:W3CDTF">2026-02-13T00:58:23Z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0x01010021267E2FE7AE1746A8AB43DFC3619693</vt:lpwstr>
  </property>
  <property fmtid="{D5CDD505-2E9C-101B-9397-08002B2CF9AE}" pid="3" name="MediaServiceImageTags">
    <vt:lpwstr/>
  </property>
</Properties>
</file>