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P:\California\Possible Projects\HGAH - RAD for PRAC\George McDonald Court\Funding Sources\CDLAC\GMC Application (Feb 2026)\GMC Submittal (Feb 2026)\"/>
    </mc:Choice>
  </mc:AlternateContent>
  <xr:revisionPtr revIDLastSave="0" documentId="13_ncr:1_{204903A6-71F7-41F4-B906-80D8858EA789}"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4805" yWindow="-16320" windowWidth="29040" windowHeight="15720" tabRatio="88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35" i="3" l="1"/>
  <c r="AA928" i="3"/>
  <c r="AA927" i="3"/>
  <c r="E19" i="7"/>
  <c r="Q636" i="3" l="1"/>
  <c r="W880" i="3"/>
  <c r="W867" i="3"/>
  <c r="W852" i="3"/>
  <c r="W865" i="3"/>
  <c r="AM564" i="3" l="1"/>
  <c r="AO638" i="3"/>
  <c r="AO648" i="3"/>
  <c r="S45" i="4" l="1"/>
  <c r="E99" i="4"/>
  <c r="L18" i="4"/>
  <c r="C45" i="4"/>
  <c r="O727" i="3" l="1"/>
  <c r="O726"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E15" i="7" s="1"/>
  <c r="W870" i="3"/>
  <c r="E18" i="7" s="1"/>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G15" i="7"/>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G18" i="7"/>
  <c r="I18" i="7" s="1"/>
  <c r="K18" i="7" s="1"/>
  <c r="M18" i="7" s="1"/>
  <c r="O18" i="7" s="1"/>
  <c r="Q18" i="7" s="1"/>
  <c r="S18" i="7" s="1"/>
  <c r="U18" i="7" s="1"/>
  <c r="W18" i="7" s="1"/>
  <c r="Y18" i="7" s="1"/>
  <c r="AA18" i="7" s="1"/>
  <c r="AC18" i="7" s="1"/>
  <c r="AE18" i="7" s="1"/>
  <c r="AG18" i="7" s="1"/>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G86" i="21"/>
  <c r="G92" i="21" s="1"/>
  <c r="G123"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G26" i="4"/>
  <c r="H26" i="4"/>
  <c r="I26" i="4"/>
  <c r="I38" i="4"/>
  <c r="I42" i="4"/>
  <c r="I54" i="4"/>
  <c r="I62" i="4"/>
  <c r="K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L19" i="4" s="1"/>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26" i="3"/>
  <c r="AH726" i="3" s="1"/>
  <c r="X727" i="3"/>
  <c r="AH727" i="3" s="1"/>
  <c r="X728" i="3"/>
  <c r="X729" i="3"/>
  <c r="X730" i="3"/>
  <c r="X731" i="3"/>
  <c r="X732" i="3"/>
  <c r="X738" i="3"/>
  <c r="X739" i="3"/>
  <c r="X740" i="3"/>
  <c r="X741" i="3"/>
  <c r="X742" i="3"/>
  <c r="X743" i="3"/>
  <c r="X744" i="3"/>
  <c r="X745" i="3"/>
  <c r="X746" i="3"/>
  <c r="X747" i="3"/>
  <c r="X748" i="3"/>
  <c r="X749" i="3"/>
  <c r="M840" i="3"/>
  <c r="Q840" i="3"/>
  <c r="U840" i="3"/>
  <c r="Y840" i="3"/>
  <c r="AC840" i="3"/>
  <c r="AG840" i="3"/>
  <c r="Z911" i="3"/>
  <c r="E19" i="4" l="1"/>
  <c r="E26" i="4" s="1"/>
  <c r="E63" i="4" s="1"/>
  <c r="E97" i="4" s="1"/>
  <c r="E105" i="4" s="1"/>
  <c r="J5" i="8"/>
  <c r="J4" i="8"/>
  <c r="B26" i="13"/>
  <c r="BE23" i="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R11" i="4"/>
  <c r="G58" i="7"/>
  <c r="I63" i="4"/>
  <c r="I97" i="4" s="1"/>
  <c r="I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AC895" i="3"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J40" i="8" l="1"/>
  <c r="Z817" i="3" s="1"/>
  <c r="D105" i="11"/>
  <c r="AJ634" i="20"/>
  <c r="AK816" i="20" s="1"/>
  <c r="T841" i="20" s="1"/>
  <c r="AF841" i="20" s="1"/>
  <c r="BE82" i="3" s="1"/>
  <c r="G108" i="21"/>
  <c r="N190" i="24"/>
  <c r="I15" i="21"/>
  <c r="D43" i="11"/>
  <c r="D71" i="11"/>
  <c r="B12" i="4"/>
  <c r="D55" i="11"/>
  <c r="D82" i="11"/>
  <c r="D39" i="11"/>
  <c r="D78" i="11"/>
  <c r="R12" i="4"/>
  <c r="D12" i="11"/>
  <c r="D63" i="11"/>
  <c r="B13" i="11"/>
  <c r="C64" i="11"/>
  <c r="C98" i="11" s="1"/>
  <c r="B64" i="11"/>
  <c r="B98" i="11" s="1"/>
  <c r="B106" i="11" s="1"/>
  <c r="B63" i="4"/>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AZ1057" i="3" l="1"/>
  <c r="AC464" i="3"/>
  <c r="O23" i="21"/>
  <c r="O22" i="2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AB265" i="20"/>
  <c r="AG267" i="20" s="1"/>
  <c r="AG269" i="20" s="1"/>
  <c r="AK272" i="20" s="1"/>
  <c r="T834" i="20" s="1"/>
  <c r="BE77" i="3" s="1"/>
  <c r="N180" i="24"/>
  <c r="S107" i="4"/>
  <c r="I9" i="21"/>
  <c r="AK190" i="20"/>
  <c r="T827" i="20"/>
  <c r="AF827" i="20" s="1"/>
  <c r="AB47" i="15"/>
  <c r="AB49" i="15" s="1"/>
  <c r="BE22" i="3"/>
  <c r="E105" i="13"/>
  <c r="BA1065" i="3"/>
  <c r="AZ1060" i="3"/>
  <c r="H105" i="13"/>
  <c r="T107" i="4"/>
  <c r="H107" i="13" s="1"/>
  <c r="Q58" i="7"/>
  <c r="S53" i="7"/>
  <c r="G45" i="21"/>
  <c r="G47" i="21" s="1"/>
  <c r="E10" i="21" s="1"/>
  <c r="E11" i="21"/>
  <c r="AP718" i="20"/>
  <c r="AP719" i="20"/>
  <c r="I4" i="7"/>
  <c r="I5" i="7" s="1"/>
  <c r="K9" i="7"/>
  <c r="E11" i="7"/>
  <c r="E37" i="7" s="1"/>
  <c r="E49" i="7" s="1"/>
  <c r="AJ1001" i="3"/>
  <c r="AJ1038" i="3" s="1"/>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C465" i="3"/>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C53" i="7"/>
  <c r="AA58" i="7"/>
  <c r="U4" i="7"/>
  <c r="S5" i="7"/>
  <c r="M48" i="7"/>
  <c r="M47" i="7"/>
  <c r="M60" i="7"/>
  <c r="O45" i="7"/>
  <c r="O49" i="7"/>
  <c r="K66" i="7"/>
  <c r="K67" i="7"/>
  <c r="K62" i="7"/>
  <c r="Q7" i="7"/>
  <c r="Q11" i="7" s="1"/>
  <c r="Q37" i="7" s="1"/>
  <c r="S6" i="7"/>
  <c r="I70" i="7"/>
  <c r="I72" i="7" s="1"/>
  <c r="W22" i="7"/>
  <c r="W35" i="7" s="1"/>
  <c r="Y15" i="7"/>
  <c r="W9" i="7"/>
  <c r="Y8" i="7"/>
  <c r="AB50" i="15" l="1"/>
  <c r="AE53" i="7"/>
  <c r="AC58" i="7"/>
  <c r="U5" i="7"/>
  <c r="W4" i="7"/>
  <c r="Q49" i="7"/>
  <c r="Q45" i="7"/>
  <c r="M62" i="7"/>
  <c r="M67" i="7"/>
  <c r="M66" i="7"/>
  <c r="O47" i="7"/>
  <c r="O48" i="7"/>
  <c r="O60" i="7"/>
  <c r="K70" i="7"/>
  <c r="K72" i="7" s="1"/>
  <c r="S7" i="7"/>
  <c r="S11" i="7" s="1"/>
  <c r="S37" i="7" s="1"/>
  <c r="U6" i="7"/>
  <c r="Y22" i="7"/>
  <c r="Y35" i="7" s="1"/>
  <c r="AA15" i="7"/>
  <c r="Y9" i="7"/>
  <c r="AA8" i="7"/>
  <c r="BE62" i="3" l="1"/>
  <c r="AB54" i="15"/>
  <c r="AB55" i="15" s="1"/>
  <c r="AB56" i="15" s="1"/>
  <c r="AG53" i="7"/>
  <c r="AG58" i="7" s="1"/>
  <c r="AE58" i="7"/>
  <c r="M70" i="7"/>
  <c r="M72" i="7" s="1"/>
  <c r="W5" i="7"/>
  <c r="Y4" i="7"/>
  <c r="U7" i="7"/>
  <c r="U11" i="7" s="1"/>
  <c r="U37" i="7" s="1"/>
  <c r="W6" i="7"/>
  <c r="O67" i="7"/>
  <c r="O66" i="7"/>
  <c r="O62" i="7"/>
  <c r="Q60" i="7"/>
  <c r="Q48" i="7"/>
  <c r="Q47" i="7"/>
  <c r="S49" i="7"/>
  <c r="S45" i="7"/>
  <c r="AC15" i="7"/>
  <c r="AA22" i="7"/>
  <c r="AA35" i="7" s="1"/>
  <c r="AC8" i="7"/>
  <c r="AA9" i="7"/>
  <c r="M26" i="3" l="1"/>
  <c r="AB57" i="15"/>
  <c r="AB59" i="15" s="1"/>
  <c r="AB77" i="15" s="1"/>
  <c r="AB78" i="15" s="1"/>
  <c r="I10" i="21" s="1"/>
  <c r="AA4" i="7"/>
  <c r="Y5" i="7"/>
  <c r="Y6" i="7"/>
  <c r="W7" i="7"/>
  <c r="W11" i="7" s="1"/>
  <c r="W37" i="7" s="1"/>
  <c r="U45" i="7"/>
  <c r="U49" i="7"/>
  <c r="Q66" i="7"/>
  <c r="Q67" i="7"/>
  <c r="Q62" i="7"/>
  <c r="S48" i="7"/>
  <c r="S47" i="7"/>
  <c r="S60" i="7"/>
  <c r="O70" i="7"/>
  <c r="O72" i="7" s="1"/>
  <c r="AE15" i="7"/>
  <c r="AC22" i="7"/>
  <c r="AC35" i="7" s="1"/>
  <c r="AC9" i="7"/>
  <c r="AE8" i="7"/>
  <c r="AB79" i="15" l="1"/>
  <c r="AB81" i="15" s="1"/>
  <c r="J82" i="15" s="1"/>
  <c r="P204" i="3"/>
  <c r="BE19" i="3"/>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AK108" i="20" s="1"/>
  <c r="T828" i="20" s="1"/>
  <c r="AF828" i="20" s="1"/>
  <c r="E102" i="20"/>
  <c r="E105" i="20" s="1"/>
  <c r="BE73" i="3" l="1"/>
  <c r="AF843" i="20"/>
  <c r="BE70" i="3" s="1"/>
  <c r="H3" i="21"/>
  <c r="H5" i="21" l="1"/>
  <c r="BE83" i="3" s="1"/>
  <c r="L26" i="4" l="1"/>
  <c r="L63" i="4" s="1"/>
  <c r="L97" i="4" s="1"/>
  <c r="L105" i="4" s="1"/>
  <c r="R19" i="4"/>
  <c r="R26" i="4" s="1"/>
  <c r="R63" i="4" s="1"/>
  <c r="R97" i="4" s="1"/>
  <c r="R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765C3699-6E3C-44F6-8AEF-35D547B07889}">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<sst xmlns="http://schemas.openxmlformats.org/spreadsheetml/2006/main" count="5077" uniqueCount="2759">
  <si>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</si>
  <si>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</si>
  <si>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</si>
  <si>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</si>
  <si>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</si>
  <si>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</si>
  <si>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</si>
  <si>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</si>
  <si>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</si>
  <si>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</si>
  <si>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</si>
  <si>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</si>
  <si>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</si>
  <si>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</si>
  <si>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</si>
  <si>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</si>
  <si>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</si>
  <si>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</si>
  <si>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</si>
  <si>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</si>
  <si>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</si>
  <si>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</si>
  <si>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</si>
  <si>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</si>
  <si>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</si>
  <si>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</si>
  <si>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</si>
  <si>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</si>
  <si>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</si>
  <si>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</si>
  <si>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</si>
  <si>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</si>
  <si>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</si>
  <si>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</si>
  <si>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</si>
  <si>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</si>
  <si>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</si>
  <si>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</si>
  <si>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</si>
  <si>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</si>
  <si>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</si>
  <si>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</si>
  <si>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</si>
  <si>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</si>
  <si>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</si>
  <si>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</si>
  <si>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</si>
  <si>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</si>
  <si>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</si>
  <si>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</si>
  <si>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</si>
  <si>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</si>
  <si>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</si>
  <si>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</si>
  <si>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</si>
  <si>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</si>
  <si>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</si>
  <si>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</si>
  <si>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</si>
  <si>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</si>
  <si>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</si>
  <si>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</si>
  <si>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</si>
  <si>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</si>
  <si>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</si>
  <si>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</si>
  <si>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</si>
  <si>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</si>
  <si>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</si>
  <si>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</si>
  <si>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</si>
  <si>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</si>
  <si>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</si>
  <si>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</si>
  <si>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</si>
  <si>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</si>
  <si>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</si>
  <si>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</si>
  <si>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</si>
  <si>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</si>
  <si>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</si>
  <si>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</si>
  <si>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</si>
  <si>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</si>
  <si>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</si>
  <si>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</si>
  <si>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</si>
  <si>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</si>
  <si>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</si>
  <si>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</si>
  <si>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</si>
  <si>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</si>
  <si>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</si>
  <si>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</si>
  <si>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</si>
  <si>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</si>
  <si>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</si>
  <si>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</si>
  <si>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</si>
  <si>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</si>
  <si>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</si>
  <si>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</si>
  <si>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</si>
  <si>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</si>
  <si>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</si>
  <si>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</si>
  <si>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</si>
  <si>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</si>
  <si>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</si>
  <si>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</si>
  <si>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</si>
  <si>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</si>
  <si>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</si>
  <si>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</si>
  <si>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</si>
  <si>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</si>
  <si>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</si>
  <si>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</si>
  <si>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</si>
  <si>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</si>
  <si>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</si>
  <si>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</si>
  <si>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</si>
  <si>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</si>
  <si>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</si>
  <si>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</si>
  <si>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</si>
  <si>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</si>
  <si>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</si>
  <si>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</si>
  <si>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</si>
  <si>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</si>
  <si>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</si>
  <si>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</si>
  <si>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</si>
  <si>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</si>
  <si>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</si>
  <si>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</si>
  <si>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</si>
  <si>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</si>
  <si>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</si>
  <si>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</si>
  <si>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</si>
  <si>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</si>
  <si>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</si>
  <si>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</si>
  <si>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</si>
  <si>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</si>
  <si>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</si>
  <si>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</si>
  <si>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</si>
  <si>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</si>
  <si>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</si>
  <si>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</si>
  <si>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</si>
  <si>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</si>
  <si>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</si>
  <si>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</si>
  <si>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</si>
  <si>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</si>
  <si>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</si>
  <si>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</si>
  <si>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</si>
  <si>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</si>
  <si>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</si>
  <si>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</si>
  <si>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</si>
  <si>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</si>
  <si>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</si>
  <si>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</si>
  <si>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</si>
  <si>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</si>
  <si>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</si>
  <si>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</si>
  <si>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</si>
  <si>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</si>
  <si>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</si>
  <si>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</si>
  <si>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</si>
  <si>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</si>
  <si>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</si>
  <si>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</si>
  <si>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</si>
  <si>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</si>
  <si>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</si>
  <si>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</si>
  <si>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</si>
  <si>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</si>
  <si>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</si>
  <si>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</si>
  <si>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</si>
  <si>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</si>
  <si>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</si>
  <si>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</si>
  <si>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</si>
  <si>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</si>
  <si>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</si>
  <si>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</si>
  <si>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</si>
  <si>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</si>
  <si>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</si>
  <si>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</si>
  <si>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</si>
  <si>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</si>
  <si>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</si>
  <si>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</si>
  <si>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</si>
  <si>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</si>
  <si>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</si>
  <si>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</si>
  <si>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</si>
  <si>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</si>
  <si>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</si>
  <si>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</si>
  <si>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</si>
  <si>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</si>
  <si>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</si>
  <si>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</si>
  <si>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</si>
  <si>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</si>
  <si>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</si>
  <si>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</si>
  <si>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</si>
  <si>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</si>
  <si>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</si>
  <si>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</si>
  <si>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</si>
  <si>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</si>
  <si>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</si>
  <si>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</si>
  <si>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</si>
  <si>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</si>
  <si>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</si>
  <si>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</si>
  <si>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</si>
  <si>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</si>
  <si>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</si>
  <si>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</si>
  <si>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</si>
  <si>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</si>
  <si>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</si>
  <si>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</si>
  <si>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</si>
  <si>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</si>
  <si>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</si>
  <si>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</si>
  <si>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</si>
  <si>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</si>
  <si>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</si>
  <si>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</si>
  <si>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</si>
  <si>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</si>
  <si>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</si>
  <si>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</si>
  <si>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</si>
  <si>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</si>
  <si>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</si>
  <si>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</si>
  <si>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</si>
  <si>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</si>
  <si>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</si>
  <si>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</si>
  <si>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</si>
  <si>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</si>
  <si>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</si>
  <si>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</si>
  <si>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</si>
  <si>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</si>
  <si>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</si>
  <si>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</si>
  <si>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</si>
  <si>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</si>
  <si>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</si>
  <si>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</si>
  <si>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</si>
  <si>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</si>
  <si>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</si>
  <si>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</si>
  <si>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</si>
  <si>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</si>
  <si>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</si>
  <si>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</si>
  <si>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</si>
  <si>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</si>
  <si>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</si>
  <si>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</si>
  <si>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</si>
  <si>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</si>
  <si>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</si>
  <si>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</si>
  <si>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</si>
  <si>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</si>
  <si>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</si>
  <si>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</si>
  <si>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</si>
  <si>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</si>
  <si>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</si>
  <si>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</si>
  <si>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</si>
  <si>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</si>
  <si>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</si>
  <si>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</si>
  <si>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</si>
  <si>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</si>
  <si>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</si>
  <si>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</si>
  <si>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</si>
  <si>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</si>
  <si>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</si>
  <si>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</si>
  <si>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</si>
  <si>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</si>
  <si>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</si>
  <si>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</si>
  <si>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</si>
  <si>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</si>
  <si>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</si>
  <si>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</si>
  <si>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</si>
  <si>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</si>
  <si>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</si>
  <si>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</si>
  <si>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</si>
  <si>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</si>
  <si>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</si>
  <si>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</si>
  <si>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</si>
  <si>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</si>
  <si>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</si>
  <si>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</si>
  <si>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</si>
  <si>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</si>
  <si>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</si>
  <si>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</si>
  <si>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</si>
  <si>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</si>
  <si>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</si>
  <si>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</si>
  <si>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</si>
  <si>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</si>
  <si>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</si>
  <si>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</si>
  <si>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</si>
  <si>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</si>
  <si>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</si>
  <si>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</si>
  <si>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</si>
  <si>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</si>
  <si>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</si>
  <si>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</si>
  <si>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</si>
  <si>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</si>
  <si>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</si>
  <si>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</si>
  <si>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</si>
  <si>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</si>
  <si>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</si>
  <si>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</si>
  <si>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</si>
  <si>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</si>
  <si>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</si>
  <si>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</si>
  <si>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</si>
  <si>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</si>
  <si>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</si>
  <si>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</si>
  <si>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</si>
  <si>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</si>
  <si>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</si>
  <si>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</si>
  <si>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</si>
  <si>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</si>
  <si>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</si>
  <si>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</si>
  <si>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</si>
  <si>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</si>
  <si>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</si>
  <si>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</si>
  <si>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</si>
  <si>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</si>
  <si>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</si>
  <si>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</si>
  <si>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</si>
  <si>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</si>
  <si>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</si>
  <si>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</si>
  <si>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</si>
  <si>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</si>
  <si>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</si>
  <si>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</si>
  <si>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</si>
  <si>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</si>
  <si>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</si>
  <si>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</si>
  <si>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</si>
  <si>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</si>
  <si>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</si>
  <si>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</si>
  <si>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</si>
  <si>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</si>
  <si>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</si>
  <si>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</si>
  <si>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</si>
  <si>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</si>
  <si>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</si>
  <si>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</si>
  <si>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</si>
  <si>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</si>
  <si>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</si>
  <si>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</si>
  <si>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</si>
  <si>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</si>
  <si>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</si>
  <si>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</si>
  <si>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</si>
  <si>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</si>
  <si>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</si>
  <si>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</si>
  <si>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</si>
  <si>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</si>
  <si>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</si>
  <si>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</si>
  <si>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</si>
  <si>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</si>
  <si>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</si>
  <si>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</si>
  <si>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</si>
  <si>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</si>
  <si>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</si>
  <si>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</si>
  <si>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</si>
  <si>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</si>
  <si>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</si>
  <si>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</si>
  <si>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</si>
  <si>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</si>
  <si>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</si>
  <si>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</si>
  <si>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</si>
  <si>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</si>
  <si>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</si>
  <si>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</si>
  <si>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</si>
  <si>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</si>
  <si>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</si>
  <si>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</si>
  <si>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</si>
  <si>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</si>
  <si>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</si>
  <si>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</si>
  <si>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</si>
  <si>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</si>
  <si>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</si>
  <si>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</si>
  <si>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</si>
  <si>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</si>
  <si>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</si>
  <si>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</si>
  <si>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</si>
  <si>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</si>
  <si>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</si>
  <si>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</si>
  <si>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</si>
  <si>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</si>
  <si>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</si>
  <si>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</si>
  <si>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</si>
  <si>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</si>
  <si>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</si>
  <si>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</si>
  <si>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</si>
  <si>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</si>
  <si>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</si>
  <si>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</si>
  <si>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</si>
  <si>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</si>
  <si>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</si>
  <si>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</si>
  <si>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</si>
  <si>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</si>
  <si>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</si>
  <si>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</si>
  <si>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</si>
  <si>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</si>
  <si>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</si>
  <si>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</si>
  <si>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</si>
  <si>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</si>
  <si>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</si>
  <si>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</si>
  <si>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</si>
  <si>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</si>
  <si>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</si>
  <si>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</si>
  <si>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</si>
  <si>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</si>
  <si>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</si>
  <si>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</si>
  <si>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</si>
  <si>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</si>
  <si>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</si>
  <si>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</si>
  <si>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</si>
  <si>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</si>
  <si>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</si>
  <si>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</si>
  <si>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</si>
  <si>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</si>
  <si>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</si>
  <si>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</si>
  <si>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</si>
  <si>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</si>
  <si>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</si>
  <si>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</si>
  <si>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</si>
  <si>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</si>
  <si>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</si>
  <si>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</si>
  <si>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</si>
  <si>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</si>
  <si>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</si>
  <si>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</si>
  <si>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</si>
  <si>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</si>
  <si>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</si>
  <si>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</si>
  <si>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</si>
  <si>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</si>
  <si>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</si>
  <si>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</si>
  <si>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</si>
  <si>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</si>
  <si>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</si>
  <si>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</si>
  <si>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</si>
  <si>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</si>
  <si>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</si>
  <si>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</si>
  <si>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</si>
  <si>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</si>
  <si>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</si>
  <si>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</si>
  <si>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</si>
  <si>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</si>
  <si>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</si>
  <si>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</si>
  <si>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</si>
  <si>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</si>
  <si>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</si>
  <si>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</si>
  <si>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</si>
  <si>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</si>
  <si>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</si>
  <si>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</si>
  <si>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</si>
  <si>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</si>
  <si>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</si>
  <si>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</si>
  <si>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</si>
  <si>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</si>
  <si>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</si>
  <si>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</si>
  <si>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</si>
  <si>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</si>
  <si>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</si>
  <si>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</si>
  <si>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</si>
  <si>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</si>
  <si>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</si>
  <si>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</si>
  <si>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</si>
  <si>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</si>
  <si>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</si>
  <si>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</si>
  <si>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</si>
  <si>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</si>
  <si>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</si>
  <si>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</si>
  <si>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</si>
  <si>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</si>
  <si>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</si>
  <si>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</si>
  <si>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</si>
  <si>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</si>
  <si>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</si>
  <si>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</si>
  <si>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</si>
  <si>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</si>
  <si>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</si>
  <si>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</si>
  <si>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</si>
  <si>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</si>
  <si>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</si>
  <si>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</si>
  <si>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</si>
  <si>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</si>
  <si>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</si>
  <si>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</si>
  <si>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</si>
  <si>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</si>
  <si>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</si>
  <si>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</si>
  <si>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</si>
  <si>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</si>
  <si>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</si>
  <si>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</si>
  <si>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</si>
  <si>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</si>
  <si>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</si>
  <si>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</si>
  <si>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</si>
  <si>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</si>
  <si>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</si>
  <si>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</si>
  <si>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</si>
  <si>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</si>
  <si>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</si>
  <si>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</si>
  <si>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</si>
  <si>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</si>
  <si>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</si>
  <si>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</si>
  <si>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</si>
  <si>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</si>
  <si>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</si>
  <si>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</si>
  <si>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</si>
  <si>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</si>
  <si>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</si>
  <si>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</si>
  <si>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</si>
  <si>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</si>
  <si>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</si>
  <si>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</si>
  <si>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</si>
  <si>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</si>
  <si>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</si>
  <si>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</si>
  <si>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</si>
  <si>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</si>
  <si>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</si>
  <si>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</si>
  <si>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</si>
  <si>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</si>
  <si>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</si>
  <si>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</si>
  <si>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</si>
  <si>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</si>
  <si>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</si>
  <si>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</si>
  <si>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</si>
  <si>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</si>
  <si>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</si>
  <si>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</si>
  <si>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</si>
  <si>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</si>
  <si>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</si>
  <si>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</si>
  <si>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</si>
  <si>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</si>
  <si>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</si>
  <si>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</si>
  <si>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</si>
  <si>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</si>
  <si>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</si>
  <si>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</si>
  <si>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</si>
  <si>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</si>
  <si>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</si>
  <si>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</si>
  <si>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</si>
  <si>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</si>
  <si>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</si>
  <si>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</si>
  <si>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</si>
  <si>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</si>
  <si>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</si>
  <si>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</si>
  <si>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</si>
  <si>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</si>
  <si>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</si>
  <si>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</si>
  <si>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</si>
  <si>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</si>
  <si>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</si>
  <si>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</si>
  <si>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</si>
  <si>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</si>
  <si>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</si>
  <si>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</si>
  <si>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</si>
  <si>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</si>
  <si>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</si>
  <si>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</si>
  <si>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</si>
  <si>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</si>
  <si>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</si>
  <si>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</si>
  <si>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</si>
  <si>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</si>
  <si>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</si>
  <si>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</si>
  <si>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</si>
  <si>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</si>
  <si>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</si>
  <si>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</si>
  <si>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</si>
  <si>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</si>
  <si>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</si>
  <si>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</si>
  <si>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</si>
  <si>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</si>
  <si>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</si>
  <si>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</si>
  <si>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</si>
  <si>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</si>
  <si>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</si>
  <si>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</si>
  <si>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</si>
  <si>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</si>
  <si>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</si>
  <si>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</si>
  <si>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</si>
  <si>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</si>
  <si>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</si>
  <si>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</si>
  <si>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</si>
  <si>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</si>
  <si>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</si>
  <si>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</si>
  <si>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</si>
  <si>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</si>
  <si>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</si>
  <si>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</si>
  <si>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</si>
  <si>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</si>
  <si>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</si>
  <si>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</si>
  <si>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</si>
  <si>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</si>
  <si>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</si>
  <si>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</si>
  <si>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</si>
  <si>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</si>
  <si>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</si>
  <si>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</si>
  <si>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</si>
  <si>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</si>
  <si>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</si>
  <si>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</si>
  <si>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</si>
  <si>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</si>
  <si>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</si>
  <si>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</si>
  <si>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</si>
  <si>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</si>
  <si>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</si>
  <si>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</si>
  <si>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</si>
  <si>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</si>
  <si>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</si>
  <si>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</si>
  <si>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</si>
  <si>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</si>
  <si>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</si>
  <si>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</si>
  <si>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</si>
  <si>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</si>
  <si>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</si>
  <si>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</si>
  <si>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</si>
  <si>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</si>
  <si>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</si>
  <si>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</si>
  <si>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</si>
  <si>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</si>
  <si>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</si>
  <si>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</si>
  <si>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</si>
  <si>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</si>
  <si>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</si>
  <si>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</si>
  <si>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</si>
  <si>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</si>
  <si>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</si>
  <si>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</si>
  <si>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</si>
  <si>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</si>
  <si>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</si>
  <si>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</si>
  <si>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</si>
  <si>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</si>
  <si>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</si>
  <si>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</si>
  <si>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</si>
  <si>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</si>
  <si>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</si>
  <si>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</si>
  <si>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</si>
  <si>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</si>
  <si>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</si>
  <si>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</si>
  <si>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</si>
  <si>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</si>
  <si>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</si>
  <si>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</si>
  <si>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</si>
  <si>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</si>
  <si>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</si>
  <si>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</si>
  <si>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</si>
  <si>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</si>
  <si>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</si>
  <si>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</si>
  <si>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</si>
  <si>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</si>
  <si>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</si>
  <si>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</si>
  <si>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</si>
  <si>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</si>
  <si>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</si>
  <si>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</si>
  <si>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</si>
  <si>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</si>
  <si>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</si>
  <si>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</si>
  <si>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</si>
  <si>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</si>
  <si>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</si>
  <si>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</si>
  <si>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</si>
  <si>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</si>
  <si>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</si>
  <si>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</si>
  <si>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</si>
  <si>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</si>
  <si>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</si>
  <si>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</si>
  <si>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</si>
  <si>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</si>
  <si>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</si>
  <si>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</si>
  <si>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</si>
  <si>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</si>
  <si>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</si>
  <si>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</si>
  <si>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</si>
  <si>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</si>
  <si>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</si>
  <si>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</si>
  <si>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</si>
  <si>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</si>
  <si>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</si>
  <si>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</si>
  <si>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</si>
  <si>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</si>
  <si>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</si>
  <si>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</si>
  <si>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</si>
  <si>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</si>
  <si>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</si>
  <si>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</si>
  <si>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</si>
  <si>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</si>
  <si>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</si>
  <si>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</si>
  <si>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</si>
  <si>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</si>
  <si>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</si>
  <si>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</si>
  <si>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</si>
  <si>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</si>
  <si>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</si>
  <si>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</si>
  <si>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</si>
  <si>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</si>
  <si>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</si>
  <si>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</si>
  <si>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</si>
  <si>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</si>
  <si>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</si>
  <si>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</si>
  <si>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</si>
  <si>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</si>
  <si>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</si>
  <si>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</si>
  <si>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</si>
  <si>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</si>
  <si>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</si>
  <si>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</si>
  <si>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</si>
  <si>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</si>
  <si>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</si>
  <si>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</si>
  <si>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</si>
  <si>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</si>
  <si>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</si>
  <si>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</si>
  <si>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</si>
  <si>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</si>
  <si>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</si>
  <si>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</si>
  <si>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</si>
  <si>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</si>
  <si>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</si>
  <si>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</si>
  <si>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</si>
  <si>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</si>
  <si>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</si>
  <si>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</si>
  <si>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</si>
  <si>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</si>
  <si>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</si>
  <si>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</si>
  <si>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</si>
  <si>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</si>
  <si>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</si>
  <si>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</si>
  <si>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</si>
  <si>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</si>
  <si>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</si>
  <si>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</si>
  <si>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</si>
  <si>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</si>
  <si>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</si>
  <si>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</si>
  <si>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</si>
  <si>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</si>
  <si>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</si>
  <si>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</si>
  <si>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</si>
  <si>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</si>
  <si>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</si>
  <si>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</si>
  <si>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</si>
  <si>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</si>
  <si>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</si>
  <si>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</si>
  <si>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</si>
  <si>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</si>
  <si>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</si>
  <si>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</si>
  <si>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</si>
  <si>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</si>
  <si>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</si>
  <si>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</si>
  <si>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</si>
  <si>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</si>
  <si>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</si>
  <si>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</si>
  <si>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</si>
  <si>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</si>
  <si>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</si>
  <si>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</si>
  <si>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</si>
  <si>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</si>
  <si>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</si>
  <si>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</si>
  <si>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</si>
  <si>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</si>
  <si>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</si>
  <si>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</si>
  <si>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</si>
  <si>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</si>
  <si>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</si>
  <si>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</si>
  <si>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</si>
  <si>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</si>
  <si>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</si>
  <si>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</si>
  <si>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</si>
  <si>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</si>
  <si>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</si>
  <si>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</si>
  <si>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</si>
  <si>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</si>
  <si>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</si>
  <si>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</si>
  <si>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</si>
  <si>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</si>
  <si>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</si>
  <si>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</si>
  <si>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</si>
  <si>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</si>
  <si>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</si>
  <si>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</si>
  <si>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</si>
  <si>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</si>
  <si>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</si>
  <si>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</si>
  <si>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</si>
  <si>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</si>
  <si>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</si>
  <si>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</si>
  <si>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</si>
  <si>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</si>
  <si>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</si>
  <si>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</si>
  <si>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</si>
  <si>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</si>
  <si>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</si>
  <si>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</si>
  <si>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</si>
  <si>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</si>
  <si>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</si>
  <si>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</si>
  <si>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</si>
  <si>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</si>
  <si>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</si>
  <si>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</si>
  <si>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</si>
  <si>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</si>
  <si>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</si>
  <si>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</si>
  <si>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</si>
  <si>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</si>
  <si>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</si>
  <si>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</si>
  <si>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</si>
  <si>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</si>
  <si>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</si>
  <si>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</si>
  <si>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</si>
  <si>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</si>
  <si>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</si>
  <si>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</si>
  <si>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</si>
  <si>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</si>
  <si>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</si>
  <si>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</si>
  <si>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</si>
  <si>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</si>
  <si>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</si>
  <si>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</si>
  <si>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</si>
  <si>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</si>
  <si>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</si>
  <si>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</si>
  <si>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</si>
  <si>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</si>
  <si>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</si>
  <si>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</si>
  <si>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</si>
  <si>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</si>
  <si>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</si>
  <si>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</si>
  <si>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</si>
  <si>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</si>
  <si>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</si>
  <si>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</si>
  <si>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</si>
  <si>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</si>
  <si>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</si>
  <si>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</si>
  <si>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</si>
  <si>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</si>
  <si>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</si>
  <si>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</si>
  <si>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</si>
  <si>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</si>
  <si>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</si>
  <si>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</si>
  <si>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</si>
  <si>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</si>
  <si>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</si>
  <si>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</si>
  <si>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</si>
  <si>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</si>
  <si>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</si>
  <si>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</si>
  <si>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</si>
  <si>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</si>
  <si>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</si>
  <si>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</si>
  <si>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</si>
  <si>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</si>
  <si>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</si>
  <si>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</si>
  <si>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</si>
  <si>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</si>
  <si>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</si>
  <si>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</si>
  <si>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</si>
  <si>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</si>
  <si>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</si>
  <si>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</si>
  <si>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</si>
  <si>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</si>
  <si>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</si>
  <si>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</si>
  <si>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</si>
  <si>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</si>
  <si>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</si>
  <si>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</si>
  <si>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</si>
  <si>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</si>
  <si>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</si>
  <si>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</si>
  <si>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</si>
  <si>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</si>
  <si>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</si>
  <si>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</si>
  <si>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</si>
  <si>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</si>
  <si>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</si>
  <si>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</si>
  <si>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</si>
  <si>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</si>
  <si>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</si>
  <si>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</si>
  <si>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</si>
  <si>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</si>
  <si>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</si>
  <si>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</si>
  <si>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</si>
  <si>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</si>
  <si>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</si>
  <si>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</si>
  <si>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</si>
  <si>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</si>
  <si>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</si>
  <si>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</si>
  <si>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</si>
  <si>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</si>
  <si>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</si>
  <si>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</si>
  <si>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</si>
  <si>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</si>
  <si>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</si>
  <si>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</si>
  <si>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</si>
  <si>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</si>
  <si>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</si>
  <si>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</si>
  <si>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</si>
  <si>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</si>
  <si>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</si>
  <si>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</si>
  <si>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</si>
  <si>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</si>
  <si>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</si>
  <si>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</si>
  <si>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</si>
  <si>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</si>
  <si>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</si>
  <si>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</si>
  <si>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</si>
  <si>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</si>
  <si>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</si>
  <si>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</si>
  <si>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</si>
  <si>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</si>
  <si>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</si>
  <si>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</si>
  <si>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</si>
  <si>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</si>
  <si>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</si>
  <si>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</si>
  <si>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</si>
  <si>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</si>
  <si>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</si>
  <si>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</si>
  <si>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</si>
  <si>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</si>
  <si>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</si>
  <si>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</si>
  <si>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</si>
  <si>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</si>
  <si>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</si>
  <si>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</si>
  <si>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</si>
  <si>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</si>
  <si>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</si>
  <si>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</si>
  <si>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</si>
  <si>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</si>
  <si>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</si>
  <si>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</si>
  <si>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</si>
  <si>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</si>
  <si>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</si>
  <si>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</si>
  <si>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</si>
  <si>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</si>
  <si>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</si>
  <si>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</si>
  <si>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</si>
  <si>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</si>
  <si>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</si>
  <si>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</si>
  <si>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</si>
  <si>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</si>
  <si>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</si>
  <si>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</si>
  <si>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</si>
  <si>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</si>
  <si>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</si>
  <si>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</si>
  <si>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</si>
  <si>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</si>
  <si>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</si>
  <si>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</si>
  <si>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</si>
  <si>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</si>
  <si>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</si>
  <si>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</si>
  <si>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</si>
  <si>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</si>
  <si>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</si>
  <si>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</si>
  <si>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</si>
  <si>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</si>
  <si>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</si>
  <si>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</si>
  <si>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</si>
  <si>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</si>
  <si>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</si>
  <si>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</si>
  <si>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</si>
  <si>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</si>
  <si>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</si>
  <si>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</si>
  <si>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</si>
  <si>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</si>
  <si>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</si>
  <si>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</si>
  <si>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</si>
  <si>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</si>
  <si>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</si>
  <si>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</si>
  <si>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</si>
  <si>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</si>
  <si>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</si>
  <si>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</si>
  <si>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</si>
  <si>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</si>
  <si>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</si>
  <si>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</si>
  <si>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</si>
  <si>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</si>
  <si>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</si>
  <si>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</si>
  <si>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</si>
  <si>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</si>
  <si>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</si>
  <si>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</si>
  <si>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</si>
  <si>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</si>
  <si>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</si>
  <si>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</si>
  <si>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</si>
  <si>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</si>
  <si>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</si>
  <si>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</si>
  <si>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</si>
  <si>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</si>
  <si>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</si>
  <si>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</si>
  <si>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</si>
  <si>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</si>
  <si>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</si>
  <si>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</si>
  <si>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</si>
  <si>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</si>
  <si>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</si>
  <si>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</si>
  <si>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</si>
  <si>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</si>
  <si>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</si>
  <si>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</si>
  <si>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</si>
  <si>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</si>
  <si>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</si>
  <si>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</si>
  <si>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</si>
  <si>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</si>
  <si>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</si>
  <si>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</si>
  <si>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</si>
  <si>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</si>
  <si>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</si>
  <si>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</si>
  <si>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</si>
  <si>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</si>
  <si>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</si>
  <si>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</si>
  <si>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</si>
  <si>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</si>
  <si>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</si>
  <si>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</si>
  <si>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</si>
  <si>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</si>
  <si>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</si>
  <si>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</si>
  <si>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</si>
  <si>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</si>
  <si>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</si>
  <si>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</si>
  <si>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</si>
  <si>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</si>
  <si>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</si>
  <si>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</si>
  <si>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</si>
  <si>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</si>
  <si>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</si>
  <si>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</si>
  <si>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</si>
  <si>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</si>
  <si>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</si>
  <si>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</si>
  <si>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</si>
  <si>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</si>
  <si>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</si>
  <si>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</si>
  <si>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</si>
  <si>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</si>
  <si>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</si>
  <si>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</si>
  <si>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</si>
  <si>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</si>
  <si>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</si>
  <si>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</si>
  <si>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</si>
  <si>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</si>
  <si>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</si>
  <si>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</si>
  <si>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</si>
  <si>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</si>
  <si>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</si>
  <si>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</si>
  <si>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</si>
  <si>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</si>
  <si>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</si>
  <si>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</si>
  <si>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</si>
  <si>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</si>
  <si>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</si>
  <si>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</si>
  <si>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</si>
  <si>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</si>
  <si>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</si>
  <si>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</si>
  <si>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</si>
  <si>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</si>
  <si>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</si>
  <si>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</si>
  <si>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</si>
  <si>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</si>
  <si>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</si>
  <si>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</si>
  <si>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</si>
  <si>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</si>
  <si>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</si>
  <si>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</si>
  <si>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</si>
  <si>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</si>
  <si>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</si>
  <si>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</si>
  <si>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</si>
  <si>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</si>
  <si>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</si>
  <si>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</si>
  <si>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</si>
  <si>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</si>
  <si>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</si>
  <si>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</si>
  <si>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</si>
  <si>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</si>
  <si>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</si>
  <si>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</si>
  <si>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</si>
  <si>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</si>
  <si>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</si>
  <si>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</si>
  <si>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</si>
  <si>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</si>
  <si>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</si>
  <si>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</si>
  <si>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</si>
  <si>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</si>
  <si>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</si>
  <si>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</si>
  <si>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</si>
  <si>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</si>
  <si>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</si>
  <si>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</si>
  <si>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</si>
  <si>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</si>
  <si>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</si>
  <si>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</si>
  <si>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</si>
  <si>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</si>
  <si>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</si>
  <si>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</si>
  <si>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</si>
  <si>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</si>
  <si>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</si>
  <si>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</si>
  <si>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</si>
  <si>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</si>
  <si>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</si>
  <si>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</si>
  <si>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</si>
  <si>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</si>
  <si>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</si>
  <si>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</si>
  <si>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</si>
  <si>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</si>
  <si>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</si>
  <si>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</si>
  <si>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</si>
  <si>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</si>
  <si>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</si>
  <si>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</si>
  <si>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</si>
  <si>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</si>
  <si>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</si>
  <si>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</si>
  <si>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</si>
  <si>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</si>
  <si>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</si>
  <si>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</si>
  <si>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</si>
  <si>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</si>
  <si>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</si>
  <si>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</si>
  <si>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</si>
  <si>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</si>
  <si>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</si>
  <si>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</si>
  <si>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</si>
  <si>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</si>
  <si>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</si>
  <si>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</si>
  <si>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</si>
  <si>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</si>
  <si>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</si>
  <si>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</si>
  <si>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</si>
  <si>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</si>
  <si>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</si>
  <si>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</si>
  <si>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</si>
  <si>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</si>
  <si>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</si>
  <si>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</si>
  <si>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</si>
  <si>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</si>
  <si>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</si>
  <si>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</si>
  <si>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</si>
  <si>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</si>
  <si>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</si>
  <si>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</si>
  <si>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</si>
  <si>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</si>
  <si>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</si>
  <si>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</si>
  <si>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</si>
  <si>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</si>
  <si>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</si>
  <si>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</si>
  <si>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</si>
  <si>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</si>
  <si>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</si>
  <si>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</si>
  <si>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</si>
  <si>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</si>
  <si>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</si>
  <si>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</si>
  <si>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</si>
  <si>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</si>
  <si>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</si>
  <si>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</si>
  <si>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</si>
  <si>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</si>
  <si>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</si>
  <si>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</si>
  <si>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</si>
  <si>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</si>
  <si>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</si>
  <si>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</si>
  <si>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</si>
  <si>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</si>
  <si>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</si>
  <si>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</si>
  <si>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</si>
  <si>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</si>
  <si>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</si>
  <si>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</si>
  <si>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</si>
  <si>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</si>
  <si>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</si>
  <si>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</si>
  <si>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</si>
  <si>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</si>
  <si>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</si>
  <si>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</si>
  <si>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</si>
  <si>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</si>
  <si>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</si>
  <si>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</si>
  <si>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</si>
  <si>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</si>
  <si>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</si>
  <si>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</si>
  <si>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</si>
  <si>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</si>
  <si>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</si>
  <si>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</si>
  <si>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</si>
  <si>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</si>
  <si>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</si>
  <si>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</si>
  <si>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</si>
  <si>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</si>
  <si>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</si>
  <si>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</si>
  <si>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</si>
  <si>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</si>
  <si>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</si>
  <si>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</si>
  <si>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</si>
  <si>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</si>
  <si>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</si>
  <si>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</si>
  <si>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</si>
  <si>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</si>
  <si>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</si>
  <si>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</si>
  <si>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</si>
  <si>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</si>
  <si>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</si>
  <si>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</si>
  <si>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</si>
  <si>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</si>
  <si>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</si>
  <si>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</si>
  <si>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</si>
  <si>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</si>
  <si>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</si>
  <si>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</si>
  <si>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</si>
  <si>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</si>
  <si>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</si>
  <si>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</si>
  <si>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</si>
  <si>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</si>
  <si>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</si>
  <si>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</si>
  <si>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</si>
  <si>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</si>
  <si>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</si>
  <si>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</si>
  <si>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</si>
  <si>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</si>
  <si>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</si>
  <si>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</si>
  <si>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</si>
  <si>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</si>
  <si>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</si>
  <si>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</si>
  <si>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</si>
  <si>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</si>
  <si>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</si>
  <si>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</si>
  <si>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</si>
  <si>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</si>
  <si>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</si>
  <si>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</si>
  <si>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</si>
  <si>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</si>
  <si>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</si>
  <si>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</si>
  <si>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</si>
  <si>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</si>
  <si>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</si>
  <si>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</si>
  <si>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</si>
  <si>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</si>
  <si>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</si>
  <si>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</si>
  <si>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</si>
  <si>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</si>
  <si>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</si>
  <si>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</si>
  <si>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</si>
  <si>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</si>
  <si>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</si>
  <si>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</si>
  <si>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</si>
  <si>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</si>
  <si>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</si>
  <si>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</si>
  <si>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</si>
  <si>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</si>
  <si>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</si>
  <si>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</si>
  <si>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</si>
  <si>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</si>
  <si>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</si>
  <si>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</si>
  <si>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</si>
  <si>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</si>
  <si>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</si>
  <si>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</si>
  <si>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</si>
  <si>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</si>
  <si>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</si>
  <si>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</si>
  <si>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</si>
  <si>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</si>
  <si>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</si>
  <si>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</si>
  <si>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</si>
  <si>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</si>
  <si>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</si>
  <si>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</si>
  <si>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</si>
  <si>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</si>
  <si>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</si>
  <si>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</si>
  <si>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</si>
  <si>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</si>
  <si>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</si>
  <si>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</si>
  <si>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</si>
  <si>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</si>
  <si>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</si>
  <si>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</si>
  <si>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</si>
  <si>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</si>
  <si>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</si>
  <si>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</si>
  <si>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</si>
  <si>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</si>
  <si>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</si>
  <si>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</si>
  <si>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</si>
  <si>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</si>
  <si>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</si>
  <si>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</si>
  <si>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</si>
  <si>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</si>
  <si>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</si>
  <si>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</si>
  <si>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</si>
  <si>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</si>
  <si>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</si>
  <si>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</si>
  <si>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</si>
  <si>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</si>
  <si>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</si>
  <si>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</si>
  <si>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</si>
  <si>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</si>
  <si>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</si>
  <si>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</si>
  <si>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</si>
  <si>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</si>
  <si>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</si>
  <si>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</si>
  <si>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</si>
  <si>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</si>
  <si>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</si>
  <si>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</si>
  <si>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</si>
  <si>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</si>
  <si>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</si>
  <si>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</si>
  <si>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</si>
  <si>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</si>
  <si>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</si>
  <si>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</si>
  <si>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</si>
  <si>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</si>
  <si>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</si>
  <si>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</si>
  <si>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</si>
  <si>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</si>
  <si>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</si>
  <si>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</si>
  <si>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</si>
  <si>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</si>
  <si>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</si>
  <si>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</si>
  <si>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</si>
  <si>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</si>
  <si>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</si>
  <si>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</si>
  <si>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</si>
  <si>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</si>
  <si>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</si>
  <si>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</si>
  <si>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</si>
  <si>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</si>
  <si>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</si>
  <si>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</si>
  <si>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</si>
  <si>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</si>
  <si>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</si>
  <si>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</si>
  <si>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</si>
  <si>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</si>
  <si>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</si>
  <si>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</si>
  <si>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</si>
  <si>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</si>
  <si>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</si>
  <si>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</si>
  <si>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</si>
  <si>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</si>
  <si>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</si>
  <si>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</si>
  <si>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</si>
  <si>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</si>
  <si>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</si>
  <si>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</si>
  <si>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</si>
  <si>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</si>
  <si>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</si>
  <si>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</si>
  <si>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</si>
  <si>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</si>
  <si>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</si>
  <si>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</si>
  <si>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</si>
  <si>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</si>
  <si>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</si>
  <si>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</si>
  <si>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</si>
  <si>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</si>
  <si>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</si>
  <si>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</si>
  <si>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</si>
  <si>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</si>
  <si>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</si>
  <si>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</si>
  <si>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</si>
  <si>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</si>
  <si>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</si>
  <si>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</si>
  <si>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</si>
  <si>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</si>
  <si>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</si>
  <si>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</si>
  <si>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</si>
  <si>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</si>
  <si>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</si>
  <si>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</si>
  <si>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</si>
  <si>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</si>
  <si>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</si>
  <si>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</si>
  <si>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</si>
  <si>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</si>
  <si>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</si>
  <si>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</si>
  <si>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</si>
  <si>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</si>
  <si>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</si>
  <si>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</si>
  <si>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</si>
  <si>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</si>
  <si>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</si>
  <si>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</si>
  <si>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</si>
  <si>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</si>
  <si>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</si>
  <si>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</si>
  <si>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</si>
  <si>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</si>
  <si>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</si>
  <si>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</si>
  <si>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</si>
  <si>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</si>
  <si>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</si>
  <si>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</si>
  <si>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</si>
  <si>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</si>
  <si>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</si>
  <si>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</si>
  <si>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</si>
  <si>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</si>
  <si>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</si>
  <si>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</si>
  <si>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</si>
  <si>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</si>
  <si>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</si>
  <si>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</si>
  <si>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</si>
  <si>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</si>
  <si>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</si>
  <si>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</si>
  <si>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</si>
  <si>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</si>
  <si>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</si>
  <si>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</si>
  <si>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</si>
  <si>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</si>
  <si>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</si>
  <si>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</si>
  <si>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</si>
  <si>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</si>
  <si>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</si>
  <si>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</si>
  <si>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</si>
  <si>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</si>
  <si>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</si>
  <si>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</si>
  <si>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</si>
  <si>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</si>
  <si>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</si>
  <si>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</si>
  <si>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</si>
  <si>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</si>
  <si>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</si>
  <si>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</si>
  <si>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</si>
  <si>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</si>
  <si>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</si>
  <si>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</si>
  <si>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</si>
  <si>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</si>
  <si>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</si>
  <si>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</si>
  <si>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</si>
  <si>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</si>
  <si>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</si>
  <si>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</si>
  <si>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</si>
  <si>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</si>
  <si>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</si>
  <si>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</si>
  <si>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</si>
  <si>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</si>
  <si>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</si>
  <si>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</si>
  <si>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</si>
  <si>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</si>
  <si>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</si>
  <si>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</si>
  <si>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</si>
  <si>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</si>
  <si>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</si>
  <si>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</si>
  <si>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</si>
  <si>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</si>
  <si>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</si>
  <si>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</si>
  <si>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</si>
  <si>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</si>
  <si>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</si>
  <si>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</si>
  <si>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</si>
  <si>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</si>
  <si>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</si>
  <si>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</si>
  <si>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</si>
  <si>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</si>
  <si>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</si>
  <si>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</si>
  <si>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</si>
  <si>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</si>
  <si>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</si>
  <si>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</si>
  <si>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</si>
  <si>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</si>
  <si>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</si>
  <si>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</si>
  <si>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</si>
  <si>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</si>
  <si>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</si>
  <si>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</si>
  <si>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</si>
  <si>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</si>
  <si>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</si>
  <si>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</si>
  <si>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</si>
  <si>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</si>
  <si>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</si>
  <si>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</si>
  <si>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</si>
  <si>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</si>
  <si>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</si>
  <si>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</si>
  <si>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</si>
  <si>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</si>
  <si>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</si>
  <si>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</si>
  <si>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</si>
  <si>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</si>
  <si>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</si>
  <si>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</si>
  <si>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</si>
  <si>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</si>
  <si>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</si>
  <si>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</si>
  <si>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</si>
  <si>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</si>
  <si>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</si>
  <si>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</si>
  <si>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</si>
  <si>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</si>
  <si>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</si>
  <si>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</si>
  <si>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</si>
  <si>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</si>
  <si>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</si>
  <si>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</si>
  <si>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</si>
  <si>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</si>
  <si>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</si>
  <si>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</si>
  <si>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</si>
  <si>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</si>
  <si>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</si>
  <si>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</si>
  <si>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</si>
  <si>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</si>
  <si>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</si>
  <si>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</si>
  <si>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</si>
  <si>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</si>
  <si>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</si>
  <si>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</si>
  <si>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</si>
  <si>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</si>
  <si>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</si>
  <si>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</si>
  <si>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</si>
  <si>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</si>
  <si>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</si>
  <si>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</si>
  <si>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</si>
  <si>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</si>
  <si>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</si>
  <si>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</si>
  <si>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</si>
  <si>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</si>
  <si>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</si>
  <si>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</si>
  <si>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</si>
  <si>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</si>
  <si>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</si>
  <si>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</si>
  <si>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</si>
  <si>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</si>
  <si>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</si>
  <si>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</si>
  <si>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</si>
  <si>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</si>
  <si>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</si>
  <si>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</si>
  <si>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</si>
  <si>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</si>
  <si>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</si>
  <si>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</si>
  <si>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</si>
  <si>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</si>
  <si>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</si>
  <si>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</si>
  <si>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</si>
  <si>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</si>
  <si>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</si>
  <si>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</si>
  <si>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</si>
  <si>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</si>
  <si>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</si>
  <si>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</si>
  <si>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</si>
  <si>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</si>
  <si>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</si>
  <si>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</si>
  <si>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</si>
  <si>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</si>
  <si>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</si>
  <si>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</si>
  <si>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</si>
  <si>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</si>
  <si>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</si>
  <si>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</si>
  <si>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</si>
  <si>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</si>
  <si>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</si>
  <si>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</si>
  <si>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</si>
  <si>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</si>
  <si>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</si>
  <si>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</si>
  <si>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</si>
  <si>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</si>
  <si>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</si>
  <si>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</si>
  <si>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</si>
  <si>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</si>
  <si>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</si>
  <si>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</si>
  <si>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</si>
  <si>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</si>
  <si>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</si>
  <si>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</si>
  <si>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</si>
  <si>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</si>
  <si>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</si>
  <si>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</si>
  <si>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</si>
  <si>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</si>
  <si>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</si>
  <si>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</si>
  <si>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</si>
  <si>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</si>
  <si>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</si>
  <si>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</si>
  <si>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</si>
  <si>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</si>
  <si>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</si>
  <si>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</si>
  <si>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</si>
  <si>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</si>
  <si>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</si>
  <si>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</si>
  <si>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</si>
  <si>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</si>
  <si>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</si>
  <si>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</si>
  <si>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</si>
  <si>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</si>
  <si>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</si>
  <si>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</si>
  <si>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</si>
  <si>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</si>
  <si>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</si>
  <si>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</si>
  <si>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</si>
  <si>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</si>
  <si>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</si>
  <si>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</si>
  <si>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</si>
  <si>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</si>
  <si>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</si>
  <si>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</si>
  <si>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</si>
  <si>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</si>
  <si>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</si>
  <si>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</si>
  <si>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</si>
  <si>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</si>
  <si>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</si>
  <si>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</si>
  <si>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</si>
  <si>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</si>
  <si>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</si>
  <si>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</si>
  <si>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</si>
  <si>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</si>
  <si>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</si>
  <si>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</si>
  <si>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</si>
  <si>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</si>
  <si>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</si>
  <si>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</si>
  <si>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</si>
  <si>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</si>
  <si>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</si>
  <si>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</si>
  <si>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</si>
  <si>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</si>
  <si>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</si>
  <si>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</si>
  <si>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</si>
  <si>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</si>
  <si>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</si>
  <si>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</si>
  <si>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</si>
  <si>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</si>
  <si>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</si>
  <si>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</si>
  <si>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</si>
  <si>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</si>
  <si>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</si>
  <si>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</si>
  <si>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</si>
  <si>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</si>
  <si>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</si>
  <si>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</si>
  <si>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</si>
  <si>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</si>
  <si>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</si>
  <si>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</si>
  <si>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</si>
  <si>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</si>
  <si>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</si>
  <si>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</si>
  <si>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</si>
  <si>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</si>
  <si>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</si>
  <si>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</si>
  <si>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</si>
  <si>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</si>
  <si>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</si>
  <si>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</si>
  <si>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</si>
  <si>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</si>
  <si>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</si>
  <si>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</si>
  <si>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</si>
  <si>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</si>
  <si>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</si>
  <si>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</si>
  <si>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</si>
  <si>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</si>
  <si>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</si>
  <si>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</si>
  <si>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</si>
  <si>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</si>
  <si>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</si>
  <si>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</si>
  <si>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</si>
  <si>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</si>
  <si>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</si>
  <si>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</si>
  <si>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</si>
  <si>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</si>
  <si>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</si>
  <si>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</si>
  <si>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</si>
  <si>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</si>
  <si>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</si>
  <si>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</si>
  <si>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</si>
  <si>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</si>
  <si>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</si>
  <si>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</si>
  <si>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</si>
  <si>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</si>
  <si>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</si>
  <si>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</si>
  <si>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</si>
  <si>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</si>
  <si>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</si>
  <si>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</si>
  <si>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</si>
  <si>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</si>
  <si>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</si>
  <si>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</si>
  <si>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</si>
  <si>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</si>
  <si>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</si>
  <si>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</si>
  <si>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</si>
  <si>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</si>
  <si>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</si>
  <si>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</si>
  <si>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</si>
  <si>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</si>
  <si>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</si>
  <si>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</si>
  <si>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</si>
  <si>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</si>
  <si>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</si>
  <si>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</si>
  <si>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</si>
  <si>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</si>
  <si>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</si>
  <si>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</si>
  <si>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</si>
  <si>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</si>
  <si>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</si>
  <si>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</si>
  <si>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</si>
  <si>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</si>
  <si>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</si>
  <si>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</si>
  <si>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</si>
  <si>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</si>
  <si>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</si>
  <si>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</si>
  <si>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</si>
  <si>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</si>
  <si>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</si>
  <si>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</si>
  <si>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</si>
  <si>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</si>
  <si>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</si>
  <si>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</si>
  <si>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</si>
  <si>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</si>
  <si>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</si>
  <si>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</si>
  <si>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</si>
  <si>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</si>
  <si>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</si>
  <si>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</si>
  <si>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</si>
  <si>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</si>
  <si>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</si>
  <si>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</si>
  <si>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</si>
  <si>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</si>
  <si>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</si>
  <si>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</si>
  <si>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</si>
  <si>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</si>
  <si>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</si>
  <si>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</si>
  <si>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</si>
  <si>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</si>
  <si>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</si>
  <si>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</si>
  <si>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</si>
  <si>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</si>
  <si>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</si>
  <si>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</si>
  <si>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</si>
  <si>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</si>
  <si>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</si>
  <si>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</si>
  <si>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</si>
  <si>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</si>
  <si>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</si>
  <si>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</si>
  <si>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</si>
  <si>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</si>
  <si>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</si>
  <si>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</si>
  <si>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</si>
  <si>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</si>
  <si>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</si>
  <si>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</si>
  <si>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</si>
  <si>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</si>
  <si>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</si>
  <si>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</si>
  <si>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</si>
  <si>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</si>
  <si>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</si>
  <si>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</si>
  <si>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</si>
  <si>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</si>
  <si>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</si>
  <si>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</si>
  <si>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</si>
  <si>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</si>
  <si>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</si>
  <si>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</si>
  <si>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</si>
  <si>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</si>
  <si>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</si>
  <si>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</si>
  <si>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</si>
  <si>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</si>
  <si>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</si>
  <si>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</si>
  <si>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</si>
  <si>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</si>
  <si>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</si>
  <si>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</si>
  <si>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</si>
  <si>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</si>
  <si>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</si>
  <si>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</si>
  <si>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</si>
  <si>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</si>
  <si>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</si>
  <si>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</si>
  <si>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</si>
  <si>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</si>
  <si>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</si>
  <si>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</si>
  <si>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</si>
  <si>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</si>
  <si>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</si>
  <si>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</si>
  <si>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</si>
  <si>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</si>
  <si>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</si>
  <si>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</si>
  <si>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</si>
  <si>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</si>
  <si>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</si>
  <si>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</si>
  <si>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</si>
  <si>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</si>
  <si>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</si>
  <si>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</si>
  <si>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</si>
  <si>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</si>
  <si>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</si>
  <si>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</si>
  <si>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</si>
  <si>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</si>
  <si>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</si>
  <si>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</si>
  <si>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</si>
  <si>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</si>
  <si>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</si>
  <si>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</si>
  <si>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</si>
  <si>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</si>
  <si>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</si>
  <si>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</si>
  <si>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</si>
  <si>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</si>
  <si>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</si>
  <si>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</si>
  <si>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</si>
  <si>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</si>
  <si>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</si>
  <si>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</si>
  <si>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</si>
  <si>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</si>
  <si>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</si>
  <si>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</si>
  <si>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</si>
  <si>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</si>
  <si>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</si>
  <si>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</si>
  <si>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</si>
  <si>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</si>
  <si>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</si>
  <si>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</si>
  <si>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</si>
  <si>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</si>
  <si>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</si>
  <si>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</si>
  <si>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</si>
  <si>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</si>
  <si>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</si>
  <si>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</si>
  <si>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</si>
  <si>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</si>
  <si>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</si>
  <si>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</si>
  <si>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</si>
  <si>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</si>
  <si>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</si>
  <si>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</si>
  <si>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</si>
  <si>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</si>
  <si>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</si>
  <si>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</si>
  <si>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</si>
  <si>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</si>
  <si>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</si>
  <si>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</si>
  <si>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</si>
  <si>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</si>
  <si>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</si>
  <si>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</si>
  <si>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</si>
  <si>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</si>
  <si>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</si>
  <si>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</si>
  <si>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</si>
  <si>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</si>
  <si>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</si>
  <si>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</si>
  <si>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</si>
  <si>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</si>
  <si>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</si>
  <si>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</si>
  <si>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</si>
  <si>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</si>
  <si>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</si>
  <si>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</si>
  <si>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</si>
  <si>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</si>
  <si>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</si>
  <si>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</si>
  <si>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</si>
  <si>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</si>
  <si>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</si>
  <si>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</si>
  <si>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</si>
  <si>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</si>
  <si>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</si>
  <si>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</si>
  <si>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</si>
  <si>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</si>
  <si>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</si>
  <si>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</si>
  <si>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</si>
  <si>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</si>
  <si>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</si>
  <si>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</si>
  <si>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</si>
  <si>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</si>
  <si>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</si>
  <si>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</si>
  <si>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</si>
  <si>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</si>
  <si>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</si>
  <si>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</si>
  <si>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</si>
  <si>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</si>
  <si>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</si>
  <si>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</si>
  <si>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</si>
  <si>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</si>
  <si>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</si>
  <si>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</si>
  <si>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</si>
  <si>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</si>
  <si>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</si>
  <si>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</si>
  <si>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</si>
  <si>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</si>
  <si>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</si>
  <si>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</si>
  <si>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</si>
  <si>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</si>
  <si>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</si>
  <si>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</si>
  <si>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</si>
  <si>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</si>
  <si>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</si>
  <si>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</si>
  <si>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</si>
  <si>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</si>
  <si>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</si>
  <si>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</si>
  <si>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</si>
  <si>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</si>
  <si>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</si>
  <si>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</si>
  <si>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</si>
  <si>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</si>
  <si>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</si>
  <si>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</si>
  <si>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</si>
  <si>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</si>
  <si>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</si>
  <si>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</si>
  <si>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</si>
  <si>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</si>
  <si>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</si>
  <si>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</si>
  <si>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</si>
  <si>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</si>
  <si>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</si>
  <si>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</si>
  <si>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</si>
  <si>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</si>
  <si>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</si>
  <si>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</si>
  <si>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</si>
  <si>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</si>
  <si>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</si>
  <si>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</si>
  <si>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</si>
  <si>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</si>
  <si>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</si>
  <si>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</si>
  <si>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</si>
  <si>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</si>
  <si>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</si>
  <si>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</si>
  <si>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</si>
  <si>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</si>
  <si>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</si>
  <si>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</si>
  <si>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</si>
  <si>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</si>
  <si>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</si>
  <si>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</si>
  <si>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</si>
  <si>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</si>
  <si>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</si>
  <si>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</si>
  <si>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</si>
  <si>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</si>
  <si>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</si>
  <si>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</si>
  <si>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</si>
  <si>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</si>
  <si>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</si>
  <si>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</si>
  <si>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</si>
  <si>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</si>
  <si>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</si>
  <si>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</si>
  <si>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</si>
  <si>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</si>
  <si>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</si>
  <si>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</si>
  <si>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</si>
  <si>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</si>
  <si>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</si>
  <si>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</si>
  <si>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</si>
  <si>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</si>
  <si>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</si>
  <si>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</si>
  <si>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</si>
  <si>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</si>
  <si>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</si>
  <si>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</si>
  <si>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</si>
  <si>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</si>
  <si>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</si>
  <si>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</si>
  <si>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</si>
  <si>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</si>
  <si>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</si>
  <si>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</si>
  <si>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</si>
  <si>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</si>
  <si>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</si>
  <si>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</si>
  <si>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</si>
  <si>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</si>
  <si>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</si>
  <si>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</si>
  <si>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</si>
  <si>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</si>
  <si>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</si>
  <si>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</si>
  <si>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</si>
  <si>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</si>
  <si>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</si>
  <si>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</si>
  <si>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</si>
  <si>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</si>
  <si>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</si>
  <si>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</si>
  <si>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</si>
  <si>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</si>
  <si>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</si>
  <si>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</si>
  <si>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</si>
  <si>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</si>
  <si>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</si>
  <si>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</si>
  <si>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</si>
  <si>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</si>
  <si>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</si>
  <si>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</si>
  <si>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</si>
  <si>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</si>
  <si>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</si>
  <si>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</si>
  <si>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</si>
  <si>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</si>
  <si>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</si>
  <si>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</si>
  <si>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</si>
  <si>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</si>
  <si>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</si>
  <si>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</si>
  <si>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</si>
  <si>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</si>
  <si>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</si>
  <si>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</si>
  <si>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</si>
  <si>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</si>
  <si>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</si>
  <si>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</si>
  <si>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</si>
  <si>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</si>
  <si>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</si>
  <si>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</si>
  <si>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</si>
  <si>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</si>
  <si>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</si>
  <si>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</si>
  <si>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</si>
  <si>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</si>
  <si>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</si>
  <si>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</si>
  <si>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</si>
  <si>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</si>
  <si>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</si>
  <si>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</si>
  <si>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</si>
  <si>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</si>
  <si>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</si>
  <si>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</si>
  <si>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</si>
  <si>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</si>
  <si>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</si>
  <si>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</si>
  <si>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</si>
  <si>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</si>
  <si>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</si>
  <si>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</si>
  <si>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</si>
  <si>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</si>
  <si>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</si>
  <si>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</si>
  <si>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</si>
  <si>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</si>
  <si>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</si>
  <si>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</si>
  <si>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</si>
  <si>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</si>
  <si>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</si>
  <si>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</si>
  <si>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</si>
  <si>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</si>
  <si>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</si>
  <si>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</si>
  <si>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</si>
  <si>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</si>
  <si>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</si>
  <si>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</si>
  <si>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</si>
  <si>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</si>
  <si>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</si>
  <si>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</si>
  <si>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</si>
  <si>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</si>
  <si>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</si>
  <si>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</si>
  <si>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</si>
  <si>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</si>
  <si>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</si>
  <si>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</si>
  <si>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</si>
  <si>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</si>
  <si>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</si>
  <si>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</si>
  <si>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</si>
  <si>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</si>
  <si>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</si>
  <si>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</si>
  <si>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</si>
  <si>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</si>
  <si>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</si>
  <si>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</si>
  <si>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</si>
  <si>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</si>
  <si>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</si>
  <si>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</si>
  <si>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</si>
  <si>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</si>
  <si>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</si>
  <si>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</si>
  <si>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</si>
  <si>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</si>
  <si>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</si>
  <si>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</si>
  <si>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</si>
  <si>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George McDonald Court LP</t>
  </si>
  <si>
    <t>George McDonald Court</t>
  </si>
  <si>
    <t>Timothy Elliott</t>
  </si>
  <si>
    <t>1200 W. 7th Street, 8th Floor</t>
  </si>
  <si>
    <t>timothy.elliott@lacity.org</t>
  </si>
  <si>
    <t>1800 E 92nd Street</t>
  </si>
  <si>
    <t>6048-033-045</t>
  </si>
  <si>
    <t>40%/60%</t>
  </si>
  <si>
    <t>1900 Huntington Drive</t>
  </si>
  <si>
    <t>Duarte</t>
  </si>
  <si>
    <t>CA</t>
  </si>
  <si>
    <t>Orest Dolyniuk</t>
  </si>
  <si>
    <t>OrestD@beacondevgroup.com</t>
  </si>
  <si>
    <t>HumanGood Affordable Housing</t>
  </si>
  <si>
    <t>Castle Argyle, a California Non-profit public benefit corporation</t>
  </si>
  <si>
    <t>Managing GP</t>
  </si>
  <si>
    <t>Mary Grace Crisostomo</t>
  </si>
  <si>
    <t>MaryGrace.Crisostomo@HumanGood.org</t>
  </si>
  <si>
    <t>Duarte, CA 91010</t>
  </si>
  <si>
    <t>D33 Design &amp; Planning</t>
  </si>
  <si>
    <t>31866 Camino Capistrano</t>
  </si>
  <si>
    <t>San Juan Capistrano, CA   92675</t>
  </si>
  <si>
    <t>Brian Weller</t>
  </si>
  <si>
    <t>bweller@d33design.com</t>
  </si>
  <si>
    <t>Goldfarb &amp; Lipman</t>
  </si>
  <si>
    <t>1300 Clay Street 11th Floor</t>
  </si>
  <si>
    <t>Oakland, CA 94612</t>
  </si>
  <si>
    <t>William DiCamillo</t>
  </si>
  <si>
    <t>wdicamillo@goldfarblipman.com</t>
  </si>
  <si>
    <t>Walton Construction</t>
  </si>
  <si>
    <t>358 . Foothill Blvd.</t>
  </si>
  <si>
    <t>San Dimas, CA  91773</t>
  </si>
  <si>
    <t>Tim Norris</t>
  </si>
  <si>
    <t>tnorris@waltonci.com</t>
  </si>
  <si>
    <t>Dauby O'Connor &amp; Zaleski, LLC</t>
  </si>
  <si>
    <t>591 Congressional Blvd</t>
  </si>
  <si>
    <t>Carmel, IN 46032</t>
  </si>
  <si>
    <t>Kenny Dennison</t>
  </si>
  <si>
    <t>kdennison@dozllc.com</t>
  </si>
  <si>
    <t>Partner Energy</t>
  </si>
  <si>
    <t>2154 Torrance Blvd</t>
  </si>
  <si>
    <t>Torrance, CA  90501</t>
  </si>
  <si>
    <t>Drew McCreery</t>
  </si>
  <si>
    <t xml:space="preserve">(310) 774-3165 </t>
  </si>
  <si>
    <t>dmccreery@partneresi.com</t>
  </si>
  <si>
    <t>California Housing Partnership</t>
  </si>
  <si>
    <t>49 Stevenson Street, Suite 500</t>
  </si>
  <si>
    <t>San Francisco, CA 94105</t>
  </si>
  <si>
    <t>Sherin Bennett</t>
  </si>
  <si>
    <t>415-433-6804</t>
  </si>
  <si>
    <t>sbennett@chpc.net</t>
  </si>
  <si>
    <t>Novogradac</t>
  </si>
  <si>
    <t>1160 Battery Street, Suite 225</t>
  </si>
  <si>
    <t>San Francisco, CA 94111</t>
  </si>
  <si>
    <t>Rachel Denton</t>
  </si>
  <si>
    <t>913-677-4600</t>
  </si>
  <si>
    <t>913-677-4601</t>
  </si>
  <si>
    <t>Rachel.Denton@novoco.com</t>
  </si>
  <si>
    <t>TBD</t>
  </si>
  <si>
    <t>California Municipal Finance Authority</t>
  </si>
  <si>
    <t>211 Palomar Airport Road #320</t>
  </si>
  <si>
    <t>Carlsbad, CA 92011</t>
  </si>
  <si>
    <t>Anthony Stubbs</t>
  </si>
  <si>
    <t>astubbs@cmfa-ca.com</t>
  </si>
  <si>
    <t>Kendra Roberts, VP of Operations</t>
  </si>
  <si>
    <t>Kendra.Roberts@HumanGood.org</t>
  </si>
  <si>
    <t>Appraisal</t>
  </si>
  <si>
    <t>Low Income Senior Housing</t>
  </si>
  <si>
    <t>Bandera Senior Housing Corp.</t>
  </si>
  <si>
    <t>Jennifer Kappen</t>
  </si>
  <si>
    <t>Senior Vice President</t>
  </si>
  <si>
    <t>1900 Huntington Drive, Duarte CA  91010</t>
  </si>
  <si>
    <t>NA</t>
  </si>
  <si>
    <t>Inner City Infill Site</t>
  </si>
  <si>
    <t>The entire bulding is senior restricted (60 units). 10 of the 61 units have</t>
  </si>
  <si>
    <t>ADA and Accessibility features.</t>
  </si>
  <si>
    <t>Two-Family Zone</t>
  </si>
  <si>
    <t>R2-1, density per existing variance and project permit</t>
  </si>
  <si>
    <t>No Change Proposed</t>
  </si>
  <si>
    <t>Conditions of exisiting varainace and project permit requires the site to be maintained as affordable housing</t>
  </si>
  <si>
    <t xml:space="preserve">No  </t>
  </si>
  <si>
    <t>Per variance and project permit</t>
  </si>
  <si>
    <t>Citibank</t>
  </si>
  <si>
    <t>Tax Credit Equity</t>
  </si>
  <si>
    <t>Seller Note</t>
  </si>
  <si>
    <t>Seller Note Accrued Interest</t>
  </si>
  <si>
    <t>Contribution - Existing Reserves</t>
  </si>
  <si>
    <t>Costs Deferred Until Conversion</t>
  </si>
  <si>
    <t>300 South Grand Avenue, Suite 3110</t>
  </si>
  <si>
    <t>Los Angeles, CA  90071</t>
  </si>
  <si>
    <t>Hao Li</t>
  </si>
  <si>
    <t>Draw Down Tax Exempt Construction</t>
  </si>
  <si>
    <t>Draw Down Taxable Construction</t>
  </si>
  <si>
    <t>Duarte CA  91010</t>
  </si>
  <si>
    <t>Beth Burke</t>
  </si>
  <si>
    <t>Seller Note - Residual Receipts</t>
  </si>
  <si>
    <t>Deferred Fee</t>
  </si>
  <si>
    <t>Existing Reserves</t>
  </si>
  <si>
    <t>Deferred Costs</t>
  </si>
  <si>
    <t>NOI</t>
  </si>
  <si>
    <t>Los Angeles, CA 90071</t>
  </si>
  <si>
    <t>Tax Exempt Permenant Loan</t>
  </si>
  <si>
    <t>Department of Housing and Urban Development</t>
  </si>
  <si>
    <t>Misc Expenses</t>
  </si>
  <si>
    <t>Contracts/Supplies</t>
  </si>
  <si>
    <t>Misc. tax/License</t>
  </si>
  <si>
    <t>Other (Issuer Fees):</t>
  </si>
  <si>
    <t>HUD</t>
  </si>
  <si>
    <t>Project-based contract (PBC)</t>
  </si>
  <si>
    <t>Other: (Payment and Performance Bond)</t>
  </si>
  <si>
    <t>Other: (Bank Construction Inspections &amp;Third Party Reports)</t>
  </si>
  <si>
    <t>Other: (Applicant Legal, Including HUD Counsel)</t>
  </si>
  <si>
    <t>Other: (Document Transfer Tax)</t>
  </si>
  <si>
    <t>Other: (Accrued Interest - Seller and LAHD Loan))</t>
  </si>
  <si>
    <t>Defered Developer Fee</t>
  </si>
  <si>
    <t>Variable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</si>
</sst>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8912">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4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63" fillId="0" borderId="0">
      <alignment vertical="top"/>
    </xf>
    <xf numFmtId="0" fontId="63" fillId="0" borderId="0">
      <alignment vertical="top"/>
    </xf>
    <xf numFmtId="0" fontId="2" fillId="0" borderId="0"/>
    <xf numFmtId="0" fontId="2" fillId="0" borderId="0"/>
    <xf numFmtId="0" fontId="63" fillId="0" borderId="0">
      <alignment vertical="top"/>
    </xf>
    <xf numFmtId="0" fontId="190" fillId="0" borderId="0">
      <alignment vertical="top"/>
    </xf>
    <xf numFmtId="0" fontId="63" fillId="0" borderId="0">
      <alignment vertical="top"/>
    </xf>
    <xf numFmtId="0" fontId="63" fillId="0" borderId="0">
      <alignment vertical="top"/>
    </xf>
    <xf numFmtId="0" fontId="1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7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63" fillId="0" borderId="0">
      <alignment vertical="top"/>
    </xf>
    <xf numFmtId="0" fontId="63"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1" fillId="0" borderId="0"/>
    <xf numFmtId="0" fontId="79" fillId="41" borderId="24" applyNumberFormat="0" applyFont="0" applyAlignment="0" applyProtection="0"/>
    <xf numFmtId="0" fontId="7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9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cellStyleXfs>
  <cellXfs count="2682">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5" fillId="0" borderId="0" xfId="4496" applyFont="1" applyAlignment="1">
      <alignment vertical="center"/>
    </xf>
    <xf numFmtId="0" fontId="124" fillId="0" borderId="0" xfId="4496" applyFont="1"/>
    <xf numFmtId="0" fontId="124" fillId="0" borderId="0" xfId="4496" applyFont="1" applyAlignment="1">
      <alignment vertical="center"/>
    </xf>
    <xf numFmtId="0" fontId="12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5" fillId="0" borderId="9" xfId="4495" applyFont="1" applyBorder="1"/>
    <xf numFmtId="0" fontId="27" fillId="0" borderId="10" xfId="4495" applyFont="1" applyBorder="1"/>
    <xf numFmtId="0" fontId="13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0"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1"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8"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39"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8"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4" fillId="0" borderId="0" xfId="0" applyFont="1"/>
    <xf numFmtId="0" fontId="24"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5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4"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6"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70" fillId="0" borderId="0" xfId="698" applyNumberFormat="1" applyFont="1"/>
    <xf numFmtId="0" fontId="187" fillId="0" borderId="0" xfId="0" applyFont="1" applyAlignment="1">
      <alignment horizontal="center"/>
    </xf>
    <xf numFmtId="0" fontId="19" fillId="0" borderId="0" xfId="569" quotePrefix="1"/>
    <xf numFmtId="168" fontId="157" fillId="0" borderId="0" xfId="0" applyNumberFormat="1" applyFont="1" applyAlignment="1">
      <alignment vertical="center" wrapText="1"/>
    </xf>
    <xf numFmtId="168" fontId="18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24" fillId="0" borderId="58" xfId="4496" applyFont="1" applyBorder="1" applyAlignment="1">
      <alignment vertical="center"/>
    </xf>
    <xf numFmtId="0" fontId="26" fillId="0" borderId="5" xfId="4495" applyFont="1" applyBorder="1"/>
    <xf numFmtId="182" fontId="100" fillId="0" borderId="6" xfId="4496" applyNumberFormat="1" applyFont="1" applyBorder="1" applyAlignment="1">
      <alignment vertical="center"/>
    </xf>
    <xf numFmtId="1" fontId="100" fillId="0" borderId="0" xfId="4496" applyNumberFormat="1" applyFont="1" applyAlignment="1">
      <alignment horizontal="right" vertical="top" wrapText="1" indent="1"/>
    </xf>
    <xf numFmtId="3" fontId="100" fillId="43" borderId="6" xfId="4496" applyNumberFormat="1" applyFont="1" applyFill="1" applyBorder="1" applyAlignment="1" applyProtection="1">
      <alignment horizontal="center"/>
      <protection locked="0"/>
    </xf>
    <xf numFmtId="0" fontId="3" fillId="0" borderId="0" xfId="8736"/>
    <xf numFmtId="0" fontId="170" fillId="0" borderId="0" xfId="8736" applyFont="1"/>
    <xf numFmtId="0" fontId="105" fillId="0" borderId="0" xfId="8736" applyFont="1"/>
    <xf numFmtId="0" fontId="3" fillId="47" borderId="66" xfId="8736" applyFill="1" applyBorder="1"/>
    <xf numFmtId="0" fontId="3" fillId="47" borderId="0" xfId="8736" applyFill="1"/>
    <xf numFmtId="0" fontId="104" fillId="47" borderId="0" xfId="8736" applyFont="1" applyFill="1"/>
    <xf numFmtId="9" fontId="3" fillId="44" borderId="3" xfId="1022" applyFont="1" applyFill="1" applyBorder="1" applyAlignment="1">
      <alignment horizontal="centerContinuous"/>
    </xf>
    <xf numFmtId="9" fontId="3" fillId="44" borderId="4" xfId="1022" applyFont="1" applyFill="1" applyBorder="1" applyAlignment="1">
      <alignment horizontal="centerContinuous"/>
    </xf>
    <xf numFmtId="9" fontId="3" fillId="44" borderId="5" xfId="1022" applyFont="1" applyFill="1" applyBorder="1" applyAlignment="1">
      <alignment horizontal="centerContinuous"/>
    </xf>
    <xf numFmtId="0" fontId="104" fillId="47" borderId="41" xfId="8736" applyFont="1" applyFill="1" applyBorder="1" applyAlignment="1">
      <alignment horizontal="center"/>
    </xf>
    <xf numFmtId="182" fontId="175" fillId="47" borderId="0" xfId="8737" applyNumberFormat="1" applyFont="1" applyFill="1" applyBorder="1" applyAlignment="1"/>
    <xf numFmtId="0" fontId="3" fillId="47" borderId="41" xfId="8736" applyFill="1" applyBorder="1"/>
    <xf numFmtId="0" fontId="105" fillId="47" borderId="0" xfId="8736" applyFont="1" applyFill="1"/>
    <xf numFmtId="0" fontId="179" fillId="47" borderId="0" xfId="8736" applyFont="1" applyFill="1"/>
    <xf numFmtId="0" fontId="104" fillId="47" borderId="41" xfId="8736" applyFont="1" applyFill="1" applyBorder="1"/>
    <xf numFmtId="0" fontId="104" fillId="0" borderId="0" xfId="8736" applyFont="1"/>
    <xf numFmtId="0" fontId="167" fillId="0" borderId="0" xfId="8736" applyFont="1"/>
    <xf numFmtId="0" fontId="104" fillId="54" borderId="100" xfId="8736" applyFont="1" applyFill="1" applyBorder="1"/>
    <xf numFmtId="0" fontId="3" fillId="53" borderId="99" xfId="8736" applyFill="1" applyBorder="1"/>
    <xf numFmtId="0" fontId="3" fillId="52" borderId="99" xfId="8736" applyFill="1" applyBorder="1"/>
    <xf numFmtId="0" fontId="10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104" fillId="45" borderId="0" xfId="8736" applyFont="1" applyFill="1"/>
    <xf numFmtId="0" fontId="104" fillId="45" borderId="12" xfId="8736" applyFont="1" applyFill="1" applyBorder="1"/>
    <xf numFmtId="0" fontId="104" fillId="45" borderId="29" xfId="8736" applyFont="1" applyFill="1" applyBorder="1"/>
    <xf numFmtId="0" fontId="104" fillId="45" borderId="80" xfId="8736" applyFont="1" applyFill="1" applyBorder="1"/>
    <xf numFmtId="0" fontId="104" fillId="45" borderId="79" xfId="8736" applyFont="1" applyFill="1" applyBorder="1"/>
    <xf numFmtId="0" fontId="104" fillId="45" borderId="78" xfId="8736" applyFont="1" applyFill="1" applyBorder="1"/>
    <xf numFmtId="0" fontId="104" fillId="45" borderId="93" xfId="8736" applyFont="1" applyFill="1" applyBorder="1"/>
    <xf numFmtId="0" fontId="104" fillId="45" borderId="6" xfId="8736" applyFont="1" applyFill="1" applyBorder="1"/>
    <xf numFmtId="0" fontId="104" fillId="45" borderId="10" xfId="8736" applyFont="1" applyFill="1" applyBorder="1"/>
    <xf numFmtId="0" fontId="170" fillId="44" borderId="0" xfId="8736" applyFont="1" applyFill="1"/>
    <xf numFmtId="10" fontId="170" fillId="44" borderId="0" xfId="1022" applyNumberFormat="1" applyFont="1" applyFill="1"/>
    <xf numFmtId="0" fontId="3" fillId="45" borderId="29" xfId="8736" applyFill="1" applyBorder="1"/>
    <xf numFmtId="0" fontId="3" fillId="45" borderId="31" xfId="8736" applyFill="1" applyBorder="1"/>
    <xf numFmtId="0" fontId="104" fillId="45" borderId="92" xfId="8736" applyFont="1" applyFill="1" applyBorder="1"/>
    <xf numFmtId="0" fontId="104" fillId="45" borderId="74" xfId="8736" applyFont="1" applyFill="1" applyBorder="1"/>
    <xf numFmtId="0" fontId="181" fillId="47" borderId="0" xfId="8736" applyFont="1" applyFill="1"/>
    <xf numFmtId="0" fontId="104" fillId="45" borderId="31" xfId="8736" applyFont="1" applyFill="1" applyBorder="1"/>
    <xf numFmtId="0" fontId="3" fillId="47" borderId="0" xfId="8736" applyFill="1" applyAlignment="1">
      <alignment horizontal="left"/>
    </xf>
    <xf numFmtId="0" fontId="173" fillId="51" borderId="11" xfId="8736" applyFont="1" applyFill="1" applyBorder="1"/>
    <xf numFmtId="0" fontId="173" fillId="51" borderId="76" xfId="8736" applyFont="1" applyFill="1" applyBorder="1"/>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104" fillId="47" borderId="66" xfId="8736" applyFont="1" applyFill="1" applyBorder="1"/>
    <xf numFmtId="49" fontId="10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65" fillId="0" borderId="0" xfId="8736" applyFont="1"/>
    <xf numFmtId="0" fontId="25" fillId="3" borderId="0" xfId="0" applyFont="1" applyFill="1" applyAlignment="1">
      <alignment horizontal="center" vertical="center" wrapText="1"/>
    </xf>
    <xf numFmtId="0" fontId="25" fillId="3" borderId="16" xfId="0" applyFont="1" applyFill="1" applyBorder="1" applyAlignment="1">
      <alignment horizontal="center" vertical="center" wrapText="1"/>
    </xf>
    <xf numFmtId="0" fontId="19" fillId="0" borderId="0" xfId="0" applyFont="1" applyAlignment="1">
      <alignment horizontal="left" vertical="top" wrapText="1"/>
    </xf>
    <xf numFmtId="0" fontId="107" fillId="0" borderId="0" xfId="0" applyFont="1" applyAlignment="1">
      <alignment horizontal="left" vertical="top" wrapText="1"/>
    </xf>
    <xf numFmtId="0" fontId="20" fillId="0" borderId="0" xfId="244" applyAlignment="1">
      <alignment horizontal="left" vertical="top"/>
    </xf>
    <xf numFmtId="0" fontId="48" fillId="0" borderId="0" xfId="0" applyFont="1" applyAlignment="1">
      <alignment horizontal="left" vertical="top" wrapText="1"/>
    </xf>
    <xf numFmtId="0" fontId="115" fillId="0" borderId="0" xfId="0" applyFont="1" applyAlignment="1">
      <alignment horizontal="left" wrapText="1"/>
    </xf>
    <xf numFmtId="0" fontId="19" fillId="0" borderId="0" xfId="0" applyFont="1" applyAlignment="1">
      <alignment horizontal="left" wrapText="1"/>
    </xf>
    <xf numFmtId="0" fontId="28" fillId="0" borderId="0" xfId="0" applyFont="1" applyAlignment="1">
      <alignment horizontal="left" wrapText="1"/>
    </xf>
    <xf numFmtId="0" fontId="20" fillId="0" borderId="0" xfId="244" applyAlignment="1" applyProtection="1">
      <alignment horizontal="left"/>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0" applyFont="1" applyAlignment="1">
      <alignment horizontal="left" vertical="top"/>
    </xf>
    <xf numFmtId="4" fontId="19" fillId="0" borderId="0" xfId="569" applyNumberFormat="1" applyAlignment="1">
      <alignment horizontal="left"/>
    </xf>
    <xf numFmtId="0" fontId="37" fillId="0" borderId="0" xfId="569" applyFont="1" applyAlignment="1">
      <alignment horizontal="left" vertical="top"/>
    </xf>
    <xf numFmtId="4" fontId="37" fillId="0" borderId="0" xfId="0" applyNumberFormat="1" applyFont="1" applyAlignment="1">
      <alignment horizontal="left"/>
    </xf>
    <xf numFmtId="4" fontId="19" fillId="0" borderId="0" xfId="0" applyNumberFormat="1" applyFont="1" applyAlignment="1">
      <alignment horizontal="left"/>
    </xf>
    <xf numFmtId="0" fontId="26" fillId="0" borderId="4" xfId="0" applyFont="1" applyBorder="1" applyAlignment="1">
      <alignment horizontal="left"/>
    </xf>
    <xf numFmtId="0" fontId="37" fillId="0" borderId="0" xfId="0" applyFont="1" applyAlignment="1">
      <alignment horizontal="left" vertical="top"/>
    </xf>
    <xf numFmtId="49" fontId="19" fillId="0" borderId="0" xfId="0" applyNumberFormat="1" applyFont="1" applyAlignment="1">
      <alignment horizontal="left" vertical="top" wrapText="1"/>
    </xf>
    <xf numFmtId="0" fontId="37" fillId="0" borderId="0" xfId="0" applyFont="1" applyAlignment="1">
      <alignment horizontal="left"/>
    </xf>
    <xf numFmtId="0" fontId="19" fillId="0" borderId="0" xfId="0" applyFont="1" applyAlignment="1">
      <alignment horizontal="left"/>
    </xf>
    <xf numFmtId="0" fontId="26" fillId="0" borderId="0" xfId="0" applyFont="1" applyAlignment="1">
      <alignment vertical="top" wrapText="1"/>
    </xf>
    <xf numFmtId="4" fontId="19" fillId="0" borderId="0" xfId="0" applyNumberFormat="1" applyFont="1" applyAlignment="1">
      <alignment horizontal="left" vertical="top" wrapText="1"/>
    </xf>
    <xf numFmtId="0" fontId="19" fillId="0" borderId="0" xfId="0" applyFont="1" applyAlignment="1">
      <alignment horizontal="left" vertical="center" wrapText="1"/>
    </xf>
    <xf numFmtId="0" fontId="19" fillId="0" borderId="0" xfId="569" applyAlignment="1">
      <alignment horizontal="left" wrapText="1"/>
    </xf>
    <xf numFmtId="0" fontId="19" fillId="0" borderId="0" xfId="0" applyFont="1" applyAlignment="1">
      <alignment vertical="top" wrapText="1"/>
    </xf>
    <xf numFmtId="0" fontId="20" fillId="0" borderId="0" xfId="244" applyFill="1" applyBorder="1" applyAlignment="1">
      <alignment horizontal="left" vertical="top" wrapText="1"/>
    </xf>
    <xf numFmtId="0" fontId="19" fillId="0" borderId="0" xfId="0" applyFont="1" applyAlignment="1">
      <alignment vertical="center" wrapText="1"/>
    </xf>
    <xf numFmtId="0" fontId="26" fillId="0" borderId="0" xfId="1192" applyFont="1" applyAlignment="1">
      <alignment horizontal="left" vertical="top" wrapText="1"/>
    </xf>
    <xf numFmtId="4" fontId="19" fillId="0" borderId="0" xfId="569" applyNumberFormat="1" applyAlignment="1">
      <alignment horizontal="left" vertical="top" wrapText="1"/>
    </xf>
    <xf numFmtId="0" fontId="19" fillId="0" borderId="0" xfId="569" applyAlignment="1">
      <alignment horizontal="left" vertical="top" wrapText="1"/>
    </xf>
    <xf numFmtId="0" fontId="26" fillId="0" borderId="4" xfId="569" applyFont="1" applyBorder="1" applyAlignment="1">
      <alignment horizontal="left"/>
    </xf>
    <xf numFmtId="0" fontId="19" fillId="0" borderId="0" xfId="569" applyAlignment="1">
      <alignment horizontal="left"/>
    </xf>
    <xf numFmtId="0" fontId="37" fillId="0" borderId="0" xfId="569" applyFont="1" applyAlignment="1">
      <alignment horizontal="left"/>
    </xf>
    <xf numFmtId="0" fontId="26" fillId="0" borderId="4" xfId="569" applyFont="1" applyBorder="1" applyAlignment="1">
      <alignment horizontal="left" vertical="top"/>
    </xf>
    <xf numFmtId="0" fontId="20" fillId="0" borderId="0" xfId="244" quotePrefix="1" applyAlignment="1" applyProtection="1">
      <alignment horizontal="left"/>
    </xf>
    <xf numFmtId="0" fontId="19" fillId="0" borderId="0" xfId="569" applyAlignment="1">
      <alignment horizontal="left" vertical="top"/>
    </xf>
    <xf numFmtId="0" fontId="19" fillId="0" borderId="0" xfId="0" quotePrefix="1" applyFont="1" applyAlignment="1">
      <alignment horizontal="left" vertical="top"/>
    </xf>
    <xf numFmtId="0" fontId="37" fillId="0" borderId="0" xfId="0" applyFont="1" applyAlignment="1">
      <alignment horizontal="left" vertical="top" wrapText="1"/>
    </xf>
    <xf numFmtId="0" fontId="19" fillId="0" borderId="0" xfId="0" quotePrefix="1" applyFont="1" applyAlignment="1">
      <alignment horizontal="left" vertical="top" wrapText="1"/>
    </xf>
    <xf numFmtId="0" fontId="19" fillId="0" borderId="0" xfId="1192"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4" fontId="19" fillId="0" borderId="0" xfId="1192" applyNumberFormat="1" applyAlignment="1">
      <alignment horizontal="left" vertical="top" wrapText="1"/>
    </xf>
    <xf numFmtId="0" fontId="19" fillId="0" borderId="0" xfId="569" applyAlignment="1">
      <alignmen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0" fontId="37" fillId="0" borderId="0" xfId="569" applyFont="1" applyAlignment="1">
      <alignment horizontal="left" vertical="top" wrapText="1"/>
    </xf>
    <xf numFmtId="0" fontId="19" fillId="0" borderId="27" xfId="569" applyBorder="1" applyAlignment="1">
      <alignment horizontal="left"/>
    </xf>
    <xf numFmtId="0" fontId="26" fillId="0" borderId="0" xfId="569" applyFont="1" applyAlignment="1">
      <alignment horizontal="center"/>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49" fontId="19" fillId="0" borderId="0" xfId="1192" applyNumberFormat="1" applyAlignment="1">
      <alignment horizontal="left" vertical="top" wrapText="1"/>
    </xf>
    <xf numFmtId="0" fontId="19" fillId="0" borderId="0" xfId="569" applyAlignment="1">
      <alignment horizontal="left" vertical="center" wrapText="1"/>
    </xf>
    <xf numFmtId="0" fontId="26" fillId="0" borderId="0" xfId="0" applyFont="1" applyAlignment="1">
      <alignment horizontal="left" vertical="top"/>
    </xf>
    <xf numFmtId="0" fontId="26" fillId="0" borderId="0" xfId="569" applyFont="1" applyAlignment="1">
      <alignment horizontal="left"/>
    </xf>
    <xf numFmtId="0" fontId="37" fillId="0" borderId="0" xfId="1192" applyFont="1" applyAlignment="1">
      <alignment horizontal="left"/>
    </xf>
    <xf numFmtId="0" fontId="20" fillId="0" borderId="0" xfId="244" applyAlignment="1" applyProtection="1">
      <alignment horizontal="left" vertical="top" wrapText="1"/>
    </xf>
    <xf numFmtId="0" fontId="37" fillId="0" borderId="0" xfId="569" applyFont="1" applyAlignment="1">
      <alignment horizontal="center"/>
    </xf>
    <xf numFmtId="0" fontId="0" fillId="5" borderId="6" xfId="0" applyFill="1" applyBorder="1" applyAlignment="1" applyProtection="1">
      <alignment horizontal="center"/>
      <protection locked="0"/>
    </xf>
    <xf numFmtId="0" fontId="28" fillId="0" borderId="0" xfId="543" applyFont="1" applyAlignment="1">
      <alignment horizontal="center"/>
    </xf>
    <xf numFmtId="0" fontId="0" fillId="0" borderId="0" xfId="0" applyAlignment="1">
      <alignment horizontal="center"/>
    </xf>
    <xf numFmtId="0" fontId="19" fillId="0" borderId="0" xfId="543" applyAlignment="1">
      <alignment wrapText="1"/>
    </xf>
    <xf numFmtId="0" fontId="26"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182" fontId="27"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168" fontId="19" fillId="0" borderId="11" xfId="543" applyNumberFormat="1" applyBorder="1" applyAlignment="1">
      <alignment horizontal="center"/>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27" fillId="0" borderId="0" xfId="0" applyFont="1" applyAlignment="1">
      <alignment horizontal="center"/>
    </xf>
    <xf numFmtId="168" fontId="28" fillId="0" borderId="4" xfId="0" applyNumberFormat="1" applyFont="1" applyBorder="1" applyAlignment="1">
      <alignment horizontal="center"/>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168" fontId="28" fillId="0" borderId="3" xfId="0" applyNumberFormat="1" applyFont="1" applyBorder="1" applyAlignment="1">
      <alignment horizontal="center"/>
    </xf>
    <xf numFmtId="168" fontId="28" fillId="0" borderId="5" xfId="0" applyNumberFormat="1" applyFont="1" applyBorder="1" applyAlignment="1">
      <alignment horizontal="center"/>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8"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8"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9"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8" fillId="5" borderId="4" xfId="0" applyFont="1" applyFill="1" applyBorder="1" applyAlignment="1" applyProtection="1">
      <alignment wrapText="1"/>
      <protection locked="0"/>
    </xf>
    <xf numFmtId="1" fontId="28" fillId="5" borderId="11" xfId="0" applyNumberFormat="1" applyFont="1" applyFill="1" applyBorder="1" applyAlignment="1" applyProtection="1">
      <alignment horizontal="center"/>
      <protection locked="0"/>
    </xf>
    <xf numFmtId="0" fontId="28" fillId="0" borderId="11" xfId="0" applyFont="1" applyBorder="1" applyAlignment="1">
      <alignment horizontal="center" vertical="top" wrapText="1"/>
    </xf>
    <xf numFmtId="0" fontId="19"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28"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9" fillId="0" borderId="1" xfId="0" applyFont="1" applyBorder="1" applyAlignment="1">
      <alignment horizontal="center" vertical="top" wrapText="1"/>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0" fontId="19" fillId="5" borderId="6" xfId="569" applyFill="1" applyBorder="1" applyAlignment="1" applyProtection="1">
      <alignment horizontal="left"/>
      <protection locked="0"/>
    </xf>
    <xf numFmtId="0" fontId="28" fillId="5" borderId="9" xfId="0"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168" fontId="28"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0" fontId="19" fillId="5" borderId="11" xfId="0" applyFont="1" applyFill="1" applyBorder="1" applyAlignment="1" applyProtection="1">
      <alignment horizontal="left" vertical="center" wrapText="1"/>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xf>
    <xf numFmtId="0" fontId="26" fillId="0" borderId="11" xfId="0"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52"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wrapText="1"/>
    </xf>
    <xf numFmtId="0" fontId="19" fillId="0" borderId="0" xfId="0" applyFont="1" applyAlignment="1">
      <alignment horizontal="center" vertical="top"/>
    </xf>
    <xf numFmtId="0" fontId="28" fillId="0" borderId="0" xfId="0" applyFont="1" applyAlignment="1">
      <alignment horizontal="left" vertical="top" wrapText="1"/>
    </xf>
    <xf numFmtId="0" fontId="19" fillId="5" borderId="6" xfId="0" applyFont="1" applyFill="1" applyBorder="1" applyAlignment="1" applyProtection="1">
      <alignment horizontal="left"/>
      <protection locked="0"/>
    </xf>
    <xf numFmtId="0" fontId="28" fillId="5" borderId="6" xfId="0" applyFont="1" applyFill="1" applyBorder="1" applyAlignment="1" applyProtection="1">
      <alignment horizontal="left"/>
      <protection locked="0"/>
    </xf>
    <xf numFmtId="168" fontId="28" fillId="0" borderId="6" xfId="0" applyNumberFormat="1" applyFont="1" applyBorder="1" applyAlignment="1">
      <alignment horizontal="center"/>
    </xf>
    <xf numFmtId="0" fontId="19" fillId="5" borderId="6" xfId="0" applyFont="1" applyFill="1" applyBorder="1" applyAlignment="1" applyProtection="1">
      <alignment horizontal="left" wrapText="1"/>
      <protection locked="0"/>
    </xf>
    <xf numFmtId="0" fontId="28" fillId="5" borderId="6" xfId="0" applyFont="1" applyFill="1" applyBorder="1" applyAlignment="1" applyProtection="1">
      <alignment horizontal="left" wrapText="1"/>
      <protection locked="0"/>
    </xf>
    <xf numFmtId="0" fontId="25" fillId="3" borderId="0" xfId="0" applyFont="1" applyFill="1" applyAlignment="1">
      <alignment horizontal="center" vertical="center"/>
    </xf>
    <xf numFmtId="166" fontId="28" fillId="5" borderId="6" xfId="0" applyNumberFormat="1" applyFont="1" applyFill="1" applyBorder="1" applyAlignment="1" applyProtection="1">
      <alignment horizontal="left"/>
      <protection locked="0"/>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6" fillId="0" borderId="3" xfId="0" applyFont="1" applyBorder="1" applyAlignment="1">
      <alignment horizontal="right"/>
    </xf>
    <xf numFmtId="0" fontId="26" fillId="0" borderId="4" xfId="0" applyFont="1" applyBorder="1" applyAlignment="1">
      <alignment horizontal="right"/>
    </xf>
    <xf numFmtId="0" fontId="26" fillId="0" borderId="5" xfId="0" applyFont="1" applyBorder="1" applyAlignment="1">
      <alignment horizontal="right"/>
    </xf>
    <xf numFmtId="180" fontId="0" fillId="0" borderId="6" xfId="0" applyNumberFormat="1" applyBorder="1" applyAlignment="1">
      <alignment horizontal="center"/>
    </xf>
    <xf numFmtId="14" fontId="28"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0" fontId="28" fillId="2" borderId="11" xfId="0" applyFont="1" applyFill="1" applyBorder="1" applyAlignment="1">
      <alignment horizontal="center"/>
    </xf>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19" fillId="0" borderId="11" xfId="0" applyFont="1" applyBorder="1" applyAlignment="1">
      <alignment horizontal="center"/>
    </xf>
    <xf numFmtId="0" fontId="28" fillId="45" borderId="11" xfId="0" applyFont="1" applyFill="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19" fillId="0" borderId="11" xfId="543"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8" fillId="5" borderId="3" xfId="0" applyNumberFormat="1" applyFont="1" applyFill="1" applyBorder="1" applyAlignment="1" applyProtection="1">
      <alignment horizontal="left"/>
      <protection locked="0"/>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38" fillId="0" borderId="3" xfId="543" applyFont="1" applyBorder="1" applyAlignment="1">
      <alignment horizontal="center"/>
    </xf>
    <xf numFmtId="0" fontId="38" fillId="0" borderId="5" xfId="543" applyFont="1" applyBorder="1" applyAlignment="1">
      <alignment horizontal="center"/>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0" fontId="26" fillId="0" borderId="2" xfId="0" applyFont="1" applyBorder="1" applyAlignment="1">
      <alignment horizontal="center" wrapText="1"/>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9" xfId="0" applyFont="1" applyBorder="1" applyAlignment="1">
      <alignment horizontal="center" wrapText="1"/>
    </xf>
    <xf numFmtId="0" fontId="26" fillId="0" borderId="6"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0" fontId="0" fillId="0" borderId="9" xfId="0" applyBorder="1" applyAlignment="1">
      <alignment horizontal="left"/>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0" fontId="19" fillId="0" borderId="3" xfId="0" applyFont="1" applyBorder="1"/>
    <xf numFmtId="0" fontId="19" fillId="0" borderId="4" xfId="0" applyFont="1" applyBorder="1"/>
    <xf numFmtId="0" fontId="19" fillId="0" borderId="5" xfId="0" applyFont="1" applyBorder="1"/>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6" fillId="0" borderId="12" xfId="0" applyFont="1" applyBorder="1" applyAlignment="1">
      <alignment horizontal="center" wrapText="1"/>
    </xf>
    <xf numFmtId="0" fontId="26"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8" fillId="5" borderId="6" xfId="271" applyFill="1" applyBorder="1" applyProtection="1">
      <protection locked="0"/>
    </xf>
    <xf numFmtId="0" fontId="26" fillId="0" borderId="6" xfId="0" applyFont="1" applyBorder="1" applyAlignment="1">
      <alignment horizontal="center"/>
    </xf>
    <xf numFmtId="9" fontId="19" fillId="5" borderId="3" xfId="0" applyNumberFormat="1" applyFont="1" applyFill="1" applyBorder="1" applyAlignment="1" applyProtection="1">
      <alignment horizontal="right"/>
      <protection locked="0"/>
    </xf>
    <xf numFmtId="0" fontId="19" fillId="0" borderId="0" xfId="543" applyAlignment="1">
      <alignment horizontal="center"/>
    </xf>
    <xf numFmtId="2" fontId="19" fillId="0" borderId="0" xfId="543" applyNumberFormat="1" applyAlignment="1">
      <alignment horizontal="center"/>
    </xf>
    <xf numFmtId="168" fontId="0" fillId="0" borderId="11" xfId="0" applyNumberFormat="1" applyBorder="1" applyAlignment="1">
      <alignment horizontal="center"/>
    </xf>
    <xf numFmtId="0" fontId="26" fillId="0" borderId="7" xfId="0" applyFont="1" applyBorder="1" applyAlignment="1">
      <alignment horizontal="center" wrapText="1"/>
    </xf>
    <xf numFmtId="168" fontId="0" fillId="5" borderId="11" xfId="0" applyNumberFormat="1" applyFill="1" applyBorder="1" applyProtection="1">
      <protection locked="0"/>
    </xf>
    <xf numFmtId="168" fontId="0" fillId="0" borderId="11" xfId="0" applyNumberFormat="1" applyBorder="1" applyAlignment="1">
      <alignment horizontal="right"/>
    </xf>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171" fontId="19" fillId="0" borderId="0" xfId="543" applyNumberFormat="1" applyAlignment="1">
      <alignment horizontal="center"/>
    </xf>
    <xf numFmtId="0" fontId="26" fillId="0" borderId="11" xfId="0" applyFont="1" applyBorder="1" applyAlignment="1">
      <alignment horizontal="center"/>
    </xf>
    <xf numFmtId="0" fontId="26" fillId="0" borderId="9" xfId="0" applyFont="1" applyBorder="1" applyAlignment="1">
      <alignment horizontal="right"/>
    </xf>
    <xf numFmtId="0" fontId="26" fillId="0" borderId="6" xfId="0" applyFont="1" applyBorder="1" applyAlignment="1">
      <alignment horizontal="right"/>
    </xf>
    <xf numFmtId="0" fontId="26" fillId="0" borderId="10" xfId="0" applyFont="1" applyBorder="1" applyAlignment="1">
      <alignment horizontal="right"/>
    </xf>
    <xf numFmtId="0" fontId="19"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0" fontId="19" fillId="5" borderId="4" xfId="0" applyFont="1" applyFill="1" applyBorder="1" applyAlignment="1" applyProtection="1">
      <alignment wrapText="1"/>
      <protection locked="0"/>
    </xf>
    <xf numFmtId="175" fontId="0" fillId="5" borderId="4" xfId="0" applyNumberFormat="1" applyFill="1" applyBorder="1" applyAlignment="1" applyProtection="1">
      <alignment horizontal="left" vertical="center" wrapText="1"/>
      <protection locked="0"/>
    </xf>
    <xf numFmtId="172" fontId="26" fillId="0" borderId="11" xfId="0" applyNumberFormat="1" applyFont="1" applyBorder="1" applyAlignment="1">
      <alignment horizontal="center" vertical="center" wrapText="1"/>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3" fontId="28" fillId="5" borderId="11" xfId="0" applyNumberFormat="1" applyFont="1" applyFill="1" applyBorder="1" applyAlignment="1" applyProtection="1">
      <alignment horizontal="center"/>
      <protection locked="0"/>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157"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8"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0" fontId="28" fillId="0" borderId="3" xfId="0" applyFont="1" applyBorder="1" applyAlignment="1">
      <alignment horizontal="left"/>
    </xf>
    <xf numFmtId="171" fontId="19" fillId="0" borderId="0" xfId="543" applyNumberFormat="1" applyAlignment="1">
      <alignment horizontal="right"/>
    </xf>
    <xf numFmtId="0" fontId="26" fillId="0" borderId="2" xfId="0" applyFont="1" applyBorder="1" applyAlignment="1">
      <alignment horizontal="right"/>
    </xf>
    <xf numFmtId="0" fontId="26" fillId="0" borderId="7" xfId="0" applyFont="1" applyBorder="1" applyAlignment="1">
      <alignment horizontal="right"/>
    </xf>
    <xf numFmtId="9" fontId="19"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6"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8" fillId="0" borderId="11" xfId="0" applyFont="1" applyBorder="1" applyAlignment="1">
      <alignment horizontal="center"/>
    </xf>
    <xf numFmtId="0" fontId="26" fillId="0" borderId="0" xfId="0" applyFont="1" applyAlignment="1">
      <alignment horizontal="center" vertical="center"/>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8" fillId="5" borderId="6"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0" fontId="0" fillId="0" borderId="5" xfId="0" applyBorder="1" applyAlignment="1">
      <alignment horizontal="left"/>
    </xf>
    <xf numFmtId="0" fontId="0" fillId="0" borderId="6" xfId="0" applyBorder="1" applyAlignment="1">
      <alignment horizontal="center"/>
    </xf>
    <xf numFmtId="0" fontId="0" fillId="0" borderId="10" xfId="0" applyBorder="1" applyAlignment="1">
      <alignment horizontal="center"/>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8" fillId="5" borderId="4" xfId="0" applyNumberFormat="1" applyFont="1" applyFill="1" applyBorder="1" applyAlignment="1" applyProtection="1">
      <alignment horizontal="right"/>
      <protection locked="0"/>
    </xf>
    <xf numFmtId="0" fontId="27" fillId="43" borderId="6" xfId="0" applyFont="1" applyFill="1" applyBorder="1" applyAlignment="1" applyProtection="1">
      <alignment horizontal="left"/>
      <protection locked="0"/>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0" fontId="19"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28" fillId="5" borderId="11" xfId="0" applyFont="1" applyFill="1" applyBorder="1" applyAlignment="1" applyProtection="1">
      <alignment horizontal="center"/>
      <protection locked="0"/>
    </xf>
    <xf numFmtId="2" fontId="0" fillId="0" borderId="6" xfId="0" applyNumberFormat="1" applyBorder="1" applyAlignment="1">
      <alignment horizontal="center"/>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1" fontId="28" fillId="5" borderId="6" xfId="0" applyNumberFormat="1" applyFont="1" applyFill="1" applyBorder="1" applyAlignment="1" applyProtection="1">
      <alignment horizontal="right"/>
      <protection locked="0"/>
    </xf>
    <xf numFmtId="166" fontId="28" fillId="5" borderId="6" xfId="271" applyNumberFormat="1" applyFill="1" applyBorder="1" applyAlignment="1" applyProtection="1">
      <alignment horizontal="left"/>
      <protection locked="0"/>
    </xf>
    <xf numFmtId="166" fontId="28"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19" fillId="5" borderId="6" xfId="244" applyFont="1" applyFill="1" applyBorder="1" applyAlignment="1" applyProtection="1">
      <alignment horizontal="left"/>
      <protection locked="0"/>
    </xf>
    <xf numFmtId="0" fontId="28" fillId="0" borderId="6" xfId="0" applyFont="1" applyBorder="1" applyAlignment="1">
      <alignment horizontal="left"/>
    </xf>
    <xf numFmtId="0" fontId="0" fillId="0" borderId="0" xfId="0" applyAlignment="1">
      <alignment vertical="top" wrapText="1"/>
    </xf>
    <xf numFmtId="0" fontId="0" fillId="0" borderId="0" xfId="0" applyAlignment="1">
      <alignment wrapText="1"/>
    </xf>
    <xf numFmtId="0" fontId="19" fillId="0" borderId="0" xfId="271" applyFont="1" applyAlignment="1">
      <alignment horizontal="left" vertical="top" wrapText="1"/>
    </xf>
    <xf numFmtId="0" fontId="19"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9"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154" fillId="0" borderId="0" xfId="0" applyFont="1" applyAlignment="1" applyProtection="1">
      <alignment horizontal="left" vertical="top" wrapText="1"/>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9" fillId="5" borderId="0" xfId="244" applyFont="1" applyFill="1" applyBorder="1" applyAlignment="1" applyProtection="1">
      <alignment horizontal="left"/>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0" fillId="5" borderId="6" xfId="0" applyFill="1" applyBorder="1" applyProtection="1">
      <protection locked="0"/>
    </xf>
    <xf numFmtId="0" fontId="0" fillId="5" borderId="6" xfId="0" applyFill="1" applyBorder="1" applyAlignment="1" applyProtection="1">
      <alignment horizontal="right"/>
      <protection locked="0"/>
    </xf>
    <xf numFmtId="0" fontId="28" fillId="0" borderId="4" xfId="0" applyFont="1" applyBorder="1" applyAlignment="1" applyProtection="1">
      <alignment horizontal="left"/>
      <protection locked="0"/>
    </xf>
    <xf numFmtId="0" fontId="19" fillId="43" borderId="6" xfId="0" applyFont="1" applyFill="1" applyBorder="1" applyAlignment="1" applyProtection="1">
      <alignment vertical="center"/>
      <protection locked="0"/>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0" fontId="28" fillId="5" borderId="4" xfId="0" applyFont="1" applyFill="1" applyBorder="1" applyAlignment="1" applyProtection="1">
      <alignment horizontal="right"/>
      <protection locked="0"/>
    </xf>
    <xf numFmtId="168" fontId="28" fillId="5" borderId="4" xfId="0" applyNumberFormat="1" applyFont="1" applyFill="1" applyBorder="1" applyAlignment="1" applyProtection="1">
      <alignment horizontal="right"/>
      <protection locked="0"/>
    </xf>
    <xf numFmtId="1" fontId="28" fillId="5" borderId="11" xfId="0" quotePrefix="1" applyNumberFormat="1" applyFont="1" applyFill="1" applyBorder="1" applyAlignment="1" applyProtection="1">
      <alignment horizontal="center"/>
      <protection locked="0"/>
    </xf>
    <xf numFmtId="10" fontId="28" fillId="0" borderId="11" xfId="0" applyNumberFormat="1" applyFont="1" applyBorder="1" applyAlignment="1">
      <alignment horizontal="center"/>
    </xf>
    <xf numFmtId="168" fontId="0" fillId="43" borderId="6" xfId="0" applyNumberFormat="1" applyFill="1" applyBorder="1" applyAlignment="1" applyProtection="1">
      <alignment horizontal="righ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0" borderId="6" xfId="0" applyBorder="1" applyAlignment="1" applyProtection="1">
      <alignment horizontal="center"/>
      <protection locked="0"/>
    </xf>
    <xf numFmtId="0" fontId="0" fillId="0" borderId="12" xfId="0" applyBorder="1" applyAlignment="1">
      <alignment horizontal="center"/>
    </xf>
    <xf numFmtId="10" fontId="28"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6" fillId="0" borderId="9" xfId="0" applyFont="1" applyBorder="1" applyAlignment="1">
      <alignment horizontal="center"/>
    </xf>
    <xf numFmtId="0" fontId="38" fillId="5" borderId="6" xfId="0" applyFont="1" applyFill="1" applyBorder="1" applyAlignment="1" applyProtection="1">
      <alignment horizontal="left"/>
      <protection locked="0"/>
    </xf>
    <xf numFmtId="168" fontId="19" fillId="0" borderId="3" xfId="0" applyNumberFormat="1" applyFont="1" applyBorder="1" applyAlignment="1">
      <alignment horizontal="left" vertical="top"/>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26" fillId="0" borderId="10" xfId="0" applyFont="1" applyBorder="1" applyAlignment="1">
      <alignment horizontal="center"/>
    </xf>
    <xf numFmtId="3" fontId="28" fillId="0" borderId="11" xfId="0" applyNumberFormat="1" applyFont="1" applyBorder="1" applyAlignment="1">
      <alignment horizontal="center"/>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6" xfId="0" applyFont="1" applyBorder="1" applyAlignment="1">
      <alignment vertical="top" wrapText="1"/>
    </xf>
    <xf numFmtId="177" fontId="28" fillId="5" borderId="6" xfId="0" applyNumberFormat="1" applyFont="1" applyFill="1" applyBorder="1" applyAlignment="1" applyProtection="1">
      <alignment horizontal="left" vertical="top" wrapText="1"/>
      <protection locked="0"/>
    </xf>
    <xf numFmtId="0" fontId="28" fillId="0" borderId="2" xfId="0" applyFont="1" applyBorder="1" applyAlignment="1">
      <alignment vertical="top" wrapText="1"/>
    </xf>
    <xf numFmtId="0" fontId="55" fillId="0" borderId="0" xfId="0" applyFont="1" applyAlignment="1">
      <alignment vertical="top" wrapText="1"/>
    </xf>
    <xf numFmtId="0" fontId="28" fillId="0" borderId="2" xfId="0" applyFont="1" applyBorder="1" applyAlignment="1">
      <alignment horizontal="left" vertical="top" wrapText="1"/>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70" fillId="44" borderId="80" xfId="8736" applyFont="1" applyFill="1" applyBorder="1" applyAlignment="1">
      <alignment horizontal="left"/>
    </xf>
    <xf numFmtId="0" fontId="170" fillId="44" borderId="79" xfId="8736" applyFont="1" applyFill="1" applyBorder="1" applyAlignment="1">
      <alignment horizontal="left"/>
    </xf>
    <xf numFmtId="0" fontId="170" fillId="44" borderId="78" xfId="8736" applyFont="1" applyFill="1" applyBorder="1" applyAlignment="1">
      <alignment horizontal="left"/>
    </xf>
    <xf numFmtId="0" fontId="171" fillId="45" borderId="11" xfId="8736" applyFont="1" applyFill="1" applyBorder="1" applyAlignment="1">
      <alignment horizontal="right"/>
    </xf>
    <xf numFmtId="1" fontId="170" fillId="48" borderId="11" xfId="8736" applyNumberFormat="1" applyFont="1" applyFill="1" applyBorder="1" applyAlignment="1" applyProtection="1">
      <alignment horizontal="center"/>
      <protection locked="0"/>
    </xf>
    <xf numFmtId="0" fontId="182" fillId="51" borderId="65" xfId="8736" applyFont="1" applyFill="1" applyBorder="1" applyAlignment="1">
      <alignment horizontal="center"/>
    </xf>
    <xf numFmtId="0" fontId="182" fillId="51" borderId="29" xfId="8736" applyFont="1" applyFill="1" applyBorder="1" applyAlignment="1">
      <alignment horizontal="center"/>
    </xf>
    <xf numFmtId="0" fontId="182" fillId="51" borderId="31" xfId="8736" applyFont="1" applyFill="1" applyBorder="1" applyAlignment="1">
      <alignment horizontal="center"/>
    </xf>
    <xf numFmtId="0" fontId="167" fillId="48" borderId="66" xfId="8736" applyFont="1" applyFill="1" applyBorder="1" applyAlignment="1">
      <alignment horizontal="center"/>
    </xf>
    <xf numFmtId="0" fontId="167" fillId="48" borderId="0" xfId="8736" applyFont="1" applyFill="1" applyAlignment="1">
      <alignment horizontal="center"/>
    </xf>
    <xf numFmtId="0" fontId="167" fillId="48" borderId="41" xfId="8736" applyFont="1" applyFill="1" applyBorder="1" applyAlignment="1">
      <alignment horizontal="center"/>
    </xf>
    <xf numFmtId="0" fontId="167" fillId="45" borderId="3" xfId="8736" applyFont="1" applyFill="1" applyBorder="1" applyAlignment="1">
      <alignment horizontal="center"/>
    </xf>
    <xf numFmtId="0" fontId="167" fillId="45" borderId="4" xfId="8736" applyFont="1" applyFill="1" applyBorder="1" applyAlignment="1">
      <alignment horizontal="center"/>
    </xf>
    <xf numFmtId="0" fontId="167" fillId="45" borderId="5" xfId="8736" applyFont="1" applyFill="1" applyBorder="1" applyAlignment="1">
      <alignment horizontal="center"/>
    </xf>
    <xf numFmtId="0" fontId="177" fillId="45" borderId="11" xfId="8736" applyFont="1" applyFill="1" applyBorder="1" applyAlignment="1">
      <alignment horizontal="right"/>
    </xf>
    <xf numFmtId="14" fontId="170" fillId="48" borderId="11" xfId="8736" applyNumberFormat="1" applyFont="1" applyFill="1" applyBorder="1" applyAlignment="1" applyProtection="1">
      <alignment horizontal="center"/>
      <protection locked="0"/>
    </xf>
    <xf numFmtId="0" fontId="170" fillId="48" borderId="11" xfId="8736"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104" fillId="45" borderId="80" xfId="8736" applyFont="1" applyFill="1" applyBorder="1" applyAlignment="1">
      <alignment horizontal="center"/>
    </xf>
    <xf numFmtId="0" fontId="104" fillId="45" borderId="79" xfId="8736" applyFont="1" applyFill="1" applyBorder="1" applyAlignment="1">
      <alignment horizontal="center"/>
    </xf>
    <xf numFmtId="0" fontId="104" fillId="45" borderId="78" xfId="8736" applyFont="1" applyFill="1" applyBorder="1" applyAlignment="1">
      <alignment horizontal="center"/>
    </xf>
    <xf numFmtId="0" fontId="170" fillId="48" borderId="80" xfId="8736" applyFont="1" applyFill="1" applyBorder="1" applyAlignment="1" applyProtection="1">
      <alignment horizontal="center"/>
      <protection locked="0"/>
    </xf>
    <xf numFmtId="0" fontId="170" fillId="48" borderId="79" xfId="8736" applyFont="1" applyFill="1" applyBorder="1" applyAlignment="1" applyProtection="1">
      <alignment horizontal="center"/>
      <protection locked="0"/>
    </xf>
    <xf numFmtId="0" fontId="170" fillId="48" borderId="78" xfId="8736" applyFont="1" applyFill="1" applyBorder="1" applyAlignment="1" applyProtection="1">
      <alignment horizontal="center"/>
      <protection locked="0"/>
    </xf>
    <xf numFmtId="0" fontId="174" fillId="45" borderId="11" xfId="8736" applyFont="1" applyFill="1" applyBorder="1" applyAlignment="1">
      <alignment horizontal="right"/>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71" fillId="45" borderId="11" xfId="8736" applyFont="1" applyFill="1" applyBorder="1" applyAlignment="1">
      <alignment horizontal="right" wrapText="1"/>
    </xf>
    <xf numFmtId="14" fontId="170" fillId="48" borderId="11" xfId="8736" applyNumberFormat="1" applyFont="1" applyFill="1" applyBorder="1" applyAlignment="1" applyProtection="1">
      <alignment horizontal="center" vertical="center"/>
      <protection locked="0"/>
    </xf>
    <xf numFmtId="0" fontId="170" fillId="48" borderId="11" xfId="8736" applyFont="1" applyFill="1" applyBorder="1" applyAlignment="1" applyProtection="1">
      <alignment horizontal="center" vertical="center"/>
      <protection locked="0"/>
    </xf>
    <xf numFmtId="168" fontId="175" fillId="44" borderId="11" xfId="8737" applyNumberFormat="1" applyFont="1" applyFill="1" applyBorder="1" applyAlignment="1" applyProtection="1">
      <alignment horizontal="left"/>
    </xf>
    <xf numFmtId="0" fontId="104" fillId="45" borderId="80" xfId="8736" applyFont="1" applyFill="1" applyBorder="1" applyAlignment="1">
      <alignment horizontal="right"/>
    </xf>
    <xf numFmtId="0" fontId="104" fillId="45" borderId="79" xfId="8736" applyFont="1" applyFill="1" applyBorder="1" applyAlignment="1">
      <alignment horizontal="right"/>
    </xf>
    <xf numFmtId="0" fontId="10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67" fillId="45" borderId="93" xfId="8736" applyFont="1" applyFill="1" applyBorder="1" applyAlignment="1">
      <alignment horizontal="center"/>
    </xf>
    <xf numFmtId="0" fontId="167" fillId="45" borderId="92" xfId="8736" applyFont="1" applyFill="1" applyBorder="1" applyAlignment="1">
      <alignment horizontal="center"/>
    </xf>
    <xf numFmtId="0" fontId="167" fillId="45" borderId="91" xfId="8736" applyFont="1" applyFill="1" applyBorder="1" applyAlignment="1">
      <alignment horizontal="center"/>
    </xf>
    <xf numFmtId="0" fontId="174" fillId="45" borderId="97" xfId="8736" applyFont="1" applyFill="1" applyBorder="1" applyAlignment="1">
      <alignment horizontal="center"/>
    </xf>
    <xf numFmtId="0" fontId="174" fillId="45" borderId="2" xfId="8736" applyFont="1" applyFill="1" applyBorder="1" applyAlignment="1">
      <alignment horizontal="center"/>
    </xf>
    <xf numFmtId="0" fontId="174" fillId="45" borderId="7" xfId="8736" applyFont="1" applyFill="1" applyBorder="1" applyAlignment="1">
      <alignment horizontal="center"/>
    </xf>
    <xf numFmtId="0" fontId="174" fillId="45" borderId="3" xfId="8736" applyFont="1" applyFill="1" applyBorder="1" applyAlignment="1">
      <alignment horizontal="center"/>
    </xf>
    <xf numFmtId="0" fontId="174" fillId="45" borderId="4" xfId="8736" applyFont="1" applyFill="1" applyBorder="1" applyAlignment="1">
      <alignment horizontal="center"/>
    </xf>
    <xf numFmtId="0" fontId="174" fillId="45" borderId="5" xfId="8736" applyFont="1" applyFill="1" applyBorder="1" applyAlignment="1">
      <alignment horizontal="center"/>
    </xf>
    <xf numFmtId="0" fontId="174" fillId="45" borderId="81" xfId="8736" applyFont="1" applyFill="1" applyBorder="1" applyAlignment="1">
      <alignment horizontal="center"/>
    </xf>
    <xf numFmtId="9" fontId="173" fillId="48" borderId="90" xfId="8736" applyNumberFormat="1" applyFont="1" applyFill="1" applyBorder="1" applyAlignment="1" applyProtection="1">
      <alignment horizontal="center"/>
      <protection locked="0"/>
    </xf>
    <xf numFmtId="9" fontId="173" fillId="48" borderId="4" xfId="8736" applyNumberFormat="1" applyFont="1" applyFill="1" applyBorder="1" applyAlignment="1" applyProtection="1">
      <alignment horizontal="center"/>
      <protection locked="0"/>
    </xf>
    <xf numFmtId="9" fontId="173" fillId="48" borderId="5" xfId="8736" applyNumberFormat="1" applyFont="1" applyFill="1" applyBorder="1" applyAlignment="1" applyProtection="1">
      <alignment horizontal="center"/>
      <protection locked="0"/>
    </xf>
    <xf numFmtId="0" fontId="173" fillId="44" borderId="3" xfId="8736" applyFont="1" applyFill="1" applyBorder="1" applyAlignment="1">
      <alignment horizontal="center"/>
    </xf>
    <xf numFmtId="0" fontId="173" fillId="44" borderId="4" xfId="8736" applyFont="1" applyFill="1" applyBorder="1" applyAlignment="1">
      <alignment horizontal="center"/>
    </xf>
    <xf numFmtId="0" fontId="173" fillId="44" borderId="5" xfId="8736" applyFont="1" applyFill="1" applyBorder="1" applyAlignment="1">
      <alignment horizontal="center"/>
    </xf>
    <xf numFmtId="10" fontId="174" fillId="44" borderId="3" xfId="8736" applyNumberFormat="1" applyFont="1" applyFill="1" applyBorder="1" applyAlignment="1">
      <alignment horizontal="center"/>
    </xf>
    <xf numFmtId="10" fontId="174" fillId="44" borderId="4" xfId="8736" applyNumberFormat="1" applyFont="1" applyFill="1" applyBorder="1" applyAlignment="1">
      <alignment horizontal="center"/>
    </xf>
    <xf numFmtId="10" fontId="174" fillId="44" borderId="81" xfId="8736" applyNumberFormat="1" applyFont="1" applyFill="1" applyBorder="1" applyAlignment="1">
      <alignment horizontal="center"/>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5" xfId="8736" applyFont="1" applyFill="1" applyBorder="1" applyAlignment="1" applyProtection="1">
      <alignment horizontal="center"/>
      <protection locked="0"/>
    </xf>
    <xf numFmtId="0" fontId="174" fillId="44" borderId="87"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0" fontId="173" fillId="44" borderId="94"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10" fontId="174" fillId="44" borderId="94" xfId="8736" applyNumberFormat="1" applyFont="1" applyFill="1" applyBorder="1" applyAlignment="1">
      <alignment horizontal="center"/>
    </xf>
    <xf numFmtId="10" fontId="174" fillId="44" borderId="86" xfId="8736" applyNumberFormat="1" applyFont="1" applyFill="1" applyBorder="1" applyAlignment="1">
      <alignment horizontal="center"/>
    </xf>
    <xf numFmtId="10" fontId="174" fillId="44" borderId="85" xfId="8736" applyNumberFormat="1" applyFont="1" applyFill="1" applyBorder="1" applyAlignment="1">
      <alignment horizontal="center"/>
    </xf>
    <xf numFmtId="0" fontId="174" fillId="44" borderId="101" xfId="8736" applyFont="1" applyFill="1" applyBorder="1" applyAlignment="1">
      <alignment horizontal="center"/>
    </xf>
    <xf numFmtId="0" fontId="174" fillId="44" borderId="42" xfId="8736" applyFont="1" applyFill="1" applyBorder="1" applyAlignment="1">
      <alignment horizontal="center"/>
    </xf>
    <xf numFmtId="0" fontId="174" fillId="44" borderId="96" xfId="8736"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6" fillId="45" borderId="98"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72" xfId="8736" applyFont="1" applyFill="1" applyBorder="1" applyAlignment="1">
      <alignment horizontal="center" vertical="center"/>
    </xf>
    <xf numFmtId="0" fontId="166" fillId="45" borderId="11" xfId="8736" applyFont="1" applyFill="1" applyBorder="1" applyAlignment="1">
      <alignment horizontal="center" vertical="center"/>
    </xf>
    <xf numFmtId="0" fontId="174" fillId="45" borderId="13" xfId="8736" applyFont="1" applyFill="1" applyBorder="1" applyAlignment="1">
      <alignment horizontal="center" vertical="center" wrapText="1"/>
    </xf>
    <xf numFmtId="0" fontId="174" fillId="45" borderId="13" xfId="8736" applyFont="1" applyFill="1" applyBorder="1" applyAlignment="1">
      <alignment horizontal="center" vertical="center"/>
    </xf>
    <xf numFmtId="0" fontId="174" fillId="45" borderId="11" xfId="8736" applyFont="1" applyFill="1" applyBorder="1" applyAlignment="1">
      <alignment horizontal="center" vertical="center"/>
    </xf>
    <xf numFmtId="0" fontId="174" fillId="45" borderId="9" xfId="8736" applyFont="1" applyFill="1" applyBorder="1" applyAlignment="1">
      <alignment horizontal="center" vertical="center"/>
    </xf>
    <xf numFmtId="0" fontId="174" fillId="45" borderId="3" xfId="8736" applyFont="1" applyFill="1" applyBorder="1" applyAlignment="1">
      <alignment horizontal="center" vertic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6" fillId="45" borderId="65" xfId="8736" applyFont="1" applyFill="1" applyBorder="1" applyAlignment="1">
      <alignment horizontal="center" vertical="center" wrapText="1"/>
    </xf>
    <xf numFmtId="0" fontId="166" fillId="45" borderId="29" xfId="8736" applyFont="1" applyFill="1" applyBorder="1" applyAlignment="1">
      <alignment horizontal="center" vertical="center" wrapText="1"/>
    </xf>
    <xf numFmtId="0" fontId="166" fillId="45" borderId="31" xfId="8736" applyFont="1" applyFill="1" applyBorder="1" applyAlignment="1">
      <alignment horizontal="center" vertical="center" wrapText="1"/>
    </xf>
    <xf numFmtId="0" fontId="166" fillId="45" borderId="73" xfId="8736" applyFont="1" applyFill="1" applyBorder="1" applyAlignment="1">
      <alignment horizontal="center" vertical="center" wrapText="1"/>
    </xf>
    <xf numFmtId="0" fontId="166" fillId="45" borderId="42" xfId="8736" applyFont="1" applyFill="1" applyBorder="1" applyAlignment="1">
      <alignment horizontal="center" vertical="center" wrapText="1"/>
    </xf>
    <xf numFmtId="0" fontId="166" fillId="45" borderId="44" xfId="8736" applyFont="1" applyFill="1" applyBorder="1" applyAlignment="1">
      <alignment horizontal="center" vertical="center" wrapText="1"/>
    </xf>
    <xf numFmtId="9" fontId="174" fillId="48" borderId="13" xfId="8736" applyNumberFormat="1" applyFont="1" applyFill="1" applyBorder="1" applyAlignment="1" applyProtection="1">
      <alignment horizontal="center"/>
      <protection locked="0"/>
    </xf>
    <xf numFmtId="0" fontId="174" fillId="44" borderId="73" xfId="8736" applyFont="1" applyFill="1" applyBorder="1" applyAlignment="1">
      <alignment horizontal="center"/>
    </xf>
    <xf numFmtId="0" fontId="166" fillId="44" borderId="9" xfId="8736" applyFont="1" applyFill="1" applyBorder="1" applyAlignment="1">
      <alignment horizontal="center"/>
    </xf>
    <xf numFmtId="0" fontId="166" fillId="44" borderId="6" xfId="8736" applyFont="1" applyFill="1" applyBorder="1" applyAlignment="1">
      <alignment horizontal="center"/>
    </xf>
    <xf numFmtId="0" fontId="166" fillId="44" borderId="82" xfId="8736" applyFont="1" applyFill="1" applyBorder="1" applyAlignment="1">
      <alignment horizontal="center"/>
    </xf>
    <xf numFmtId="9" fontId="174" fillId="48" borderId="9" xfId="8736" applyNumberFormat="1" applyFont="1" applyFill="1" applyBorder="1" applyAlignment="1" applyProtection="1">
      <alignment horizontal="center"/>
      <protection locked="0"/>
    </xf>
    <xf numFmtId="9" fontId="174" fillId="48" borderId="6" xfId="8736" applyNumberFormat="1" applyFont="1" applyFill="1" applyBorder="1" applyAlignment="1" applyProtection="1">
      <alignment horizontal="center"/>
      <protection locked="0"/>
    </xf>
    <xf numFmtId="9" fontId="174" fillId="48" borderId="10" xfId="8736" applyNumberFormat="1" applyFont="1" applyFill="1" applyBorder="1" applyAlignment="1" applyProtection="1">
      <alignment horizontal="center"/>
      <protection locked="0"/>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0" fontId="166" fillId="44" borderId="10" xfId="8736" applyFont="1" applyFill="1" applyBorder="1" applyAlignment="1">
      <alignment horizontal="center"/>
    </xf>
    <xf numFmtId="1" fontId="178" fillId="48" borderId="3" xfId="8736" applyNumberFormat="1" applyFont="1" applyFill="1" applyBorder="1" applyAlignment="1" applyProtection="1">
      <alignment horizontal="center"/>
      <protection locked="0"/>
    </xf>
    <xf numFmtId="1" fontId="178" fillId="48" borderId="4" xfId="8736" applyNumberFormat="1" applyFont="1" applyFill="1" applyBorder="1" applyAlignment="1" applyProtection="1">
      <alignment horizontal="center"/>
      <protection locked="0"/>
    </xf>
    <xf numFmtId="1" fontId="178" fillId="48" borderId="5" xfId="8736" applyNumberFormat="1" applyFont="1" applyFill="1" applyBorder="1" applyAlignment="1" applyProtection="1">
      <alignment horizontal="center"/>
      <protection locked="0"/>
    </xf>
    <xf numFmtId="1" fontId="166" fillId="44" borderId="3" xfId="8736" applyNumberFormat="1" applyFont="1" applyFill="1" applyBorder="1" applyAlignment="1">
      <alignment horizontal="center"/>
    </xf>
    <xf numFmtId="1" fontId="166" fillId="44" borderId="4" xfId="8736" applyNumberFormat="1" applyFont="1" applyFill="1" applyBorder="1" applyAlignment="1">
      <alignment horizontal="center"/>
    </xf>
    <xf numFmtId="1" fontId="166" fillId="44" borderId="5" xfId="8736" applyNumberFormat="1" applyFont="1" applyFill="1" applyBorder="1" applyAlignment="1">
      <alignment horizontal="center"/>
    </xf>
    <xf numFmtId="9" fontId="166" fillId="44" borderId="3" xfId="8738" applyFont="1" applyFill="1" applyBorder="1" applyAlignment="1">
      <alignment horizontal="center"/>
    </xf>
    <xf numFmtId="9" fontId="166" fillId="44" borderId="4" xfId="8738" applyFont="1" applyFill="1" applyBorder="1" applyAlignment="1">
      <alignment horizontal="center"/>
    </xf>
    <xf numFmtId="9" fontId="166" fillId="44" borderId="81" xfId="8738" applyFont="1" applyFill="1" applyBorder="1" applyAlignment="1">
      <alignment horizontal="center"/>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0" fontId="178" fillId="48" borderId="11" xfId="8736" applyFont="1" applyFill="1" applyBorder="1" applyAlignment="1" applyProtection="1">
      <alignment horizontal="center"/>
      <protection locked="0"/>
    </xf>
    <xf numFmtId="1" fontId="178" fillId="48" borderId="11" xfId="8736" applyNumberFormat="1" applyFont="1" applyFill="1" applyBorder="1" applyAlignment="1" applyProtection="1">
      <alignment horizontal="center"/>
      <protection locked="0"/>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0" fontId="173" fillId="48" borderId="69" xfId="8736" applyFont="1" applyFill="1" applyBorder="1" applyAlignment="1" applyProtection="1">
      <alignment horizontal="right"/>
      <protection locked="0"/>
    </xf>
    <xf numFmtId="0" fontId="173" fillId="48" borderId="70" xfId="8736" applyFont="1" applyFill="1" applyBorder="1" applyAlignment="1" applyProtection="1">
      <alignment horizontal="right"/>
      <protection locked="0"/>
    </xf>
    <xf numFmtId="0" fontId="178" fillId="48" borderId="70" xfId="8736" applyFont="1" applyFill="1" applyBorder="1" applyAlignment="1" applyProtection="1">
      <alignment horizontal="center"/>
      <protection locked="0"/>
    </xf>
    <xf numFmtId="1" fontId="178" fillId="48" borderId="70" xfId="8736" applyNumberFormat="1" applyFont="1" applyFill="1" applyBorder="1" applyAlignment="1" applyProtection="1">
      <alignment horizontal="center"/>
      <protection locked="0"/>
    </xf>
    <xf numFmtId="9" fontId="166" fillId="44" borderId="94" xfId="8738" applyFont="1" applyFill="1" applyBorder="1" applyAlignment="1">
      <alignment horizontal="center"/>
    </xf>
    <xf numFmtId="9" fontId="166" fillId="44" borderId="86" xfId="8738" applyFont="1" applyFill="1" applyBorder="1" applyAlignment="1">
      <alignment horizontal="center"/>
    </xf>
    <xf numFmtId="9" fontId="166" fillId="44" borderId="85" xfId="8738" applyFont="1" applyFill="1" applyBorder="1" applyAlignment="1">
      <alignment horizontal="center"/>
    </xf>
    <xf numFmtId="1" fontId="178" fillId="48" borderId="94" xfId="8736" applyNumberFormat="1" applyFont="1" applyFill="1" applyBorder="1" applyAlignment="1" applyProtection="1">
      <alignment horizontal="center"/>
      <protection locked="0"/>
    </xf>
    <xf numFmtId="1" fontId="178" fillId="48" borderId="86" xfId="8736" applyNumberFormat="1" applyFont="1" applyFill="1" applyBorder="1" applyAlignment="1" applyProtection="1">
      <alignment horizontal="center"/>
      <protection locked="0"/>
    </xf>
    <xf numFmtId="1" fontId="178" fillId="48" borderId="95" xfId="8736" applyNumberFormat="1" applyFont="1" applyFill="1" applyBorder="1" applyAlignment="1" applyProtection="1">
      <alignment horizontal="center"/>
      <protection locked="0"/>
    </xf>
    <xf numFmtId="0" fontId="167" fillId="45" borderId="67" xfId="8736" applyFont="1" applyFill="1" applyBorder="1" applyAlignment="1">
      <alignment horizontal="center"/>
    </xf>
    <xf numFmtId="0" fontId="167" fillId="45" borderId="68" xfId="8736" applyFont="1" applyFill="1" applyBorder="1" applyAlignment="1">
      <alignment horizontal="center"/>
    </xf>
    <xf numFmtId="0" fontId="167" fillId="45" borderId="71" xfId="8736" applyFont="1" applyFill="1" applyBorder="1" applyAlignment="1">
      <alignment horizontal="center"/>
    </xf>
    <xf numFmtId="0" fontId="174" fillId="45" borderId="72" xfId="8736" applyFont="1" applyFill="1" applyBorder="1" applyAlignment="1">
      <alignment horizontal="center"/>
    </xf>
    <xf numFmtId="0" fontId="174" fillId="45" borderId="11" xfId="8736" applyFont="1" applyFill="1" applyBorder="1" applyAlignment="1">
      <alignment horizontal="center"/>
    </xf>
    <xf numFmtId="0" fontId="166" fillId="45" borderId="11" xfId="8736" applyFont="1" applyFill="1" applyBorder="1" applyAlignment="1">
      <alignment horizontal="center" vertical="center" wrapText="1"/>
    </xf>
    <xf numFmtId="0" fontId="166" fillId="45" borderId="76" xfId="8736" applyFont="1" applyFill="1" applyBorder="1" applyAlignment="1">
      <alignment horizontal="center" vertical="center" wrapText="1"/>
    </xf>
    <xf numFmtId="0" fontId="173" fillId="48" borderId="11" xfId="8736" applyFont="1" applyFill="1" applyBorder="1" applyAlignment="1" applyProtection="1">
      <alignment horizontal="center"/>
      <protection locked="0"/>
    </xf>
    <xf numFmtId="168" fontId="173" fillId="48" borderId="11" xfId="8737" applyNumberFormat="1" applyFont="1" applyFill="1" applyBorder="1" applyAlignment="1" applyProtection="1">
      <alignment horizontal="center"/>
      <protection locked="0"/>
    </xf>
    <xf numFmtId="1" fontId="173" fillId="48" borderId="11" xfId="8736"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0" fontId="167" fillId="45" borderId="65" xfId="8736" applyFont="1" applyFill="1" applyBorder="1" applyAlignment="1">
      <alignment horizontal="center"/>
    </xf>
    <xf numFmtId="0" fontId="167" fillId="45" borderId="29" xfId="8736" applyFont="1" applyFill="1" applyBorder="1" applyAlignment="1">
      <alignment horizontal="center"/>
    </xf>
    <xf numFmtId="0" fontId="167" fillId="45" borderId="31" xfId="8736" applyFont="1" applyFill="1" applyBorder="1" applyAlignment="1">
      <alignment horizontal="center"/>
    </xf>
    <xf numFmtId="0" fontId="173" fillId="44" borderId="72" xfId="8736" applyFont="1" applyFill="1" applyBorder="1" applyAlignment="1" applyProtection="1">
      <alignment horizontal="right"/>
      <protection locked="0"/>
    </xf>
    <xf numFmtId="0" fontId="173" fillId="44" borderId="11" xfId="8736" applyFont="1" applyFill="1" applyBorder="1" applyAlignment="1" applyProtection="1">
      <alignment horizontal="right"/>
      <protection locked="0"/>
    </xf>
    <xf numFmtId="0" fontId="173" fillId="44" borderId="76" xfId="8736" applyFont="1" applyFill="1" applyBorder="1" applyAlignment="1" applyProtection="1">
      <alignment horizontal="right"/>
      <protection locked="0"/>
    </xf>
    <xf numFmtId="0" fontId="173" fillId="48" borderId="5" xfId="8736" applyFont="1" applyFill="1" applyBorder="1" applyAlignment="1" applyProtection="1">
      <alignment horizontal="left"/>
      <protection locked="0"/>
    </xf>
    <xf numFmtId="0" fontId="173" fillId="48" borderId="11" xfId="8736" applyFont="1" applyFill="1" applyBorder="1" applyAlignment="1" applyProtection="1">
      <alignment horizontal="left"/>
      <protection locked="0"/>
    </xf>
    <xf numFmtId="0" fontId="173" fillId="48" borderId="76" xfId="8736" applyFont="1" applyFill="1" applyBorder="1" applyAlignment="1" applyProtection="1">
      <alignment horizontal="left"/>
      <protection locked="0"/>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168" fontId="174" fillId="45" borderId="70" xfId="8737" applyNumberFormat="1" applyFont="1" applyFill="1" applyBorder="1" applyAlignment="1">
      <alignment horizontal="center"/>
    </xf>
    <xf numFmtId="1" fontId="174" fillId="45" borderId="70" xfId="8737" applyNumberFormat="1" applyFont="1" applyFill="1" applyBorder="1" applyAlignment="1">
      <alignment horizontal="center"/>
    </xf>
    <xf numFmtId="0" fontId="174" fillId="45" borderId="70" xfId="8737" applyNumberFormat="1" applyFont="1" applyFill="1" applyBorder="1" applyAlignment="1">
      <alignment horizontal="center"/>
    </xf>
    <xf numFmtId="0" fontId="174" fillId="45" borderId="77" xfId="8737" applyNumberFormat="1" applyFont="1" applyFill="1" applyBorder="1" applyAlignment="1">
      <alignment horizontal="center"/>
    </xf>
    <xf numFmtId="0" fontId="170" fillId="48" borderId="74" xfId="8736" applyFont="1" applyFill="1" applyBorder="1" applyAlignment="1" applyProtection="1">
      <alignment horizontal="left"/>
      <protection locked="0"/>
    </xf>
    <xf numFmtId="0" fontId="170" fillId="48" borderId="68" xfId="8736" applyFont="1" applyFill="1" applyBorder="1" applyAlignment="1" applyProtection="1">
      <alignment horizontal="left"/>
      <protection locked="0"/>
    </xf>
    <xf numFmtId="0" fontId="170" fillId="48" borderId="71" xfId="8736" applyFont="1" applyFill="1" applyBorder="1" applyAlignment="1" applyProtection="1">
      <alignment horizontal="left"/>
      <protection locked="0"/>
    </xf>
    <xf numFmtId="0" fontId="167" fillId="45" borderId="72" xfId="8736" applyFont="1" applyFill="1" applyBorder="1" applyAlignment="1">
      <alignment horizontal="center"/>
    </xf>
    <xf numFmtId="0" fontId="167" fillId="45" borderId="11" xfId="8736" applyFont="1" applyFill="1" applyBorder="1" applyAlignment="1">
      <alignment horizontal="center"/>
    </xf>
    <xf numFmtId="0" fontId="167" fillId="45" borderId="81" xfId="8736" applyFont="1" applyFill="1" applyBorder="1" applyAlignment="1">
      <alignment horizontal="center"/>
    </xf>
    <xf numFmtId="0" fontId="104" fillId="45" borderId="69" xfId="8736" applyFont="1" applyFill="1" applyBorder="1" applyAlignment="1">
      <alignment horizontal="center"/>
    </xf>
    <xf numFmtId="0" fontId="104" fillId="45" borderId="70" xfId="8736" applyFont="1" applyFill="1" applyBorder="1" applyAlignment="1">
      <alignment horizontal="center"/>
    </xf>
    <xf numFmtId="0" fontId="173" fillId="44" borderId="69" xfId="8736" applyFont="1" applyFill="1" applyBorder="1" applyAlignment="1" applyProtection="1">
      <alignment horizontal="right"/>
      <protection locked="0"/>
    </xf>
    <xf numFmtId="0" fontId="173" fillId="44" borderId="70" xfId="8736" applyFont="1" applyFill="1" applyBorder="1" applyAlignment="1" applyProtection="1">
      <alignment horizontal="right"/>
      <protection locked="0"/>
    </xf>
    <xf numFmtId="0" fontId="173" fillId="44" borderId="77" xfId="8736" applyFont="1" applyFill="1" applyBorder="1" applyAlignment="1" applyProtection="1">
      <alignment horizontal="right"/>
      <protection locked="0"/>
    </xf>
    <xf numFmtId="0" fontId="173" fillId="48" borderId="95" xfId="8736" applyFont="1" applyFill="1" applyBorder="1" applyAlignment="1" applyProtection="1">
      <alignment horizontal="left"/>
      <protection locked="0"/>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168" fontId="175" fillId="48" borderId="11" xfId="700" applyNumberFormat="1" applyFont="1" applyFill="1" applyBorder="1" applyAlignment="1" applyProtection="1">
      <alignment horizontal="left"/>
      <protection locked="0"/>
    </xf>
    <xf numFmtId="168" fontId="175" fillId="48" borderId="76" xfId="700" applyNumberFormat="1" applyFont="1" applyFill="1" applyBorder="1" applyAlignment="1" applyProtection="1">
      <alignment horizontal="left"/>
      <protection locked="0"/>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7" fillId="45" borderId="69" xfId="8736" applyFont="1" applyFill="1" applyBorder="1" applyAlignment="1">
      <alignment horizontal="center"/>
    </xf>
    <xf numFmtId="0" fontId="167" fillId="45" borderId="70" xfId="8736" applyFont="1" applyFill="1" applyBorder="1" applyAlignment="1">
      <alignment horizontal="center"/>
    </xf>
    <xf numFmtId="0" fontId="104" fillId="45" borderId="67" xfId="8736" applyFont="1" applyFill="1" applyBorder="1" applyAlignment="1">
      <alignment horizontal="center"/>
    </xf>
    <xf numFmtId="0" fontId="104" fillId="45" borderId="68" xfId="8736" applyFont="1" applyFill="1" applyBorder="1" applyAlignment="1">
      <alignment horizontal="center"/>
    </xf>
    <xf numFmtId="0" fontId="167" fillId="45" borderId="98" xfId="8736" applyFont="1" applyFill="1" applyBorder="1" applyAlignment="1">
      <alignment horizontal="center"/>
    </xf>
    <xf numFmtId="0" fontId="167" fillId="45" borderId="13" xfId="8736" applyFont="1" applyFill="1" applyBorder="1" applyAlignment="1">
      <alignment horizontal="center"/>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0" fontId="173" fillId="48" borderId="72" xfId="8736" applyFont="1" applyFill="1" applyBorder="1" applyAlignment="1" applyProtection="1">
      <alignment horizontal="center"/>
      <protection locked="0"/>
    </xf>
    <xf numFmtId="0" fontId="167" fillId="45" borderId="89" xfId="8736" applyFont="1" applyFill="1" applyBorder="1" applyAlignment="1">
      <alignment horizontal="right"/>
    </xf>
    <xf numFmtId="0" fontId="167" fillId="45" borderId="43" xfId="8736" applyFont="1" applyFill="1" applyBorder="1" applyAlignment="1">
      <alignment horizontal="right"/>
    </xf>
    <xf numFmtId="168" fontId="167" fillId="45" borderId="43" xfId="8736" applyNumberFormat="1" applyFont="1" applyFill="1" applyBorder="1" applyAlignment="1">
      <alignment horizontal="left"/>
    </xf>
    <xf numFmtId="168" fontId="167" fillId="45" borderId="88" xfId="8736" applyNumberFormat="1" applyFont="1" applyFill="1" applyBorder="1" applyAlignment="1">
      <alignment horizontal="left"/>
    </xf>
    <xf numFmtId="0" fontId="3" fillId="48" borderId="9" xfId="8736"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104" fillId="45" borderId="67" xfId="8736" applyFont="1" applyFill="1" applyBorder="1" applyAlignment="1">
      <alignment horizontal="center" wrapText="1"/>
    </xf>
    <xf numFmtId="0" fontId="104" fillId="45" borderId="68" xfId="8736" applyFont="1" applyFill="1" applyBorder="1" applyAlignment="1">
      <alignment horizontal="center" wrapText="1"/>
    </xf>
    <xf numFmtId="0" fontId="104" fillId="45" borderId="71" xfId="8736" applyFont="1" applyFill="1" applyBorder="1" applyAlignment="1">
      <alignment horizontal="center" wrapText="1"/>
    </xf>
    <xf numFmtId="0" fontId="104" fillId="45" borderId="67" xfId="8736" applyFont="1" applyFill="1" applyBorder="1" applyAlignment="1">
      <alignment horizontal="left" wrapText="1"/>
    </xf>
    <xf numFmtId="0" fontId="104" fillId="45" borderId="68" xfId="8736" applyFont="1" applyFill="1" applyBorder="1" applyAlignment="1">
      <alignment horizontal="left" wrapText="1"/>
    </xf>
    <xf numFmtId="0" fontId="104" fillId="45" borderId="72" xfId="8736" applyFont="1" applyFill="1" applyBorder="1" applyAlignment="1">
      <alignment horizontal="left" wrapText="1"/>
    </xf>
    <xf numFmtId="0" fontId="104" fillId="45" borderId="11" xfId="8736" applyFont="1" applyFill="1" applyBorder="1" applyAlignment="1">
      <alignment horizontal="left" wrapText="1"/>
    </xf>
    <xf numFmtId="0" fontId="170" fillId="48" borderId="68" xfId="8736" applyFont="1" applyFill="1" applyBorder="1" applyAlignment="1" applyProtection="1">
      <alignment horizontal="left" wrapText="1"/>
      <protection locked="0"/>
    </xf>
    <xf numFmtId="0" fontId="170" fillId="48" borderId="71" xfId="8736" applyFont="1" applyFill="1" applyBorder="1" applyAlignment="1" applyProtection="1">
      <alignment horizontal="left" wrapText="1"/>
      <protection locked="0"/>
    </xf>
    <xf numFmtId="0" fontId="170" fillId="48" borderId="11" xfId="8736" applyFont="1" applyFill="1" applyBorder="1" applyAlignment="1" applyProtection="1">
      <alignment horizontal="left" wrapText="1"/>
      <protection locked="0"/>
    </xf>
    <xf numFmtId="0" fontId="170" fillId="48" borderId="76" xfId="8736" applyFont="1" applyFill="1" applyBorder="1" applyAlignment="1" applyProtection="1">
      <alignment horizontal="left" wrapText="1"/>
      <protection locked="0"/>
    </xf>
    <xf numFmtId="0" fontId="174" fillId="45" borderId="11" xfId="8736" applyFont="1" applyFill="1" applyBorder="1" applyAlignment="1">
      <alignment horizontal="center" wrapText="1"/>
    </xf>
    <xf numFmtId="0" fontId="166" fillId="45" borderId="11" xfId="8736" applyFont="1" applyFill="1" applyBorder="1" applyAlignment="1">
      <alignment horizontal="center"/>
    </xf>
    <xf numFmtId="0" fontId="166" fillId="45" borderId="76" xfId="8736" applyFont="1" applyFill="1" applyBorder="1" applyAlignment="1">
      <alignment horizontal="center"/>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70" fillId="48" borderId="3" xfId="8736" applyFont="1" applyFill="1" applyBorder="1" applyAlignment="1" applyProtection="1">
      <alignment horizontal="center"/>
      <protection locked="0"/>
    </xf>
    <xf numFmtId="0" fontId="170" fillId="48" borderId="4" xfId="8736" applyFont="1" applyFill="1" applyBorder="1" applyAlignment="1" applyProtection="1">
      <alignment horizontal="center"/>
      <protection locked="0"/>
    </xf>
    <xf numFmtId="0" fontId="170" fillId="48" borderId="81" xfId="8736" applyFont="1" applyFill="1" applyBorder="1" applyAlignment="1" applyProtection="1">
      <alignment horizontal="center"/>
      <protection locked="0"/>
    </xf>
    <xf numFmtId="0" fontId="104" fillId="45" borderId="71" xfId="8736" applyFont="1" applyFill="1" applyBorder="1" applyAlignment="1">
      <alignment horizontal="center"/>
    </xf>
    <xf numFmtId="0" fontId="104" fillId="45" borderId="67" xfId="8736" applyFont="1" applyFill="1" applyBorder="1" applyAlignment="1" applyProtection="1">
      <alignment horizontal="left" vertical="center" wrapText="1"/>
      <protection locked="0"/>
    </xf>
    <xf numFmtId="0" fontId="104" fillId="45" borderId="68" xfId="8736" applyFont="1" applyFill="1" applyBorder="1" applyAlignment="1" applyProtection="1">
      <alignment horizontal="left" vertical="center" wrapText="1"/>
      <protection locked="0"/>
    </xf>
    <xf numFmtId="0" fontId="104" fillId="45" borderId="72" xfId="8736" applyFont="1" applyFill="1" applyBorder="1" applyAlignment="1" applyProtection="1">
      <alignment horizontal="left" vertical="center" wrapText="1"/>
      <protection locked="0"/>
    </xf>
    <xf numFmtId="0" fontId="104" fillId="45" borderId="11" xfId="8736" applyFont="1" applyFill="1" applyBorder="1" applyAlignment="1" applyProtection="1">
      <alignment horizontal="left" vertical="center" wrapText="1"/>
      <protection locked="0"/>
    </xf>
    <xf numFmtId="0" fontId="170" fillId="48" borderId="68" xfId="8736" applyFont="1" applyFill="1" applyBorder="1" applyAlignment="1" applyProtection="1">
      <alignment horizontal="left" vertical="center" wrapText="1"/>
      <protection locked="0"/>
    </xf>
    <xf numFmtId="0" fontId="170" fillId="48" borderId="71" xfId="8736" applyFont="1" applyFill="1" applyBorder="1" applyAlignment="1" applyProtection="1">
      <alignment horizontal="left" vertical="center" wrapText="1"/>
      <protection locked="0"/>
    </xf>
    <xf numFmtId="0" fontId="170" fillId="48" borderId="11" xfId="8736" applyFont="1" applyFill="1" applyBorder="1" applyAlignment="1" applyProtection="1">
      <alignment horizontal="left" vertical="center" wrapText="1"/>
      <protection locked="0"/>
    </xf>
    <xf numFmtId="0" fontId="170" fillId="48" borderId="76" xfId="8736" applyFont="1" applyFill="1" applyBorder="1" applyAlignment="1" applyProtection="1">
      <alignment horizontal="left" vertical="center" wrapText="1"/>
      <protection locked="0"/>
    </xf>
    <xf numFmtId="0" fontId="173" fillId="48" borderId="72" xfId="8736" applyFont="1" applyFill="1" applyBorder="1" applyAlignment="1" applyProtection="1">
      <alignment horizontal="left" vertical="top" wrapText="1"/>
      <protection locked="0"/>
    </xf>
    <xf numFmtId="0" fontId="173" fillId="48" borderId="11" xfId="8736" applyFont="1" applyFill="1" applyBorder="1" applyAlignment="1" applyProtection="1">
      <alignment horizontal="left" vertical="top" wrapText="1"/>
      <protection locked="0"/>
    </xf>
    <xf numFmtId="0" fontId="173" fillId="48" borderId="69" xfId="8736" applyFont="1" applyFill="1" applyBorder="1" applyAlignment="1" applyProtection="1">
      <alignment horizontal="left" vertical="top" wrapText="1"/>
      <protection locked="0"/>
    </xf>
    <xf numFmtId="0" fontId="173" fillId="48" borderId="70" xfId="8736" applyFont="1" applyFill="1" applyBorder="1" applyAlignment="1" applyProtection="1">
      <alignment horizontal="left" vertical="top" wrapText="1"/>
      <protection locked="0"/>
    </xf>
    <xf numFmtId="0" fontId="170" fillId="48" borderId="11" xfId="8736" applyFont="1" applyFill="1" applyBorder="1" applyAlignment="1" applyProtection="1">
      <alignment horizontal="center" vertical="center" wrapText="1"/>
      <protection locked="0"/>
    </xf>
    <xf numFmtId="0" fontId="170" fillId="48" borderId="76" xfId="8736" applyFont="1" applyFill="1" applyBorder="1" applyAlignment="1" applyProtection="1">
      <alignment horizontal="center" vertical="center" wrapText="1"/>
      <protection locked="0"/>
    </xf>
    <xf numFmtId="0" fontId="170" fillId="48" borderId="70" xfId="8736" applyFont="1" applyFill="1" applyBorder="1" applyAlignment="1" applyProtection="1">
      <alignment horizontal="center" vertical="center" wrapText="1"/>
      <protection locked="0"/>
    </xf>
    <xf numFmtId="0" fontId="170" fillId="48" borderId="77" xfId="8736" applyFont="1" applyFill="1" applyBorder="1" applyAlignment="1" applyProtection="1">
      <alignment horizontal="center" vertical="center" wrapText="1"/>
      <protection locked="0"/>
    </xf>
    <xf numFmtId="0" fontId="177" fillId="45" borderId="72" xfId="8736" applyFont="1" applyFill="1" applyBorder="1" applyAlignment="1">
      <alignment horizontal="left"/>
    </xf>
    <xf numFmtId="0" fontId="177" fillId="45" borderId="11" xfId="8736" applyFont="1" applyFill="1" applyBorder="1" applyAlignment="1">
      <alignment horizontal="left"/>
    </xf>
    <xf numFmtId="0" fontId="177" fillId="45" borderId="69" xfId="8736" applyFont="1" applyFill="1" applyBorder="1" applyAlignment="1">
      <alignment horizontal="left"/>
    </xf>
    <xf numFmtId="0" fontId="177" fillId="45" borderId="70" xfId="8736" applyFont="1" applyFill="1" applyBorder="1" applyAlignment="1">
      <alignment horizontal="left"/>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104" fillId="45" borderId="71" xfId="8736" applyFont="1" applyFill="1" applyBorder="1" applyAlignment="1">
      <alignment horizontal="left" wrapText="1"/>
    </xf>
    <xf numFmtId="0" fontId="104" fillId="45" borderId="76" xfId="8736" applyFont="1" applyFill="1" applyBorder="1" applyAlignment="1">
      <alignment horizontal="left" wrapText="1"/>
    </xf>
    <xf numFmtId="0" fontId="104" fillId="45" borderId="65" xfId="8736" applyFont="1" applyFill="1" applyBorder="1" applyAlignment="1">
      <alignment horizontal="center"/>
    </xf>
    <xf numFmtId="0" fontId="104" fillId="45" borderId="29" xfId="8736" applyFont="1" applyFill="1" applyBorder="1" applyAlignment="1">
      <alignment horizontal="center"/>
    </xf>
    <xf numFmtId="0" fontId="104" fillId="45" borderId="31" xfId="8736" applyFont="1" applyFill="1" applyBorder="1" applyAlignment="1">
      <alignment horizontal="center"/>
    </xf>
    <xf numFmtId="0" fontId="166" fillId="48" borderId="90" xfId="8736" applyFont="1" applyFill="1" applyBorder="1" applyAlignment="1">
      <alignment horizontal="left"/>
    </xf>
    <xf numFmtId="0" fontId="166" fillId="48" borderId="4" xfId="8736" applyFont="1" applyFill="1" applyBorder="1" applyAlignment="1">
      <alignment horizontal="left"/>
    </xf>
    <xf numFmtId="0" fontId="166" fillId="48" borderId="5" xfId="8736" applyFont="1" applyFill="1" applyBorder="1" applyAlignment="1">
      <alignment horizontal="left"/>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78" fillId="48" borderId="11" xfId="8736" applyFont="1" applyFill="1" applyBorder="1" applyAlignment="1" applyProtection="1">
      <alignment horizontal="left"/>
      <protection locked="0"/>
    </xf>
    <xf numFmtId="0" fontId="178" fillId="48" borderId="76" xfId="8736" applyFont="1" applyFill="1" applyBorder="1" applyAlignment="1" applyProtection="1">
      <alignment horizontal="left"/>
      <protection locked="0"/>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04" fillId="45" borderId="72" xfId="8736" applyFont="1" applyFill="1" applyBorder="1" applyAlignment="1">
      <alignment horizontal="center"/>
    </xf>
    <xf numFmtId="0" fontId="104" fillId="45" borderId="11" xfId="8736" applyFont="1" applyFill="1" applyBorder="1" applyAlignment="1">
      <alignment horizontal="center"/>
    </xf>
    <xf numFmtId="0" fontId="166" fillId="45" borderId="11" xfId="8736" applyFont="1" applyFill="1" applyBorder="1" applyAlignment="1">
      <alignment horizontal="center" wrapText="1"/>
    </xf>
    <xf numFmtId="0" fontId="166" fillId="45" borderId="76" xfId="8736" applyFont="1" applyFill="1" applyBorder="1" applyAlignment="1">
      <alignment horizontal="center" wrapText="1"/>
    </xf>
    <xf numFmtId="0" fontId="180" fillId="45" borderId="11" xfId="8736" applyFont="1" applyFill="1" applyBorder="1" applyAlignment="1">
      <alignment horizontal="left"/>
    </xf>
    <xf numFmtId="0" fontId="180" fillId="45" borderId="76" xfId="8736" applyFont="1" applyFill="1" applyBorder="1" applyAlignment="1">
      <alignment horizontal="left"/>
    </xf>
    <xf numFmtId="0" fontId="172" fillId="45" borderId="72" xfId="8736" applyFont="1" applyFill="1" applyBorder="1" applyAlignment="1">
      <alignment horizontal="center"/>
    </xf>
    <xf numFmtId="0" fontId="172" fillId="45" borderId="11" xfId="8736" applyFont="1" applyFill="1" applyBorder="1" applyAlignment="1">
      <alignment horizontal="center"/>
    </xf>
    <xf numFmtId="0" fontId="175" fillId="48" borderId="11" xfId="8736" applyFont="1" applyFill="1" applyBorder="1" applyAlignment="1" applyProtection="1">
      <alignment horizontal="center"/>
      <protection locked="0"/>
    </xf>
    <xf numFmtId="14" fontId="173" fillId="48" borderId="11" xfId="8736" applyNumberFormat="1" applyFont="1" applyFill="1" applyBorder="1" applyAlignment="1" applyProtection="1">
      <alignment horizontal="center"/>
      <protection locked="0"/>
    </xf>
    <xf numFmtId="14" fontId="175" fillId="48" borderId="11" xfId="8736" applyNumberFormat="1" applyFont="1" applyFill="1" applyBorder="1" applyAlignment="1" applyProtection="1">
      <alignment horizontal="center"/>
      <protection locked="0"/>
    </xf>
    <xf numFmtId="0" fontId="104" fillId="45" borderId="76" xfId="8736" applyFont="1" applyFill="1" applyBorder="1" applyAlignment="1">
      <alignment horizontal="center"/>
    </xf>
    <xf numFmtId="168" fontId="175" fillId="48" borderId="11" xfId="8737" applyNumberFormat="1" applyFont="1" applyFill="1" applyBorder="1" applyAlignment="1" applyProtection="1">
      <alignment horizontal="center"/>
      <protection locked="0"/>
    </xf>
    <xf numFmtId="168" fontId="175" fillId="48" borderId="76" xfId="8737" applyNumberFormat="1" applyFont="1" applyFill="1" applyBorder="1" applyAlignment="1" applyProtection="1">
      <alignment horizontal="center"/>
      <protection locked="0"/>
    </xf>
    <xf numFmtId="0" fontId="176" fillId="48" borderId="11" xfId="8736" applyFont="1" applyFill="1" applyBorder="1" applyAlignment="1" applyProtection="1">
      <alignment horizontal="left"/>
      <protection locked="0"/>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68" fontId="175" fillId="48" borderId="70" xfId="8737" applyNumberFormat="1" applyFont="1" applyFill="1" applyBorder="1" applyAlignment="1" applyProtection="1">
      <alignment horizontal="center"/>
      <protection locked="0"/>
    </xf>
    <xf numFmtId="168" fontId="175" fillId="48" borderId="77" xfId="8737" applyNumberFormat="1" applyFont="1" applyFill="1" applyBorder="1" applyAlignment="1" applyProtection="1">
      <alignment horizontal="center"/>
      <protection locked="0"/>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67" fillId="45" borderId="71" xfId="8736" applyFont="1" applyFill="1" applyBorder="1" applyAlignment="1">
      <alignment horizontal="left"/>
    </xf>
    <xf numFmtId="14" fontId="173" fillId="48" borderId="76" xfId="8736" applyNumberFormat="1" applyFont="1" applyFill="1" applyBorder="1" applyAlignment="1" applyProtection="1">
      <alignment horizontal="center"/>
      <protection locked="0"/>
    </xf>
    <xf numFmtId="0" fontId="173" fillId="48" borderId="69" xfId="8736" applyFont="1" applyFill="1" applyBorder="1" applyAlignment="1" applyProtection="1">
      <alignment horizontal="center"/>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4" fontId="173" fillId="48" borderId="77" xfId="8736" applyNumberFormat="1" applyFont="1" applyFill="1" applyBorder="1" applyAlignment="1" applyProtection="1">
      <alignment horizontal="center"/>
      <protection locked="0"/>
    </xf>
    <xf numFmtId="0" fontId="173" fillId="45" borderId="72" xfId="8736" applyFont="1" applyFill="1" applyBorder="1" applyAlignment="1">
      <alignment horizontal="right"/>
    </xf>
    <xf numFmtId="0" fontId="173" fillId="45" borderId="11" xfId="8736" applyFont="1" applyFill="1" applyBorder="1" applyAlignment="1">
      <alignment horizontal="right"/>
    </xf>
    <xf numFmtId="168" fontId="175" fillId="44" borderId="11" xfId="700" applyNumberFormat="1" applyFont="1" applyFill="1" applyBorder="1" applyAlignment="1">
      <alignment horizontal="left"/>
    </xf>
    <xf numFmtId="0" fontId="104" fillId="45" borderId="65" xfId="8736" applyFont="1" applyFill="1" applyBorder="1" applyAlignment="1">
      <alignment horizontal="left" wrapText="1"/>
    </xf>
    <xf numFmtId="0" fontId="104" fillId="45" borderId="29" xfId="8736" applyFont="1" applyFill="1" applyBorder="1" applyAlignment="1">
      <alignment horizontal="left" wrapText="1"/>
    </xf>
    <xf numFmtId="0" fontId="104" fillId="45" borderId="31" xfId="8736" applyFont="1" applyFill="1" applyBorder="1" applyAlignment="1">
      <alignment horizontal="left" wrapText="1"/>
    </xf>
    <xf numFmtId="0" fontId="104" fillId="45" borderId="73" xfId="8736" applyFont="1" applyFill="1" applyBorder="1" applyAlignment="1">
      <alignment horizontal="left" wrapText="1"/>
    </xf>
    <xf numFmtId="0" fontId="104" fillId="45" borderId="42" xfId="8736" applyFont="1" applyFill="1" applyBorder="1" applyAlignment="1">
      <alignment horizontal="left" wrapText="1"/>
    </xf>
    <xf numFmtId="0" fontId="104" fillId="45" borderId="44" xfId="8736" applyFont="1" applyFill="1" applyBorder="1" applyAlignment="1">
      <alignment horizontal="left" wrapText="1"/>
    </xf>
    <xf numFmtId="168" fontId="173" fillId="48" borderId="11" xfId="700" applyNumberFormat="1" applyFont="1" applyFill="1" applyBorder="1" applyAlignment="1" applyProtection="1">
      <alignment horizontal="left"/>
      <protection locked="0"/>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4" fillId="47" borderId="0" xfId="8736" applyFont="1" applyFill="1" applyAlignment="1">
      <alignment horizontal="center"/>
    </xf>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3" fillId="44" borderId="11" xfId="700" applyNumberFormat="1" applyFont="1" applyFill="1" applyBorder="1" applyAlignment="1" applyProtection="1">
      <alignment horizontal="left"/>
      <protection locked="0"/>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6" applyFont="1" applyFill="1" applyBorder="1" applyAlignment="1">
      <alignment horizontal="center"/>
    </xf>
    <xf numFmtId="0" fontId="173" fillId="48" borderId="6" xfId="8736" applyFont="1" applyFill="1" applyBorder="1" applyAlignment="1">
      <alignment horizontal="center"/>
    </xf>
    <xf numFmtId="0" fontId="173" fillId="48" borderId="82" xfId="8736" applyFont="1" applyFill="1" applyBorder="1" applyAlignment="1">
      <alignment horizontal="center"/>
    </xf>
    <xf numFmtId="0" fontId="175" fillId="48" borderId="11"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75" fillId="48" borderId="72" xfId="8736"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0" fontId="175" fillId="45" borderId="67" xfId="8736" applyFont="1" applyFill="1" applyBorder="1" applyAlignment="1">
      <alignment horizontal="right"/>
    </xf>
    <xf numFmtId="0" fontId="175" fillId="45" borderId="68" xfId="8736"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6" applyFont="1" applyFill="1" applyBorder="1" applyAlignment="1">
      <alignment horizontal="left" wrapText="1"/>
    </xf>
    <xf numFmtId="0" fontId="172" fillId="48" borderId="0" xfId="8736" applyFont="1" applyFill="1" applyAlignment="1">
      <alignment horizontal="left" wrapText="1"/>
    </xf>
    <xf numFmtId="0" fontId="172" fillId="48" borderId="41" xfId="8736" applyFont="1" applyFill="1" applyBorder="1" applyAlignment="1">
      <alignment horizontal="left" wrapText="1"/>
    </xf>
    <xf numFmtId="0" fontId="172" fillId="48" borderId="73" xfId="8736" applyFont="1" applyFill="1" applyBorder="1" applyAlignment="1">
      <alignment horizontal="left" wrapText="1"/>
    </xf>
    <xf numFmtId="0" fontId="172" fillId="48" borderId="42" xfId="8736" applyFont="1" applyFill="1" applyBorder="1" applyAlignment="1">
      <alignment horizontal="left" wrapText="1"/>
    </xf>
    <xf numFmtId="0" fontId="172" fillId="48" borderId="44" xfId="8736" applyFont="1" applyFill="1" applyBorder="1" applyAlignment="1">
      <alignment horizontal="left" wrapText="1"/>
    </xf>
    <xf numFmtId="0" fontId="174" fillId="45" borderId="69" xfId="8736" applyFont="1" applyFill="1" applyBorder="1" applyAlignment="1">
      <alignment horizontal="right"/>
    </xf>
    <xf numFmtId="0" fontId="174" fillId="45" borderId="70" xfId="8736"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6"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center"/>
      <protection locked="0"/>
    </xf>
    <xf numFmtId="0" fontId="173" fillId="48" borderId="86" xfId="8736" applyFont="1" applyFill="1" applyBorder="1" applyAlignment="1" applyProtection="1">
      <alignment horizontal="center"/>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left"/>
      <protection locked="0"/>
    </xf>
    <xf numFmtId="0" fontId="173" fillId="48" borderId="86" xfId="8736" applyFont="1" applyFill="1" applyBorder="1" applyAlignment="1" applyProtection="1">
      <alignment horizontal="left"/>
      <protection locked="0"/>
    </xf>
    <xf numFmtId="0" fontId="173" fillId="48" borderId="85" xfId="8736" applyFont="1" applyFill="1" applyBorder="1" applyAlignment="1" applyProtection="1">
      <alignment horizontal="left"/>
      <protection locked="0"/>
    </xf>
    <xf numFmtId="0" fontId="104" fillId="48" borderId="80" xfId="8736" applyFont="1" applyFill="1" applyBorder="1" applyAlignment="1">
      <alignment horizontal="left"/>
    </xf>
    <xf numFmtId="0" fontId="104" fillId="48" borderId="79" xfId="8736" applyFont="1" applyFill="1" applyBorder="1" applyAlignment="1">
      <alignment horizontal="left"/>
    </xf>
    <xf numFmtId="44" fontId="3" fillId="48" borderId="84" xfId="700" applyFont="1" applyFill="1" applyBorder="1" applyAlignment="1" applyProtection="1">
      <alignment horizontal="center"/>
      <protection locked="0"/>
    </xf>
    <xf numFmtId="0" fontId="173" fillId="45" borderId="11" xfId="8736"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66" fillId="45" borderId="80" xfId="569" applyFont="1" applyFill="1" applyBorder="1" applyAlignment="1" applyProtection="1">
      <alignment horizontal="center" wrapText="1"/>
      <protection hidden="1"/>
    </xf>
    <xf numFmtId="0" fontId="166" fillId="45" borderId="79" xfId="569" applyFont="1" applyFill="1" applyBorder="1" applyAlignment="1" applyProtection="1">
      <alignment horizontal="center" wrapText="1"/>
      <protection hidden="1"/>
    </xf>
    <xf numFmtId="0" fontId="166" fillId="45" borderId="78" xfId="569" applyFont="1" applyFill="1" applyBorder="1" applyAlignment="1" applyProtection="1">
      <alignment horizontal="center" wrapText="1"/>
      <protection hidden="1"/>
    </xf>
    <xf numFmtId="0" fontId="166" fillId="45" borderId="13" xfId="569" applyFont="1" applyFill="1" applyBorder="1" applyAlignment="1" applyProtection="1">
      <alignment horizontal="left" wrapText="1"/>
      <protection hidden="1"/>
    </xf>
    <xf numFmtId="0" fontId="166" fillId="45" borderId="13" xfId="569" applyFont="1" applyFill="1" applyBorder="1" applyAlignment="1" applyProtection="1">
      <alignment horizontal="center" wrapText="1"/>
      <protection hidden="1"/>
    </xf>
    <xf numFmtId="0" fontId="172" fillId="45" borderId="11" xfId="8736"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569"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68" fillId="47" borderId="65" xfId="8736" applyFont="1" applyFill="1" applyBorder="1" applyAlignment="1">
      <alignment horizontal="center"/>
    </xf>
    <xf numFmtId="0" fontId="168" fillId="47" borderId="29" xfId="8736" applyFont="1" applyFill="1" applyBorder="1" applyAlignment="1">
      <alignment horizontal="center"/>
    </xf>
    <xf numFmtId="0" fontId="16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67" fillId="47" borderId="66" xfId="8736" applyFont="1" applyFill="1" applyBorder="1" applyAlignment="1">
      <alignment horizontal="center"/>
    </xf>
    <xf numFmtId="0" fontId="167" fillId="47" borderId="0" xfId="8736" applyFont="1" applyFill="1" applyAlignment="1">
      <alignment horizontal="center"/>
    </xf>
    <xf numFmtId="0" fontId="167" fillId="47" borderId="41" xfId="8736" applyFont="1" applyFill="1" applyBorder="1" applyAlignment="1">
      <alignment horizontal="center"/>
    </xf>
    <xf numFmtId="0" fontId="104" fillId="47" borderId="66" xfId="8736" applyFont="1" applyFill="1" applyBorder="1" applyAlignment="1">
      <alignment horizontal="center"/>
    </xf>
    <xf numFmtId="0" fontId="104" fillId="47" borderId="41" xfId="8736" applyFont="1" applyFill="1" applyBorder="1" applyAlignment="1">
      <alignment horizontal="center"/>
    </xf>
    <xf numFmtId="0" fontId="104" fillId="47" borderId="0" xfId="8736" applyFont="1" applyFill="1" applyAlignment="1">
      <alignment horizontal="left"/>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04" fillId="44" borderId="0" xfId="8736" applyFont="1" applyFill="1" applyAlignment="1">
      <alignment horizontal="left"/>
    </xf>
    <xf numFmtId="0" fontId="3" fillId="48" borderId="80" xfId="8736"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66" fillId="44" borderId="0" xfId="8736" applyFont="1" applyFill="1" applyAlignment="1">
      <alignment horizontal="left" vertical="top"/>
    </xf>
    <xf numFmtId="0" fontId="10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67" fillId="47" borderId="0" xfId="8736" applyFont="1" applyFill="1" applyAlignment="1">
      <alignment horizontal="left" vertical="top" wrapText="1"/>
    </xf>
    <xf numFmtId="0" fontId="10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168" fontId="19" fillId="0" borderId="11" xfId="569" applyNumberFormat="1" applyBorder="1" applyAlignment="1">
      <alignment horizontal="right"/>
    </xf>
    <xf numFmtId="9" fontId="19" fillId="0" borderId="15" xfId="569" applyNumberFormat="1" applyBorder="1" applyAlignment="1">
      <alignment horizontal="center"/>
    </xf>
    <xf numFmtId="168" fontId="19" fillId="0" borderId="11" xfId="569" applyNumberFormat="1" applyBorder="1" applyAlignment="1">
      <alignment horizontal="center"/>
    </xf>
    <xf numFmtId="0" fontId="19" fillId="0" borderId="11"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0" applyFont="1" applyAlignment="1">
      <alignment horizontal="left" vertical="top"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6" xfId="569" applyFont="1" applyBorder="1" applyAlignment="1">
      <alignment horizontal="center"/>
    </xf>
    <xf numFmtId="168" fontId="19" fillId="0" borderId="3" xfId="569" applyNumberForma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0" fontId="109" fillId="0" borderId="0" xfId="569" applyFont="1" applyAlignment="1">
      <alignment horizontal="left" wrapText="1"/>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0" fontId="26" fillId="0" borderId="16" xfId="271" applyFont="1" applyBorder="1" applyAlignment="1">
      <alignment horizontal="center"/>
    </xf>
    <xf numFmtId="168" fontId="19" fillId="0" borderId="4" xfId="569" applyNumberFormat="1" applyBorder="1" applyAlignment="1">
      <alignment horizontal="center"/>
    </xf>
    <xf numFmtId="168" fontId="19" fillId="0" borderId="5" xfId="569" applyNumberFormat="1" applyBorder="1" applyAlignment="1">
      <alignment horizontal="center"/>
    </xf>
    <xf numFmtId="0" fontId="26" fillId="0" borderId="11" xfId="569" applyFont="1" applyBorder="1" applyAlignment="1">
      <alignment horizontal="center"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0" fontId="55" fillId="0" borderId="0" xfId="569" applyFont="1" applyAlignment="1">
      <alignment horizontal="left"/>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9" fontId="19" fillId="0" borderId="5" xfId="569" applyNumberFormat="1" applyBorder="1" applyAlignment="1">
      <alignment horizontal="center"/>
    </xf>
    <xf numFmtId="9" fontId="19" fillId="0" borderId="11"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168" fontId="19" fillId="0" borderId="7" xfId="569" applyNumberFormat="1" applyBorder="1" applyAlignment="1">
      <alignment horizontal="center"/>
    </xf>
    <xf numFmtId="168" fontId="19" fillId="0" borderId="15"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179" fontId="26" fillId="0" borderId="0" xfId="569" applyNumberFormat="1" applyFont="1" applyAlignment="1">
      <alignment horizontal="center" wrapText="1"/>
    </xf>
    <xf numFmtId="164" fontId="26" fillId="0" borderId="0" xfId="569" applyNumberFormat="1" applyFont="1" applyAlignment="1">
      <alignment horizontal="center" wrapText="1"/>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0" fontId="27" fillId="0" borderId="0" xfId="4495" applyFont="1" applyAlignment="1">
      <alignment horizontal="left" vertical="top" wrapText="1"/>
    </xf>
    <xf numFmtId="0" fontId="124" fillId="5" borderId="6" xfId="4496" applyFont="1" applyFill="1" applyBorder="1" applyAlignment="1" applyProtection="1">
      <alignment horizontal="center"/>
      <protection locked="0"/>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5" fontId="124" fillId="0" borderId="60"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26" fillId="0" borderId="0" xfId="4495" applyFont="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24" fillId="5" borderId="55" xfId="4496" applyFont="1" applyFill="1" applyBorder="1" applyAlignment="1" applyProtection="1">
      <alignment horizontal="center"/>
      <protection locked="0"/>
    </xf>
    <xf numFmtId="168" fontId="124" fillId="0" borderId="55" xfId="4496" applyNumberFormat="1" applyFont="1" applyBorder="1" applyAlignment="1">
      <alignment horizontal="center" vertical="top"/>
    </xf>
    <xf numFmtId="168" fontId="124" fillId="0" borderId="6" xfId="4496" applyNumberFormat="1" applyFont="1" applyBorder="1" applyAlignment="1">
      <alignment horizontal="center" vertical="top"/>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168" fontId="19" fillId="0" borderId="0" xfId="1192" applyNumberFormat="1" applyAlignment="1">
      <alignment horizontal="right"/>
    </xf>
    <xf numFmtId="1" fontId="19" fillId="5" borderId="2" xfId="1192" applyNumberFormat="1" applyFill="1" applyBorder="1" applyAlignment="1" applyProtection="1">
      <alignment horizontal="center"/>
      <protection locked="0"/>
    </xf>
    <xf numFmtId="1" fontId="19" fillId="5" borderId="4" xfId="1192" applyNumberFormat="1" applyFill="1" applyBorder="1" applyAlignment="1" applyProtection="1">
      <alignment horizontal="center"/>
      <protection locked="0"/>
    </xf>
    <xf numFmtId="0" fontId="143" fillId="0" borderId="6" xfId="1192" applyFont="1" applyBorder="1" applyAlignment="1">
      <alignment horizontal="center"/>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26" fillId="0" borderId="0" xfId="4495" applyFont="1" applyAlignment="1">
      <alignment horizontal="center" vertical="top"/>
    </xf>
    <xf numFmtId="0" fontId="19" fillId="0" borderId="0" xfId="1192" applyAlignment="1">
      <alignment horizontal="right"/>
    </xf>
    <xf numFmtId="0" fontId="19" fillId="5" borderId="6" xfId="1192" applyFill="1" applyBorder="1" applyAlignment="1" applyProtection="1">
      <alignment horizontal="left"/>
      <protection locked="0"/>
    </xf>
    <xf numFmtId="168" fontId="19" fillId="43" borderId="6" xfId="4495" applyNumberFormat="1" applyFont="1" applyFill="1" applyBorder="1" applyAlignment="1" applyProtection="1">
      <alignment horizontal="right"/>
      <protection locked="0"/>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9" fontId="19" fillId="5" borderId="4" xfId="1192" applyNumberFormat="1" applyFill="1" applyBorder="1" applyAlignment="1" applyProtection="1">
      <alignment horizontal="left"/>
      <protection locked="0"/>
    </xf>
    <xf numFmtId="0" fontId="27" fillId="5" borderId="6" xfId="4495" applyFont="1" applyFill="1" applyBorder="1" applyAlignment="1" applyProtection="1">
      <alignment horizontal="left"/>
      <protection locked="0"/>
    </xf>
    <xf numFmtId="0" fontId="19" fillId="0" borderId="0" xfId="4495" applyFont="1" applyAlignment="1">
      <alignment horizontal="left"/>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center"/>
      <protection locked="0"/>
    </xf>
    <xf numFmtId="0" fontId="19" fillId="44" borderId="6" xfId="4495" applyFont="1" applyFill="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0" fontId="19" fillId="0" borderId="53" xfId="4495" applyFont="1" applyBorder="1" applyAlignment="1">
      <alignment horizontal="left" vertical="top" wrapText="1"/>
    </xf>
    <xf numFmtId="0" fontId="19" fillId="0" borderId="0" xfId="4495" applyFont="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0" fontId="19" fillId="0" borderId="59" xfId="4495" applyFont="1" applyBorder="1" applyAlignment="1">
      <alignment horizontal="left" vertical="top" wrapText="1"/>
    </xf>
    <xf numFmtId="0" fontId="122" fillId="5" borderId="6" xfId="4495" applyFill="1" applyBorder="1" applyAlignment="1" applyProtection="1">
      <alignment horizontal="center"/>
      <protection locked="0"/>
    </xf>
    <xf numFmtId="0" fontId="26" fillId="0" borderId="0" xfId="4495" applyFont="1" applyAlignment="1">
      <alignment horizontal="left" vertical="top"/>
    </xf>
    <xf numFmtId="0" fontId="122" fillId="0" borderId="0" xfId="4495"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8" fontId="19" fillId="0" borderId="6" xfId="4496" applyNumberFormat="1" applyFont="1" applyBorder="1" applyAlignment="1">
      <alignment horizontal="center"/>
    </xf>
    <xf numFmtId="9" fontId="19" fillId="0" borderId="4" xfId="543" applyNumberFormat="1" applyBorder="1" applyAlignment="1">
      <alignment horizontal="center"/>
    </xf>
    <xf numFmtId="0" fontId="19" fillId="0" borderId="4" xfId="4496" applyFont="1" applyBorder="1" applyAlignment="1">
      <alignment horizontal="center"/>
    </xf>
    <xf numFmtId="0" fontId="19" fillId="0" borderId="5" xfId="4496" applyFon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65" fontId="19" fillId="0" borderId="0" xfId="1192" applyNumberFormat="1" applyAlignment="1">
      <alignment horizontal="right"/>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168" fontId="19" fillId="5" borderId="4" xfId="1192" applyNumberFormat="1" applyFill="1" applyBorder="1" applyAlignment="1" applyProtection="1">
      <alignment horizontal="center"/>
      <protection locked="0"/>
    </xf>
    <xf numFmtId="0" fontId="19" fillId="0" borderId="6" xfId="1192" applyBorder="1" applyAlignment="1">
      <alignment horizontal="left"/>
    </xf>
    <xf numFmtId="2" fontId="19" fillId="0" borderId="0" xfId="1192" applyNumberFormat="1" applyAlignment="1">
      <alignment horizontal="right"/>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31" fillId="0" borderId="0" xfId="4495" applyFont="1" applyAlignment="1">
      <alignment horizontal="left" vertical="top" wrapText="1"/>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7" fillId="0" borderId="51" xfId="4495" applyFont="1" applyBorder="1" applyAlignment="1">
      <alignment horizontal="left" vertical="top" wrapText="1"/>
    </xf>
    <xf numFmtId="0" fontId="26" fillId="0" borderId="54" xfId="4495" applyFont="1" applyBorder="1" applyAlignment="1">
      <alignment horizontal="center" vertical="top"/>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22" fillId="5" borderId="50" xfId="4495" applyFill="1" applyBorder="1" applyAlignment="1">
      <alignment horizontal="center"/>
    </xf>
    <xf numFmtId="0" fontId="122" fillId="5" borderId="51" xfId="4495" applyFill="1" applyBorder="1" applyAlignment="1">
      <alignment horizontal="center"/>
    </xf>
    <xf numFmtId="0" fontId="55" fillId="0" borderId="51" xfId="4495" applyFont="1" applyBorder="1" applyAlignment="1">
      <alignment horizontal="left" wrapText="1"/>
    </xf>
    <xf numFmtId="0" fontId="55" fillId="0" borderId="0" xfId="4495" applyFont="1" applyAlignment="1">
      <alignment horizontal="left" wrapText="1"/>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center" vertical="center" wrapText="1" shrinkToFit="1"/>
      <protection locked="0"/>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27" fillId="0" borderId="0" xfId="4495" applyFont="1" applyAlignment="1">
      <alignment horizontal="center"/>
    </xf>
    <xf numFmtId="0" fontId="19" fillId="0" borderId="0" xfId="4495" applyFont="1" applyAlignment="1">
      <alignment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26" fillId="0" borderId="0" xfId="4495" applyFont="1" applyAlignment="1">
      <alignment horizontal="left" vertical="top" wrapText="1"/>
    </xf>
    <xf numFmtId="0" fontId="19" fillId="45" borderId="11" xfId="4495" applyFont="1" applyFill="1" applyBorder="1" applyAlignment="1">
      <alignment horizontal="center"/>
    </xf>
    <xf numFmtId="0" fontId="131" fillId="0" borderId="0" xfId="4495" applyFont="1" applyAlignment="1">
      <alignment horizontal="left" vertical="center" wrapText="1"/>
    </xf>
    <xf numFmtId="0" fontId="26" fillId="0" borderId="11" xfId="4495" applyFont="1" applyBorder="1" applyAlignment="1">
      <alignment horizontal="center"/>
    </xf>
    <xf numFmtId="0" fontId="27" fillId="0" borderId="58" xfId="4495" applyFont="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4" xfId="4495" applyNumberFormat="1"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26" fillId="0" borderId="3" xfId="4495"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1" fontId="26" fillId="0" borderId="11" xfId="4495" applyNumberFormat="1" applyFont="1"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46" borderId="11" xfId="4495" applyNumberFormat="1" applyFont="1" applyFill="1" applyBorder="1" applyAlignment="1">
      <alignment horizontal="center"/>
    </xf>
    <xf numFmtId="0" fontId="19" fillId="5" borderId="11" xfId="4495" applyFont="1" applyFill="1" applyBorder="1" applyAlignment="1" applyProtection="1">
      <alignment horizontal="center"/>
      <protection locked="0"/>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0" fontId="122" fillId="0" borderId="53" xfId="4495" applyBorder="1" applyAlignment="1">
      <alignment horizontal="center"/>
    </xf>
    <xf numFmtId="0" fontId="122" fillId="0" borderId="0" xfId="4495" applyAlignment="1">
      <alignment horizontal="center"/>
    </xf>
    <xf numFmtId="0" fontId="27" fillId="5" borderId="0" xfId="4495" applyFont="1" applyFill="1" applyAlignment="1">
      <alignment horizontal="left"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51" xfId="4495" applyFont="1" applyBorder="1" applyAlignment="1">
      <alignment horizontal="center" vertical="top"/>
    </xf>
    <xf numFmtId="0" fontId="26" fillId="0" borderId="52" xfId="4495" applyFont="1" applyBorder="1" applyAlignment="1">
      <alignment horizontal="center" vertical="top"/>
    </xf>
    <xf numFmtId="168" fontId="19" fillId="43" borderId="6" xfId="543" applyNumberFormat="1" applyFill="1" applyBorder="1" applyAlignment="1" applyProtection="1">
      <alignment horizontal="center"/>
      <protection locked="0"/>
    </xf>
    <xf numFmtId="0" fontId="19" fillId="0" borderId="6" xfId="1192" applyBorder="1" applyAlignment="1">
      <alignment horizontal="right"/>
    </xf>
    <xf numFmtId="10" fontId="27" fillId="0" borderId="2" xfId="4495" applyNumberFormat="1" applyFont="1" applyBorder="1" applyAlignment="1">
      <alignment horizontal="center"/>
    </xf>
    <xf numFmtId="4" fontId="27" fillId="0" borderId="0" xfId="4495" applyNumberFormat="1" applyFont="1" applyAlignment="1">
      <alignment horizontal="center"/>
    </xf>
    <xf numFmtId="9" fontId="27" fillId="5" borderId="6" xfId="4495" applyNumberFormat="1" applyFont="1" applyFill="1" applyBorder="1" applyAlignment="1">
      <alignment horizontal="left"/>
    </xf>
    <xf numFmtId="0" fontId="35" fillId="42" borderId="2" xfId="4495" applyFont="1" applyFill="1" applyBorder="1" applyAlignment="1">
      <alignment horizontal="center"/>
    </xf>
    <xf numFmtId="0" fontId="35" fillId="42" borderId="6" xfId="4495" applyFont="1" applyFill="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168" fontId="19" fillId="0" borderId="6" xfId="1192" applyNumberFormat="1" applyBorder="1" applyAlignment="1">
      <alignment horizontal="right"/>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0" fontId="27" fillId="5" borderId="6" xfId="4495" applyFont="1" applyFill="1" applyBorder="1" applyAlignment="1">
      <alignment horizontal="left"/>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3" fillId="0" borderId="0" xfId="1192" applyFont="1" applyAlignment="1">
      <alignment horizontal="center"/>
    </xf>
    <xf numFmtId="4" fontId="27" fillId="0" borderId="6" xfId="4495" applyNumberFormat="1" applyFont="1" applyBorder="1" applyAlignment="1">
      <alignment horizontal="center"/>
    </xf>
    <xf numFmtId="0" fontId="26" fillId="0" borderId="0" xfId="4495" applyFont="1" applyAlignment="1">
      <alignment horizontal="left" wrapText="1"/>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4" xfId="1192" applyNumberFormat="1" applyBorder="1" applyAlignment="1">
      <alignment horizontal="right"/>
    </xf>
    <xf numFmtId="0" fontId="120" fillId="0" borderId="4" xfId="1192" applyFont="1" applyBorder="1" applyAlignment="1">
      <alignment horizontal="left"/>
    </xf>
    <xf numFmtId="0" fontId="122" fillId="5" borderId="62" xfId="4495" applyFill="1" applyBorder="1" applyAlignment="1">
      <alignment horizontal="center"/>
    </xf>
    <xf numFmtId="0" fontId="122" fillId="5" borderId="63" xfId="4495" applyFill="1" applyBorder="1" applyAlignment="1">
      <alignment horizontal="center"/>
    </xf>
    <xf numFmtId="0" fontId="100" fillId="0" borderId="3" xfId="4496" applyFont="1" applyBorder="1"/>
    <xf numFmtId="0" fontId="100" fillId="0" borderId="81" xfId="4496" applyFont="1" applyBorder="1"/>
    <xf numFmtId="0" fontId="100" fillId="0" borderId="94" xfId="4496" applyFont="1" applyBorder="1"/>
    <xf numFmtId="0" fontId="100" fillId="0" borderId="85" xfId="4496" applyFont="1" applyBorder="1"/>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00" fillId="0" borderId="93" xfId="4496" applyFont="1" applyBorder="1" applyAlignment="1">
      <alignment horizontal="right"/>
    </xf>
    <xf numFmtId="0" fontId="100" fillId="0" borderId="74" xfId="4496" applyFont="1" applyBorder="1" applyAlignment="1">
      <alignment horizontal="right"/>
    </xf>
    <xf numFmtId="0" fontId="100" fillId="0" borderId="75" xfId="4496" applyFont="1" applyBorder="1"/>
    <xf numFmtId="0" fontId="100" fillId="0" borderId="91" xfId="4496" applyFont="1" applyBorder="1"/>
    <xf numFmtId="0" fontId="100" fillId="0" borderId="90" xfId="4496" applyFont="1" applyBorder="1" applyAlignment="1">
      <alignment horizontal="right"/>
    </xf>
    <xf numFmtId="0" fontId="100" fillId="0" borderId="5"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168" fontId="100" fillId="0" borderId="11" xfId="4499" applyNumberFormat="1" applyFont="1" applyFill="1" applyBorder="1" applyAlignment="1" applyProtection="1">
      <alignment horizontal="left" vertical="center" indent="1"/>
    </xf>
    <xf numFmtId="0" fontId="138"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49" fontId="137"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0" fontId="100" fillId="0" borderId="0" xfId="4496" applyFont="1" applyAlignment="1">
      <alignment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100" fillId="0" borderId="0" xfId="4496" applyFont="1" applyAlignment="1">
      <alignment horizontal="left" wrapText="1" indent="1"/>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18912">
    <cellStyle name="20% - Accent1" xfId="1" builtinId="30" customBuiltin="1"/>
    <cellStyle name="20% - Accent1 10" xfId="4504" xr:uid="{00000000-0005-0000-0000-000001000000}"/>
    <cellStyle name="20% - Accent1 10 2" xfId="13830" xr:uid="{99A47C69-7296-4BAA-A547-26517CC4C3C8}"/>
    <cellStyle name="20% - Accent1 11" xfId="8758" xr:uid="{2F735C8D-70CB-4E84-A95A-4445894745BC}"/>
    <cellStyle name="20% - Accent1 11 2" xfId="18082" xr:uid="{BEC14800-2C42-4B0E-BFC9-1CAB560D2DDA}"/>
    <cellStyle name="20% - Accent1 12" xfId="9613" xr:uid="{3DA9382B-DC0E-4F2D-A669-B55902506BAB}"/>
    <cellStyle name="20% - Accent1 2" xfId="2" xr:uid="{00000000-0005-0000-0000-000002000000}"/>
    <cellStyle name="20% - Accent1 2 10" xfId="8797" xr:uid="{7F4BEAE6-CC35-4B07-89BD-8FC5D6B3D35B}"/>
    <cellStyle name="20% - Accent1 2 10 2" xfId="18121" xr:uid="{72CD15B3-F482-4C9B-AAC2-DE1F17F08933}"/>
    <cellStyle name="20% - Accent1 2 11" xfId="9614" xr:uid="{4D908C1E-9377-460E-BA95-63B4D4BBC054}"/>
    <cellStyle name="20% - Accent1 2 2" xfId="3" xr:uid="{00000000-0005-0000-0000-000003000000}"/>
    <cellStyle name="20% - Accent1 2 2 10" xfId="9615" xr:uid="{34F934D8-6DF0-4D7E-B781-92B01A347874}"/>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92" xr:uid="{887E3EFA-FDC4-492A-959D-64E75B84E5DC}"/>
    <cellStyle name="20% - Accent1 2 2 2 2 2 3" xfId="12175" xr:uid="{F09E0D27-FF77-449B-8DBA-79354DD5FEB8}"/>
    <cellStyle name="20% - Accent1 2 2 2 2 3" xfId="4921" xr:uid="{00000000-0005-0000-0000-000008000000}"/>
    <cellStyle name="20% - Accent1 2 2 2 2 3 2" xfId="14247" xr:uid="{398D9DF7-58E6-437C-ACA7-BE7A7B97EC97}"/>
    <cellStyle name="20% - Accent1 2 2 2 2 4" xfId="9532" xr:uid="{D5FAB462-C5A9-4306-AA37-C118C84F9393}"/>
    <cellStyle name="20% - Accent1 2 2 2 2 4 2" xfId="18847" xr:uid="{770DC820-C8DB-422F-83B5-6B9EB2765F87}"/>
    <cellStyle name="20% - Accent1 2 2 2 2 5" xfId="10030" xr:uid="{75FB1E9F-20BF-4288-8A08-2B6B4B74107B}"/>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805" xr:uid="{FDD38D3B-4E19-456D-9927-B259EE3A9C6D}"/>
    <cellStyle name="20% - Accent1 2 2 2 3 2 3" xfId="12588" xr:uid="{17332C06-DB02-4228-A70F-544ADCBA651B}"/>
    <cellStyle name="20% - Accent1 2 2 2 3 3" xfId="5334" xr:uid="{00000000-0005-0000-0000-00000C000000}"/>
    <cellStyle name="20% - Accent1 2 2 2 3 3 2" xfId="14660" xr:uid="{C7DDD6FF-49EE-468A-BD3A-1003C0EFE407}"/>
    <cellStyle name="20% - Accent1 2 2 2 3 4" xfId="10443" xr:uid="{94F32F9B-B5E9-4C98-9232-A3A7749125BE}"/>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218" xr:uid="{212C752F-2D58-41B1-92AE-F71E5E7561C9}"/>
    <cellStyle name="20% - Accent1 2 2 2 4 2 3" xfId="13001" xr:uid="{07BD3FF0-038D-470B-8571-1C6B9FD48F6A}"/>
    <cellStyle name="20% - Accent1 2 2 2 4 3" xfId="5747" xr:uid="{00000000-0005-0000-0000-000010000000}"/>
    <cellStyle name="20% - Accent1 2 2 2 4 3 2" xfId="15073" xr:uid="{A5F8486E-3778-49AE-96E0-668279FB0042}"/>
    <cellStyle name="20% - Accent1 2 2 2 4 4" xfId="10856" xr:uid="{EC13A300-6949-41B4-A787-95B4C33A91E9}"/>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631" xr:uid="{E834FDF9-F648-4527-9D8C-5822F43D31AF}"/>
    <cellStyle name="20% - Accent1 2 2 2 5 2 3" xfId="13414" xr:uid="{7F80595B-0E0C-4DE8-AB20-95D8FF9EEA81}"/>
    <cellStyle name="20% - Accent1 2 2 2 5 3" xfId="6160" xr:uid="{00000000-0005-0000-0000-000014000000}"/>
    <cellStyle name="20% - Accent1 2 2 2 5 3 2" xfId="15486" xr:uid="{A622A74F-0815-4F59-8C6C-029EAD1AB50B}"/>
    <cellStyle name="20% - Accent1 2 2 2 5 4" xfId="11269" xr:uid="{6395962D-8769-4015-A903-644F03FCD480}"/>
    <cellStyle name="20% - Accent1 2 2 2 6" xfId="2267" xr:uid="{00000000-0005-0000-0000-000015000000}"/>
    <cellStyle name="20% - Accent1 2 2 2 6 2" xfId="6573" xr:uid="{00000000-0005-0000-0000-000016000000}"/>
    <cellStyle name="20% - Accent1 2 2 2 6 2 2" xfId="15899" xr:uid="{7551FFB2-8012-49F7-AF5F-B7BBCEE31FF2}"/>
    <cellStyle name="20% - Accent1 2 2 2 6 3" xfId="11682" xr:uid="{DA65443C-E6BA-487F-BEC3-9A2DE491C396}"/>
    <cellStyle name="20% - Accent1 2 2 2 7" xfId="4507" xr:uid="{00000000-0005-0000-0000-000017000000}"/>
    <cellStyle name="20% - Accent1 2 2 2 7 2" xfId="13833" xr:uid="{79790562-1202-4B83-8DF7-BCA20C583518}"/>
    <cellStyle name="20% - Accent1 2 2 2 8" xfId="9107" xr:uid="{4168D01E-823F-4E8F-9A1D-70697AC1F241}"/>
    <cellStyle name="20% - Accent1 2 2 2 8 2" xfId="18431" xr:uid="{1FA36747-2D1B-4039-AC17-58CE4A582663}"/>
    <cellStyle name="20% - Accent1 2 2 2 9" xfId="9616" xr:uid="{3D17BD6F-57DC-4ED8-99D3-82DA69DFED50}"/>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91" xr:uid="{B3834A8F-4B62-4504-91BF-394A1D3B8FCD}"/>
    <cellStyle name="20% - Accent1 2 2 3 2 3" xfId="12174" xr:uid="{11FBF277-37F3-4551-BEF7-8F5FDB20DDF6}"/>
    <cellStyle name="20% - Accent1 2 2 3 3" xfId="4920" xr:uid="{00000000-0005-0000-0000-00001B000000}"/>
    <cellStyle name="20% - Accent1 2 2 3 3 2" xfId="14246" xr:uid="{40552914-373E-404A-A25D-AE542FBA442C}"/>
    <cellStyle name="20% - Accent1 2 2 3 4" xfId="9325" xr:uid="{DE19910B-698B-4F31-B25F-3533B35DDA95}"/>
    <cellStyle name="20% - Accent1 2 2 3 4 2" xfId="18640" xr:uid="{1F022EA2-0063-4A04-9DA6-8F01A9C4F3BB}"/>
    <cellStyle name="20% - Accent1 2 2 3 5" xfId="10029" xr:uid="{A50CD724-0606-4E41-A2D7-28AB8A746BBF}"/>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804" xr:uid="{AF41BBEB-FD4E-4C44-90CA-854559AAA526}"/>
    <cellStyle name="20% - Accent1 2 2 4 2 3" xfId="12587" xr:uid="{84F62E86-F143-44C7-ABD3-242A7C73B425}"/>
    <cellStyle name="20% - Accent1 2 2 4 3" xfId="5333" xr:uid="{00000000-0005-0000-0000-00001F000000}"/>
    <cellStyle name="20% - Accent1 2 2 4 3 2" xfId="14659" xr:uid="{D928DF6B-5860-4412-A8B9-3CE9D75A3025}"/>
    <cellStyle name="20% - Accent1 2 2 4 4" xfId="10442" xr:uid="{11C76D0D-4BF6-4229-8975-F665C5E97E36}"/>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217" xr:uid="{79F8CC7D-67B6-4D69-8A50-5D97E4B466BD}"/>
    <cellStyle name="20% - Accent1 2 2 5 2 3" xfId="13000" xr:uid="{85B83FC2-245F-49CF-B1B2-07E5C7CDB947}"/>
    <cellStyle name="20% - Accent1 2 2 5 3" xfId="5746" xr:uid="{00000000-0005-0000-0000-000023000000}"/>
    <cellStyle name="20% - Accent1 2 2 5 3 2" xfId="15072" xr:uid="{90600118-CBE6-4E78-84E4-637F03364415}"/>
    <cellStyle name="20% - Accent1 2 2 5 4" xfId="10855" xr:uid="{6AF87309-BFC1-4C9C-8B9F-277F9E6AA971}"/>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630" xr:uid="{5EBF96AD-AC5B-44F1-8649-F36EB70ED891}"/>
    <cellStyle name="20% - Accent1 2 2 6 2 3" xfId="13413" xr:uid="{68164E03-A777-4BA6-95BD-F7205B02A099}"/>
    <cellStyle name="20% - Accent1 2 2 6 3" xfId="6159" xr:uid="{00000000-0005-0000-0000-000027000000}"/>
    <cellStyle name="20% - Accent1 2 2 6 3 2" xfId="15485" xr:uid="{E7B12A48-5D3A-4E86-A952-DD1BF610362B}"/>
    <cellStyle name="20% - Accent1 2 2 6 4" xfId="11268" xr:uid="{77E18B86-557F-4C95-A91A-F5E0AF9C7ADD}"/>
    <cellStyle name="20% - Accent1 2 2 7" xfId="2266" xr:uid="{00000000-0005-0000-0000-000028000000}"/>
    <cellStyle name="20% - Accent1 2 2 7 2" xfId="6572" xr:uid="{00000000-0005-0000-0000-000029000000}"/>
    <cellStyle name="20% - Accent1 2 2 7 2 2" xfId="15898" xr:uid="{640176FE-FA98-42C6-BF01-D72CF742D555}"/>
    <cellStyle name="20% - Accent1 2 2 7 3" xfId="11681" xr:uid="{3E4EA918-24FF-423B-AED5-206148388772}"/>
    <cellStyle name="20% - Accent1 2 2 8" xfId="4506" xr:uid="{00000000-0005-0000-0000-00002A000000}"/>
    <cellStyle name="20% - Accent1 2 2 8 2" xfId="13832" xr:uid="{D8175871-F87C-4944-A04E-74E441FC9179}"/>
    <cellStyle name="20% - Accent1 2 2 9" xfId="8900" xr:uid="{7D7E3EAF-DF6A-403F-8C20-66BB9757790F}"/>
    <cellStyle name="20% - Accent1 2 2 9 2" xfId="18224" xr:uid="{885BD81C-2B26-4445-B7F9-2F077434CB2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93" xr:uid="{47D4F80F-2D99-4C79-80CE-E9917EE3426E}"/>
    <cellStyle name="20% - Accent1 2 3 2 2 3" xfId="12176" xr:uid="{AB0A0FFD-F799-43D5-BBE6-B6D7222268F8}"/>
    <cellStyle name="20% - Accent1 2 3 2 3" xfId="4922" xr:uid="{00000000-0005-0000-0000-00002F000000}"/>
    <cellStyle name="20% - Accent1 2 3 2 3 2" xfId="14248" xr:uid="{F79C01B3-90EB-4A30-B462-86CB07D02DCA}"/>
    <cellStyle name="20% - Accent1 2 3 2 4" xfId="9429" xr:uid="{CCD4BD61-3143-497B-A316-8024A8762A6C}"/>
    <cellStyle name="20% - Accent1 2 3 2 4 2" xfId="18744" xr:uid="{D3A1378C-A7F6-4CEA-B678-7C51AA631027}"/>
    <cellStyle name="20% - Accent1 2 3 2 5" xfId="10031" xr:uid="{71877BF3-C20F-4F0D-9B23-3F5E31E3254A}"/>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806" xr:uid="{CF5F6981-66DD-47C5-BC65-FC39DD56CB5C}"/>
    <cellStyle name="20% - Accent1 2 3 3 2 3" xfId="12589" xr:uid="{24C77CA2-1AB6-46EA-967E-BA07D2BF0329}"/>
    <cellStyle name="20% - Accent1 2 3 3 3" xfId="5335" xr:uid="{00000000-0005-0000-0000-000033000000}"/>
    <cellStyle name="20% - Accent1 2 3 3 3 2" xfId="14661" xr:uid="{3A4392BA-AC62-4FE1-8667-BD107E833EC7}"/>
    <cellStyle name="20% - Accent1 2 3 3 4" xfId="10444" xr:uid="{0CE1D15D-1306-47C5-B108-BA7F1FAD6CE9}"/>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219" xr:uid="{D64CA2D2-499A-478A-A9B8-28726D7C1D10}"/>
    <cellStyle name="20% - Accent1 2 3 4 2 3" xfId="13002" xr:uid="{499897F8-8B33-4D0E-B42C-A06D18660368}"/>
    <cellStyle name="20% - Accent1 2 3 4 3" xfId="5748" xr:uid="{00000000-0005-0000-0000-000037000000}"/>
    <cellStyle name="20% - Accent1 2 3 4 3 2" xfId="15074" xr:uid="{FF78778E-2494-4565-81B5-B4FF7A2C39EA}"/>
    <cellStyle name="20% - Accent1 2 3 4 4" xfId="10857" xr:uid="{48D6BF0E-8B29-4770-9ED8-AB5DA1005EED}"/>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632" xr:uid="{EABE5DDD-317B-41DB-87E0-0EEC4EA24DB0}"/>
    <cellStyle name="20% - Accent1 2 3 5 2 3" xfId="13415" xr:uid="{24DBE7CC-8490-44CF-A297-B284FE6AAF41}"/>
    <cellStyle name="20% - Accent1 2 3 5 3" xfId="6161" xr:uid="{00000000-0005-0000-0000-00003B000000}"/>
    <cellStyle name="20% - Accent1 2 3 5 3 2" xfId="15487" xr:uid="{DE7681F9-1825-4A74-A83D-451A24E882F5}"/>
    <cellStyle name="20% - Accent1 2 3 5 4" xfId="11270" xr:uid="{4ED11BFE-D2DD-40A7-87E0-262661041D04}"/>
    <cellStyle name="20% - Accent1 2 3 6" xfId="2268" xr:uid="{00000000-0005-0000-0000-00003C000000}"/>
    <cellStyle name="20% - Accent1 2 3 6 2" xfId="6574" xr:uid="{00000000-0005-0000-0000-00003D000000}"/>
    <cellStyle name="20% - Accent1 2 3 6 2 2" xfId="15900" xr:uid="{94DCC95E-C5D5-48FD-B64C-F086AD95C0DB}"/>
    <cellStyle name="20% - Accent1 2 3 6 3" xfId="11683" xr:uid="{E0AEB8AD-7865-494C-AA7B-DEBA09ADC874}"/>
    <cellStyle name="20% - Accent1 2 3 7" xfId="4508" xr:uid="{00000000-0005-0000-0000-00003E000000}"/>
    <cellStyle name="20% - Accent1 2 3 7 2" xfId="13834" xr:uid="{E310F3DB-A4CA-43DD-96F2-FAB97D3A19F3}"/>
    <cellStyle name="20% - Accent1 2 3 8" xfId="9004" xr:uid="{14A9C135-BB7B-44DD-97E1-B6B10773DEE2}"/>
    <cellStyle name="20% - Accent1 2 3 8 2" xfId="18328" xr:uid="{46768C9C-F94B-49F7-8232-B22BD8F034FD}"/>
    <cellStyle name="20% - Accent1 2 3 9" xfId="9617" xr:uid="{7A577585-8576-4F93-8C03-ADD90B762D4C}"/>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90" xr:uid="{7AFB1445-42F8-4BF4-8445-1DC13D99E9D1}"/>
    <cellStyle name="20% - Accent1 2 4 2 3" xfId="12173" xr:uid="{360D0A0D-E25F-4879-A069-41264F9E6BE0}"/>
    <cellStyle name="20% - Accent1 2 4 3" xfId="4919" xr:uid="{00000000-0005-0000-0000-000042000000}"/>
    <cellStyle name="20% - Accent1 2 4 3 2" xfId="14245" xr:uid="{16E071F0-4D29-4F7C-960A-CD0CDBF0C763}"/>
    <cellStyle name="20% - Accent1 2 4 4" xfId="9221" xr:uid="{11532E3F-E59C-4FF7-9F45-291A17A69435}"/>
    <cellStyle name="20% - Accent1 2 4 4 2" xfId="18537" xr:uid="{F0F51498-F7CF-47F7-85D1-EA696E60FDD7}"/>
    <cellStyle name="20% - Accent1 2 4 5" xfId="10028" xr:uid="{0523D89C-4598-45A8-9E5D-F74CE77042A8}"/>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803" xr:uid="{A986FC8F-08A3-475B-AFCA-A5ED58B08699}"/>
    <cellStyle name="20% - Accent1 2 5 2 3" xfId="12586" xr:uid="{591CCC34-9832-4DB0-9AB6-6DC6B1569555}"/>
    <cellStyle name="20% - Accent1 2 5 3" xfId="5332" xr:uid="{00000000-0005-0000-0000-000046000000}"/>
    <cellStyle name="20% - Accent1 2 5 3 2" xfId="14658" xr:uid="{3708BC71-256C-467B-8EC6-41E96926A773}"/>
    <cellStyle name="20% - Accent1 2 5 4" xfId="10441" xr:uid="{1A99E88D-F0E4-4809-AAE3-D9DC97092187}"/>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216" xr:uid="{70587B0A-14CC-45C6-9A7A-C67EFE462CAE}"/>
    <cellStyle name="20% - Accent1 2 6 2 3" xfId="12999" xr:uid="{FA1E8D43-95EA-4088-B67F-D3AA7A2A395F}"/>
    <cellStyle name="20% - Accent1 2 6 3" xfId="5745" xr:uid="{00000000-0005-0000-0000-00004A000000}"/>
    <cellStyle name="20% - Accent1 2 6 3 2" xfId="15071" xr:uid="{D6462A1A-1E03-4968-9B2A-AD6F5704D721}"/>
    <cellStyle name="20% - Accent1 2 6 4" xfId="10854" xr:uid="{F62E0D4E-75B8-48D9-BF69-39FF9E2AB1D5}"/>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629" xr:uid="{53018C34-4D6E-424C-AA1B-B3FEF417D14B}"/>
    <cellStyle name="20% - Accent1 2 7 2 3" xfId="13412" xr:uid="{A665ADB4-DBEC-4AAD-BBFC-BFBB9E35AD75}"/>
    <cellStyle name="20% - Accent1 2 7 3" xfId="6158" xr:uid="{00000000-0005-0000-0000-00004E000000}"/>
    <cellStyle name="20% - Accent1 2 7 3 2" xfId="15484" xr:uid="{ADF0BEDC-B8E0-4DD1-8299-D8B08650F330}"/>
    <cellStyle name="20% - Accent1 2 7 4" xfId="11267" xr:uid="{9A79F172-E7E7-4A6C-ADFA-44C278BDCB50}"/>
    <cellStyle name="20% - Accent1 2 8" xfId="2265" xr:uid="{00000000-0005-0000-0000-00004F000000}"/>
    <cellStyle name="20% - Accent1 2 8 2" xfId="6571" xr:uid="{00000000-0005-0000-0000-000050000000}"/>
    <cellStyle name="20% - Accent1 2 8 2 2" xfId="15897" xr:uid="{0C6000A2-F7EB-47F9-8BAE-27D02574651B}"/>
    <cellStyle name="20% - Accent1 2 8 3" xfId="11680" xr:uid="{C6BAEE60-7ABF-4EE2-8889-551233617828}"/>
    <cellStyle name="20% - Accent1 2 9" xfId="4505" xr:uid="{00000000-0005-0000-0000-000051000000}"/>
    <cellStyle name="20% - Accent1 2 9 2" xfId="13831" xr:uid="{340CDC98-E000-476F-913C-D65A0A15D33C}"/>
    <cellStyle name="20% - Accent1 3" xfId="6" xr:uid="{00000000-0005-0000-0000-000052000000}"/>
    <cellStyle name="20% - Accent1 3 10" xfId="9618" xr:uid="{0D0599C1-9A38-4318-9725-B2AD8578B934}"/>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95" xr:uid="{DF7C41A3-541A-4054-9380-4555F717A758}"/>
    <cellStyle name="20% - Accent1 3 2 2 2 3" xfId="12178" xr:uid="{096C73ED-E69B-4819-8CE2-BF4B27D957B3}"/>
    <cellStyle name="20% - Accent1 3 2 2 3" xfId="4924" xr:uid="{00000000-0005-0000-0000-000057000000}"/>
    <cellStyle name="20% - Accent1 3 2 2 3 2" xfId="14250" xr:uid="{462270E1-7175-4A37-91FD-90448F3065B8}"/>
    <cellStyle name="20% - Accent1 3 2 2 4" xfId="9493" xr:uid="{FCEFE71D-2A04-4899-B62A-B225DBF7F0BF}"/>
    <cellStyle name="20% - Accent1 3 2 2 4 2" xfId="18808" xr:uid="{16B0F240-B901-4844-9CC5-46899BCA7551}"/>
    <cellStyle name="20% - Accent1 3 2 2 5" xfId="10033" xr:uid="{569B708D-289B-4877-A244-D9BDB8918E1B}"/>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808" xr:uid="{259F7C77-D1A3-4CB9-B207-919953992506}"/>
    <cellStyle name="20% - Accent1 3 2 3 2 3" xfId="12591" xr:uid="{DB55DCD5-02F7-4E50-8CEC-F4BA03C6C0EC}"/>
    <cellStyle name="20% - Accent1 3 2 3 3" xfId="5337" xr:uid="{00000000-0005-0000-0000-00005B000000}"/>
    <cellStyle name="20% - Accent1 3 2 3 3 2" xfId="14663" xr:uid="{968116BA-44C7-46C0-98CE-6D32125B26DD}"/>
    <cellStyle name="20% - Accent1 3 2 3 4" xfId="10446" xr:uid="{AF494976-006C-42D4-8434-55012DF00836}"/>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221" xr:uid="{BB38E1B8-FAC9-4F0A-83AC-E91D82C2E1CD}"/>
    <cellStyle name="20% - Accent1 3 2 4 2 3" xfId="13004" xr:uid="{98810844-E34A-47A6-9147-09333B4DF644}"/>
    <cellStyle name="20% - Accent1 3 2 4 3" xfId="5750" xr:uid="{00000000-0005-0000-0000-00005F000000}"/>
    <cellStyle name="20% - Accent1 3 2 4 3 2" xfId="15076" xr:uid="{347C9E5D-6A6B-461E-9B88-888685860F9F}"/>
    <cellStyle name="20% - Accent1 3 2 4 4" xfId="10859" xr:uid="{B6197576-9106-4AB5-8D16-917128A1B5C1}"/>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634" xr:uid="{44674F4D-1CC1-4D00-862A-3266CB45B0EB}"/>
    <cellStyle name="20% - Accent1 3 2 5 2 3" xfId="13417" xr:uid="{B659EF1D-4AAC-44BF-B147-6A984E2C1D94}"/>
    <cellStyle name="20% - Accent1 3 2 5 3" xfId="6163" xr:uid="{00000000-0005-0000-0000-000063000000}"/>
    <cellStyle name="20% - Accent1 3 2 5 3 2" xfId="15489" xr:uid="{68998F38-155B-435C-B7DE-93B0DD175A56}"/>
    <cellStyle name="20% - Accent1 3 2 5 4" xfId="11272" xr:uid="{1F3AE75D-4469-47DF-A72B-1E5FBD9BC777}"/>
    <cellStyle name="20% - Accent1 3 2 6" xfId="2270" xr:uid="{00000000-0005-0000-0000-000064000000}"/>
    <cellStyle name="20% - Accent1 3 2 6 2" xfId="6576" xr:uid="{00000000-0005-0000-0000-000065000000}"/>
    <cellStyle name="20% - Accent1 3 2 6 2 2" xfId="15902" xr:uid="{36EE752A-5DB5-4D01-8597-9D1F9506E9BC}"/>
    <cellStyle name="20% - Accent1 3 2 6 3" xfId="11685" xr:uid="{01D6FBEF-C1A1-4AA1-A3B3-EC6E1FBBC7C7}"/>
    <cellStyle name="20% - Accent1 3 2 7" xfId="4510" xr:uid="{00000000-0005-0000-0000-000066000000}"/>
    <cellStyle name="20% - Accent1 3 2 7 2" xfId="13836" xr:uid="{F0FAAE6D-0900-48F7-B100-6B9705161033}"/>
    <cellStyle name="20% - Accent1 3 2 8" xfId="9068" xr:uid="{354460C9-AD38-4FCD-882B-4DFB81DE5890}"/>
    <cellStyle name="20% - Accent1 3 2 8 2" xfId="18392" xr:uid="{F62191B0-5573-4821-AC71-1154568B2D5F}"/>
    <cellStyle name="20% - Accent1 3 2 9" xfId="9619" xr:uid="{6FB4F387-9D30-4917-9A4F-32E2B78D8151}"/>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94" xr:uid="{561B4778-013E-48DA-A121-50141A2BB164}"/>
    <cellStyle name="20% - Accent1 3 3 2 3" xfId="12177" xr:uid="{EF04CB0B-14E4-48DF-851D-A258A41D53AB}"/>
    <cellStyle name="20% - Accent1 3 3 3" xfId="4923" xr:uid="{00000000-0005-0000-0000-00006A000000}"/>
    <cellStyle name="20% - Accent1 3 3 3 2" xfId="14249" xr:uid="{D00B274F-6D5A-4698-AF0C-8AEF6BC2988A}"/>
    <cellStyle name="20% - Accent1 3 3 4" xfId="9286" xr:uid="{B5220C4B-EBE7-4AD0-9A24-7F16FA378184}"/>
    <cellStyle name="20% - Accent1 3 3 4 2" xfId="18601" xr:uid="{CFF80E0E-4D19-4FBE-8A3C-5780601434C3}"/>
    <cellStyle name="20% - Accent1 3 3 5" xfId="10032" xr:uid="{33F6DCBF-8CB0-4149-A014-CA42BA0F5F2C}"/>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807" xr:uid="{4E95CD7C-8802-46EC-9D89-5FF24A42066B}"/>
    <cellStyle name="20% - Accent1 3 4 2 3" xfId="12590" xr:uid="{A78E9762-C2F5-4188-B1B2-15F958D4174C}"/>
    <cellStyle name="20% - Accent1 3 4 3" xfId="5336" xr:uid="{00000000-0005-0000-0000-00006E000000}"/>
    <cellStyle name="20% - Accent1 3 4 3 2" xfId="14662" xr:uid="{DC7F3E4D-BD00-4DE1-A0D5-8081A13033DA}"/>
    <cellStyle name="20% - Accent1 3 4 4" xfId="10445" xr:uid="{7281C4CA-B1EA-45C6-8916-9007CE91426C}"/>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220" xr:uid="{77AF5C01-B353-4BCC-AF9E-FAC91AE7578F}"/>
    <cellStyle name="20% - Accent1 3 5 2 3" xfId="13003" xr:uid="{E0DCA3CF-A837-4D00-83A7-2D062FCE048A}"/>
    <cellStyle name="20% - Accent1 3 5 3" xfId="5749" xr:uid="{00000000-0005-0000-0000-000072000000}"/>
    <cellStyle name="20% - Accent1 3 5 3 2" xfId="15075" xr:uid="{7EEAAB95-4B72-43D0-8B29-46EC256C22D1}"/>
    <cellStyle name="20% - Accent1 3 5 4" xfId="10858" xr:uid="{3F27C7EF-DFE7-4B4B-9D9B-18BB3DC50E36}"/>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633" xr:uid="{4EC2C6C4-CA7B-4CDD-83D3-C529E2970E73}"/>
    <cellStyle name="20% - Accent1 3 6 2 3" xfId="13416" xr:uid="{0A8EC267-7F04-4B51-888E-4AE7CB1DC65F}"/>
    <cellStyle name="20% - Accent1 3 6 3" xfId="6162" xr:uid="{00000000-0005-0000-0000-000076000000}"/>
    <cellStyle name="20% - Accent1 3 6 3 2" xfId="15488" xr:uid="{B2D15BDB-579F-405F-B279-FD82D264DFA8}"/>
    <cellStyle name="20% - Accent1 3 6 4" xfId="11271" xr:uid="{67190D1D-A908-4D3A-8385-B88D184C0F0D}"/>
    <cellStyle name="20% - Accent1 3 7" xfId="2269" xr:uid="{00000000-0005-0000-0000-000077000000}"/>
    <cellStyle name="20% - Accent1 3 7 2" xfId="6575" xr:uid="{00000000-0005-0000-0000-000078000000}"/>
    <cellStyle name="20% - Accent1 3 7 2 2" xfId="15901" xr:uid="{2E21182A-01DD-472F-BC58-F9F9AD29EC39}"/>
    <cellStyle name="20% - Accent1 3 7 3" xfId="11684" xr:uid="{7DD00E5A-B0DF-4470-A4A8-F01435E21332}"/>
    <cellStyle name="20% - Accent1 3 8" xfId="4509" xr:uid="{00000000-0005-0000-0000-000079000000}"/>
    <cellStyle name="20% - Accent1 3 8 2" xfId="13835" xr:uid="{233917F4-FDC6-40FB-A47B-55F9CAD3C75A}"/>
    <cellStyle name="20% - Accent1 3 9" xfId="8861" xr:uid="{C1B75176-75E3-4E31-86A7-851E7FD67A9E}"/>
    <cellStyle name="20% - Accent1 3 9 2" xfId="18185" xr:uid="{75E1FFAC-3B87-4D02-A89F-E60654A6BC07}"/>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96" xr:uid="{E7551CD9-834F-46B0-A810-CAD7C3962ED7}"/>
    <cellStyle name="20% - Accent1 4 2 2 3" xfId="12179" xr:uid="{4F5F2B82-BE2B-4C2A-8C9B-8B1B705BF059}"/>
    <cellStyle name="20% - Accent1 4 2 3" xfId="4925" xr:uid="{00000000-0005-0000-0000-00007E000000}"/>
    <cellStyle name="20% - Accent1 4 2 3 2" xfId="14251" xr:uid="{97EBE0AE-7C08-4CCF-975C-44DE100BB7B6}"/>
    <cellStyle name="20% - Accent1 4 2 4" xfId="9372" xr:uid="{E6B08341-6F7D-4580-9BCF-4BFC252FAE31}"/>
    <cellStyle name="20% - Accent1 4 2 4 2" xfId="18687" xr:uid="{77A5D3F5-9799-4A1A-9450-99E6591F5CDC}"/>
    <cellStyle name="20% - Accent1 4 2 5" xfId="10034" xr:uid="{50DE51F9-F488-4F62-98A4-635B97B9B494}"/>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809" xr:uid="{30645E1C-7775-4C10-B601-AAD81F4D319B}"/>
    <cellStyle name="20% - Accent1 4 3 2 3" xfId="12592" xr:uid="{C224B0A1-572A-450D-AAE2-A79D28BC4E01}"/>
    <cellStyle name="20% - Accent1 4 3 3" xfId="5338" xr:uid="{00000000-0005-0000-0000-000082000000}"/>
    <cellStyle name="20% - Accent1 4 3 3 2" xfId="14664" xr:uid="{4A16CB30-60A8-43F2-BF1E-3C2FC716C11E}"/>
    <cellStyle name="20% - Accent1 4 3 4" xfId="10447" xr:uid="{38406BA2-4D3D-4D13-8355-834064BAAE3F}"/>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222" xr:uid="{FEC5F329-6E8D-4BF0-B320-EAC03436D50E}"/>
    <cellStyle name="20% - Accent1 4 4 2 3" xfId="13005" xr:uid="{D0429A04-0F2B-4C01-BA5A-C352D04CE759}"/>
    <cellStyle name="20% - Accent1 4 4 3" xfId="5751" xr:uid="{00000000-0005-0000-0000-000086000000}"/>
    <cellStyle name="20% - Accent1 4 4 3 2" xfId="15077" xr:uid="{64C48689-F11F-4E7A-9C86-EEDECC3D4F62}"/>
    <cellStyle name="20% - Accent1 4 4 4" xfId="10860" xr:uid="{B95D6CE5-C9D7-4A95-9DCA-6192D84E9161}"/>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635" xr:uid="{5B1F7104-DD27-49D3-9819-1B17AF6BF44D}"/>
    <cellStyle name="20% - Accent1 4 5 2 3" xfId="13418" xr:uid="{3BE579E6-BAAE-411C-A90E-7C578E078CE2}"/>
    <cellStyle name="20% - Accent1 4 5 3" xfId="6164" xr:uid="{00000000-0005-0000-0000-00008A000000}"/>
    <cellStyle name="20% - Accent1 4 5 3 2" xfId="15490" xr:uid="{D10B15EB-C867-4F9C-9F27-9D816E0E7631}"/>
    <cellStyle name="20% - Accent1 4 5 4" xfId="11273" xr:uid="{94C7E661-7578-4AE4-A7F5-50EC6565730E}"/>
    <cellStyle name="20% - Accent1 4 6" xfId="2271" xr:uid="{00000000-0005-0000-0000-00008B000000}"/>
    <cellStyle name="20% - Accent1 4 6 2" xfId="6577" xr:uid="{00000000-0005-0000-0000-00008C000000}"/>
    <cellStyle name="20% - Accent1 4 6 2 2" xfId="15903" xr:uid="{AF5DD342-6455-4CFD-9CA8-27C39E56C87A}"/>
    <cellStyle name="20% - Accent1 4 6 3" xfId="11686" xr:uid="{4E38862E-F9B8-4147-B8D6-E0B55A8CDC6E}"/>
    <cellStyle name="20% - Accent1 4 7" xfId="4511" xr:uid="{00000000-0005-0000-0000-00008D000000}"/>
    <cellStyle name="20% - Accent1 4 7 2" xfId="13837" xr:uid="{478327FB-9F9C-42DD-85FE-EE7B80C2410F}"/>
    <cellStyle name="20% - Accent1 4 8" xfId="8947" xr:uid="{1FCDBFE2-CC86-42DD-AD9B-D3EAF476002E}"/>
    <cellStyle name="20% - Accent1 4 8 2" xfId="18271" xr:uid="{9E80847A-7523-4A84-AF3C-4B2DFC45B40F}"/>
    <cellStyle name="20% - Accent1 4 9" xfId="9620" xr:uid="{AA61A210-2624-4163-89B7-E2E739EE72AD}"/>
    <cellStyle name="20% - Accent1 5" xfId="570" xr:uid="{00000000-0005-0000-0000-00008E000000}"/>
    <cellStyle name="20% - Accent1 5 2" xfId="2841" xr:uid="{00000000-0005-0000-0000-00008F000000}"/>
    <cellStyle name="20% - Accent1 5 2 2" xfId="7063" xr:uid="{00000000-0005-0000-0000-000090000000}"/>
    <cellStyle name="20% - Accent1 5 2 2 2" xfId="16389" xr:uid="{9C9FB548-32B7-438E-8BC7-A5E317EC7E2A}"/>
    <cellStyle name="20% - Accent1 5 2 3" xfId="12172" xr:uid="{3A3DE3CF-E8A5-4758-A98F-48159AEE472C}"/>
    <cellStyle name="20% - Accent1 5 3" xfId="4918" xr:uid="{00000000-0005-0000-0000-000091000000}"/>
    <cellStyle name="20% - Accent1 5 3 2" xfId="14244" xr:uid="{58D9059E-6374-4BAC-BD50-DB8486253D5E}"/>
    <cellStyle name="20% - Accent1 5 4" xfId="9180" xr:uid="{D0AEF57E-25E3-47C5-B910-DC1A0019F498}"/>
    <cellStyle name="20% - Accent1 5 4 2" xfId="18498" xr:uid="{051A9D30-EC51-4275-931A-44258F99710D}"/>
    <cellStyle name="20% - Accent1 5 5" xfId="10027" xr:uid="{13C9AFDC-8606-4833-BBC5-749378D4AC25}"/>
    <cellStyle name="20% - Accent1 6" xfId="1023" xr:uid="{00000000-0005-0000-0000-000092000000}"/>
    <cellStyle name="20% - Accent1 6 2" xfId="3254" xr:uid="{00000000-0005-0000-0000-000093000000}"/>
    <cellStyle name="20% - Accent1 6 2 2" xfId="7476" xr:uid="{00000000-0005-0000-0000-000094000000}"/>
    <cellStyle name="20% - Accent1 6 2 2 2" xfId="16802" xr:uid="{95BF2B24-5D47-496E-BC3D-962036797E19}"/>
    <cellStyle name="20% - Accent1 6 2 3" xfId="12585" xr:uid="{EBABBFCB-D95D-4ABA-8A45-FDDD04CD2954}"/>
    <cellStyle name="20% - Accent1 6 3" xfId="5331" xr:uid="{00000000-0005-0000-0000-000095000000}"/>
    <cellStyle name="20% - Accent1 6 3 2" xfId="14657" xr:uid="{57A18374-5CE4-4FED-99BD-44CA7D31C4E7}"/>
    <cellStyle name="20% - Accent1 6 4" xfId="10440" xr:uid="{740EA5B5-51E6-41A3-8400-C6F9EC64950A}"/>
    <cellStyle name="20% - Accent1 7" xfId="1437" xr:uid="{00000000-0005-0000-0000-000096000000}"/>
    <cellStyle name="20% - Accent1 7 2" xfId="3667" xr:uid="{00000000-0005-0000-0000-000097000000}"/>
    <cellStyle name="20% - Accent1 7 2 2" xfId="7889" xr:uid="{00000000-0005-0000-0000-000098000000}"/>
    <cellStyle name="20% - Accent1 7 2 2 2" xfId="17215" xr:uid="{54FA202F-869F-43ED-AAEB-F272F4158906}"/>
    <cellStyle name="20% - Accent1 7 2 3" xfId="12998" xr:uid="{14F6029E-7EF7-4ADF-84D8-CB009599D42C}"/>
    <cellStyle name="20% - Accent1 7 3" xfId="5744" xr:uid="{00000000-0005-0000-0000-000099000000}"/>
    <cellStyle name="20% - Accent1 7 3 2" xfId="15070" xr:uid="{87A86D31-AD6A-4A4A-A6A1-7B63605A8DE8}"/>
    <cellStyle name="20% - Accent1 7 4" xfId="10853" xr:uid="{1A23D0B5-0956-410E-857E-D7CC7B8D9A54}"/>
    <cellStyle name="20% - Accent1 8" xfId="1851" xr:uid="{00000000-0005-0000-0000-00009A000000}"/>
    <cellStyle name="20% - Accent1 8 2" xfId="4080" xr:uid="{00000000-0005-0000-0000-00009B000000}"/>
    <cellStyle name="20% - Accent1 8 2 2" xfId="8302" xr:uid="{00000000-0005-0000-0000-00009C000000}"/>
    <cellStyle name="20% - Accent1 8 2 2 2" xfId="17628" xr:uid="{B5ED4B4F-35BA-4E54-94A9-F6F3C03962C4}"/>
    <cellStyle name="20% - Accent1 8 2 3" xfId="13411" xr:uid="{C5240D21-911C-47E1-8427-1AEEC9929227}"/>
    <cellStyle name="20% - Accent1 8 3" xfId="6157" xr:uid="{00000000-0005-0000-0000-00009D000000}"/>
    <cellStyle name="20% - Accent1 8 3 2" xfId="15483" xr:uid="{9EF97441-9463-42B8-9947-612721D64DF8}"/>
    <cellStyle name="20% - Accent1 8 4" xfId="11266" xr:uid="{CC2804C9-2582-487B-BE13-4892F1DF392D}"/>
    <cellStyle name="20% - Accent1 9" xfId="2264" xr:uid="{00000000-0005-0000-0000-00009E000000}"/>
    <cellStyle name="20% - Accent1 9 2" xfId="6570" xr:uid="{00000000-0005-0000-0000-00009F000000}"/>
    <cellStyle name="20% - Accent1 9 2 2" xfId="15896" xr:uid="{1ACA1D41-9425-4B58-A86F-E4536E94B7C4}"/>
    <cellStyle name="20% - Accent1 9 3" xfId="11679" xr:uid="{54437B99-8CD7-4FD4-AE4E-529785995760}"/>
    <cellStyle name="20% - Accent2" xfId="9" builtinId="34" customBuiltin="1"/>
    <cellStyle name="20% - Accent2 10" xfId="4512" xr:uid="{00000000-0005-0000-0000-0000A1000000}"/>
    <cellStyle name="20% - Accent2 10 2" xfId="13838" xr:uid="{C5253065-44BA-488C-91AC-B443F8476A54}"/>
    <cellStyle name="20% - Accent2 11" xfId="8760" xr:uid="{2F9D8AF1-C115-467C-ADFB-3BF13039D076}"/>
    <cellStyle name="20% - Accent2 11 2" xfId="18084" xr:uid="{19E9E1E4-F3D6-4D11-8477-7C181F259375}"/>
    <cellStyle name="20% - Accent2 12" xfId="9621" xr:uid="{4900A61D-76A9-4AC2-838F-6525ECDAC4F0}"/>
    <cellStyle name="20% - Accent2 2" xfId="10" xr:uid="{00000000-0005-0000-0000-0000A2000000}"/>
    <cellStyle name="20% - Accent2 2 10" xfId="8793" xr:uid="{AA7C3473-3A75-4F75-9E25-D7658C57F3A0}"/>
    <cellStyle name="20% - Accent2 2 10 2" xfId="18117" xr:uid="{87576751-C0D6-4174-8418-6A63C5571720}"/>
    <cellStyle name="20% - Accent2 2 11" xfId="9622" xr:uid="{27B55713-4E65-4A09-9898-9CA361424AC7}"/>
    <cellStyle name="20% - Accent2 2 2" xfId="11" xr:uid="{00000000-0005-0000-0000-0000A3000000}"/>
    <cellStyle name="20% - Accent2 2 2 10" xfId="9623" xr:uid="{EBCAF636-CD06-4254-B7E7-BFA2B5B4BBFD}"/>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400" xr:uid="{C5C8149D-15CE-4A6D-83F7-545F40AB986C}"/>
    <cellStyle name="20% - Accent2 2 2 2 2 2 3" xfId="12183" xr:uid="{0DFEA52F-ED06-4FCF-8FA3-4777F39953E0}"/>
    <cellStyle name="20% - Accent2 2 2 2 2 3" xfId="4929" xr:uid="{00000000-0005-0000-0000-0000A8000000}"/>
    <cellStyle name="20% - Accent2 2 2 2 2 3 2" xfId="14255" xr:uid="{AFDA4C83-C1F3-43C0-9F9D-60B14F0D1A63}"/>
    <cellStyle name="20% - Accent2 2 2 2 2 4" xfId="9528" xr:uid="{C8BEA541-FD8B-4449-95AA-43E1904F35BB}"/>
    <cellStyle name="20% - Accent2 2 2 2 2 4 2" xfId="18843" xr:uid="{8958CBEE-D279-4BF0-9CB5-B6C491838973}"/>
    <cellStyle name="20% - Accent2 2 2 2 2 5" xfId="10038" xr:uid="{E35F33EF-F7CB-413C-97BC-591CB1D1D091}"/>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813" xr:uid="{F84BF077-D567-4E70-8955-A9C95CFFE738}"/>
    <cellStyle name="20% - Accent2 2 2 2 3 2 3" xfId="12596" xr:uid="{A90B8F1E-2A0C-4959-9D46-2A25E840B95B}"/>
    <cellStyle name="20% - Accent2 2 2 2 3 3" xfId="5342" xr:uid="{00000000-0005-0000-0000-0000AC000000}"/>
    <cellStyle name="20% - Accent2 2 2 2 3 3 2" xfId="14668" xr:uid="{2EFAC5AD-84D9-4066-A11B-3695591B5326}"/>
    <cellStyle name="20% - Accent2 2 2 2 3 4" xfId="10451" xr:uid="{5DCC17DE-36D8-4C41-ABCC-5D54B1FD4ADD}"/>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226" xr:uid="{A47BD3A4-2EF7-481A-BC25-82FEFDD3AD9E}"/>
    <cellStyle name="20% - Accent2 2 2 2 4 2 3" xfId="13009" xr:uid="{2822F08A-C4D5-491C-895A-995DA50D1AF5}"/>
    <cellStyle name="20% - Accent2 2 2 2 4 3" xfId="5755" xr:uid="{00000000-0005-0000-0000-0000B0000000}"/>
    <cellStyle name="20% - Accent2 2 2 2 4 3 2" xfId="15081" xr:uid="{3B489D35-CC08-432A-A629-82B1D9EBF069}"/>
    <cellStyle name="20% - Accent2 2 2 2 4 4" xfId="10864" xr:uid="{9F0FF22C-D5BE-4E72-A65D-3BE5BFC21D63}"/>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639" xr:uid="{4A3FFA57-FD84-4333-8FE8-BB42F09C1B47}"/>
    <cellStyle name="20% - Accent2 2 2 2 5 2 3" xfId="13422" xr:uid="{5E865213-31E4-438C-83AA-D97679DBB138}"/>
    <cellStyle name="20% - Accent2 2 2 2 5 3" xfId="6168" xr:uid="{00000000-0005-0000-0000-0000B4000000}"/>
    <cellStyle name="20% - Accent2 2 2 2 5 3 2" xfId="15494" xr:uid="{11EB2AD0-AD21-4819-B61B-74CECAD97744}"/>
    <cellStyle name="20% - Accent2 2 2 2 5 4" xfId="11277" xr:uid="{EE4E3BAD-AC7F-452A-82B3-21905121EABB}"/>
    <cellStyle name="20% - Accent2 2 2 2 6" xfId="2275" xr:uid="{00000000-0005-0000-0000-0000B5000000}"/>
    <cellStyle name="20% - Accent2 2 2 2 6 2" xfId="6581" xr:uid="{00000000-0005-0000-0000-0000B6000000}"/>
    <cellStyle name="20% - Accent2 2 2 2 6 2 2" xfId="15907" xr:uid="{E61C6B8C-ECDA-4324-A7BF-7C100AFADA8F}"/>
    <cellStyle name="20% - Accent2 2 2 2 6 3" xfId="11690" xr:uid="{6BB8458E-350B-44BB-A43E-18A1E4413B86}"/>
    <cellStyle name="20% - Accent2 2 2 2 7" xfId="4515" xr:uid="{00000000-0005-0000-0000-0000B7000000}"/>
    <cellStyle name="20% - Accent2 2 2 2 7 2" xfId="13841" xr:uid="{96F8A09E-3EE2-40C9-A76A-8F8D63396BDA}"/>
    <cellStyle name="20% - Accent2 2 2 2 8" xfId="9103" xr:uid="{91DB80A1-3464-4086-B948-71B6A26537C4}"/>
    <cellStyle name="20% - Accent2 2 2 2 8 2" xfId="18427" xr:uid="{2BB8B040-4985-4DA4-9082-FC0EDFB83882}"/>
    <cellStyle name="20% - Accent2 2 2 2 9" xfId="9624" xr:uid="{E8C082D1-FF2A-45AD-87CB-853F54A00F3C}"/>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99" xr:uid="{EFAE3D18-2073-4288-A99A-B8AFD7F32E66}"/>
    <cellStyle name="20% - Accent2 2 2 3 2 3" xfId="12182" xr:uid="{3ADFAC1A-A99E-477B-A756-7C8CBC397CEE}"/>
    <cellStyle name="20% - Accent2 2 2 3 3" xfId="4928" xr:uid="{00000000-0005-0000-0000-0000BB000000}"/>
    <cellStyle name="20% - Accent2 2 2 3 3 2" xfId="14254" xr:uid="{1B7EAFB3-649A-4492-A62F-FD7C218918A8}"/>
    <cellStyle name="20% - Accent2 2 2 3 4" xfId="9321" xr:uid="{32B21C3A-E360-4F19-B469-1116F045A0F3}"/>
    <cellStyle name="20% - Accent2 2 2 3 4 2" xfId="18636" xr:uid="{0B9B9C36-5EFF-44A3-97A0-0F937FFCDFC4}"/>
    <cellStyle name="20% - Accent2 2 2 3 5" xfId="10037" xr:uid="{25726808-E562-45AB-ABB9-BE21ED8B6879}"/>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812" xr:uid="{D7C50EA9-1AF8-4708-B150-242EA0F5E25E}"/>
    <cellStyle name="20% - Accent2 2 2 4 2 3" xfId="12595" xr:uid="{4E831881-4A25-4166-8EE6-849E9BDB8B25}"/>
    <cellStyle name="20% - Accent2 2 2 4 3" xfId="5341" xr:uid="{00000000-0005-0000-0000-0000BF000000}"/>
    <cellStyle name="20% - Accent2 2 2 4 3 2" xfId="14667" xr:uid="{4832B607-7B7B-49FF-9CDA-43D16CFAE827}"/>
    <cellStyle name="20% - Accent2 2 2 4 4" xfId="10450" xr:uid="{8D647654-026B-47B1-B199-3AD18E0E0B3D}"/>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225" xr:uid="{528F8C2A-FC5D-4E91-A344-F44FE164D009}"/>
    <cellStyle name="20% - Accent2 2 2 5 2 3" xfId="13008" xr:uid="{AD0AED89-F1EA-443F-A147-C434DE795AE7}"/>
    <cellStyle name="20% - Accent2 2 2 5 3" xfId="5754" xr:uid="{00000000-0005-0000-0000-0000C3000000}"/>
    <cellStyle name="20% - Accent2 2 2 5 3 2" xfId="15080" xr:uid="{F6C23601-7878-4A3D-A99B-16D51952B669}"/>
    <cellStyle name="20% - Accent2 2 2 5 4" xfId="10863" xr:uid="{107E3479-79FA-447D-904D-5D98A6E1B012}"/>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638" xr:uid="{7CBDDA8B-605C-4333-8EAC-C4ECBB582576}"/>
    <cellStyle name="20% - Accent2 2 2 6 2 3" xfId="13421" xr:uid="{FD8D6402-CE37-404B-AFDB-BF39D59B21DF}"/>
    <cellStyle name="20% - Accent2 2 2 6 3" xfId="6167" xr:uid="{00000000-0005-0000-0000-0000C7000000}"/>
    <cellStyle name="20% - Accent2 2 2 6 3 2" xfId="15493" xr:uid="{D576CBE1-8417-4F1B-AE6C-56AA89F6950B}"/>
    <cellStyle name="20% - Accent2 2 2 6 4" xfId="11276" xr:uid="{FC9DDA13-47E3-408A-BDA7-FF91B6C681D0}"/>
    <cellStyle name="20% - Accent2 2 2 7" xfId="2274" xr:uid="{00000000-0005-0000-0000-0000C8000000}"/>
    <cellStyle name="20% - Accent2 2 2 7 2" xfId="6580" xr:uid="{00000000-0005-0000-0000-0000C9000000}"/>
    <cellStyle name="20% - Accent2 2 2 7 2 2" xfId="15906" xr:uid="{0D08C63C-16A4-434B-9438-0523994890E3}"/>
    <cellStyle name="20% - Accent2 2 2 7 3" xfId="11689" xr:uid="{46EDDC9E-10E0-4622-9CDE-0CA3B98E6742}"/>
    <cellStyle name="20% - Accent2 2 2 8" xfId="4514" xr:uid="{00000000-0005-0000-0000-0000CA000000}"/>
    <cellStyle name="20% - Accent2 2 2 8 2" xfId="13840" xr:uid="{67C1203C-E2A3-46FA-9DDB-8F70B85329E1}"/>
    <cellStyle name="20% - Accent2 2 2 9" xfId="8896" xr:uid="{7CDAA0F1-5BE6-4749-AD4D-5424E0EA26D8}"/>
    <cellStyle name="20% - Accent2 2 2 9 2" xfId="18220" xr:uid="{5647A297-6716-4680-B466-23CA1BD00C77}"/>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401" xr:uid="{BCE70DA6-2EF3-4D96-A094-302575F8D728}"/>
    <cellStyle name="20% - Accent2 2 3 2 2 3" xfId="12184" xr:uid="{87B39D5F-BA9D-4A78-9ABC-5B3F48BF09DE}"/>
    <cellStyle name="20% - Accent2 2 3 2 3" xfId="4930" xr:uid="{00000000-0005-0000-0000-0000CF000000}"/>
    <cellStyle name="20% - Accent2 2 3 2 3 2" xfId="14256" xr:uid="{E8F799F7-89BB-4FBB-AD5A-32B701C72EA3}"/>
    <cellStyle name="20% - Accent2 2 3 2 4" xfId="9425" xr:uid="{35BECFF4-0F5A-4F6E-AE6E-354891135B4F}"/>
    <cellStyle name="20% - Accent2 2 3 2 4 2" xfId="18740" xr:uid="{4839C728-42D6-45A8-AC4C-92A9732D9EAF}"/>
    <cellStyle name="20% - Accent2 2 3 2 5" xfId="10039" xr:uid="{9B14CF15-7109-4896-A341-AAC4B8AA0C42}"/>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814" xr:uid="{88C81C9C-946C-48D5-87D0-934A2A9A0D62}"/>
    <cellStyle name="20% - Accent2 2 3 3 2 3" xfId="12597" xr:uid="{5AFF3B19-1BCC-46B5-8C0F-95DE42BC5B9D}"/>
    <cellStyle name="20% - Accent2 2 3 3 3" xfId="5343" xr:uid="{00000000-0005-0000-0000-0000D3000000}"/>
    <cellStyle name="20% - Accent2 2 3 3 3 2" xfId="14669" xr:uid="{E9C34753-4A4A-4024-B13D-12B6B62CF095}"/>
    <cellStyle name="20% - Accent2 2 3 3 4" xfId="10452" xr:uid="{683D852A-496C-42EE-9D22-B0AF01071DCD}"/>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227" xr:uid="{46F9D3FB-2F56-4E01-93B6-D265696BE080}"/>
    <cellStyle name="20% - Accent2 2 3 4 2 3" xfId="13010" xr:uid="{BD7BE3A9-1F7D-419D-8CE4-FC2D0D1253C4}"/>
    <cellStyle name="20% - Accent2 2 3 4 3" xfId="5756" xr:uid="{00000000-0005-0000-0000-0000D7000000}"/>
    <cellStyle name="20% - Accent2 2 3 4 3 2" xfId="15082" xr:uid="{55ACE097-51E6-4B89-9D09-62EA1C5CB60F}"/>
    <cellStyle name="20% - Accent2 2 3 4 4" xfId="10865" xr:uid="{A49C0203-7DE7-474C-8AEC-008EEE211C1A}"/>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640" xr:uid="{DA843E23-7330-4806-8926-B3F2BDBFBA31}"/>
    <cellStyle name="20% - Accent2 2 3 5 2 3" xfId="13423" xr:uid="{D07C38C7-FF54-4B80-B1A4-799A6F818A7D}"/>
    <cellStyle name="20% - Accent2 2 3 5 3" xfId="6169" xr:uid="{00000000-0005-0000-0000-0000DB000000}"/>
    <cellStyle name="20% - Accent2 2 3 5 3 2" xfId="15495" xr:uid="{D4DF93B8-0824-4D7D-B6A0-9B0B06784BD6}"/>
    <cellStyle name="20% - Accent2 2 3 5 4" xfId="11278" xr:uid="{36D21658-F97D-4021-BA3C-CAE8655A9482}"/>
    <cellStyle name="20% - Accent2 2 3 6" xfId="2276" xr:uid="{00000000-0005-0000-0000-0000DC000000}"/>
    <cellStyle name="20% - Accent2 2 3 6 2" xfId="6582" xr:uid="{00000000-0005-0000-0000-0000DD000000}"/>
    <cellStyle name="20% - Accent2 2 3 6 2 2" xfId="15908" xr:uid="{263ACA52-26BF-4532-8F14-831EE921F563}"/>
    <cellStyle name="20% - Accent2 2 3 6 3" xfId="11691" xr:uid="{837743B5-4B0D-46BA-8569-352DD3C530C9}"/>
    <cellStyle name="20% - Accent2 2 3 7" xfId="4516" xr:uid="{00000000-0005-0000-0000-0000DE000000}"/>
    <cellStyle name="20% - Accent2 2 3 7 2" xfId="13842" xr:uid="{1B66414D-92AB-4444-BC03-54016C58CCD4}"/>
    <cellStyle name="20% - Accent2 2 3 8" xfId="9000" xr:uid="{133DFC5C-F2FF-49E9-82EE-ABAA9C815393}"/>
    <cellStyle name="20% - Accent2 2 3 8 2" xfId="18324" xr:uid="{329146E0-9972-45F8-9D4D-CA445EB6269E}"/>
    <cellStyle name="20% - Accent2 2 3 9" xfId="9625" xr:uid="{2B3B42A6-EC75-4319-87B2-EC634126C012}"/>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98" xr:uid="{942659EC-7EB2-4334-8A8A-10095781D051}"/>
    <cellStyle name="20% - Accent2 2 4 2 3" xfId="12181" xr:uid="{76FE6D21-F924-4581-9165-16AD9C984372}"/>
    <cellStyle name="20% - Accent2 2 4 3" xfId="4927" xr:uid="{00000000-0005-0000-0000-0000E2000000}"/>
    <cellStyle name="20% - Accent2 2 4 3 2" xfId="14253" xr:uid="{8ADD847C-9A5A-420E-AEB8-01C00F2E6F13}"/>
    <cellStyle name="20% - Accent2 2 4 4" xfId="9217" xr:uid="{28DDC3F5-BA57-40F8-8D06-6CFF141CF9A1}"/>
    <cellStyle name="20% - Accent2 2 4 4 2" xfId="18533" xr:uid="{4CF5ECF5-DA6B-4FED-B2E9-AE79A24B3D1B}"/>
    <cellStyle name="20% - Accent2 2 4 5" xfId="10036" xr:uid="{1EDCC546-980A-45C6-8173-F7393C299E81}"/>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811" xr:uid="{2A04D490-39D6-4AF4-80DE-59CD2D5CDE78}"/>
    <cellStyle name="20% - Accent2 2 5 2 3" xfId="12594" xr:uid="{CC005E58-32AA-4E54-94D2-6A1A45711815}"/>
    <cellStyle name="20% - Accent2 2 5 3" xfId="5340" xr:uid="{00000000-0005-0000-0000-0000E6000000}"/>
    <cellStyle name="20% - Accent2 2 5 3 2" xfId="14666" xr:uid="{7AE5696A-1A07-4837-858A-3ECD12C57000}"/>
    <cellStyle name="20% - Accent2 2 5 4" xfId="10449" xr:uid="{B43657A8-FA71-4A71-920F-E463F3B2AB98}"/>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224" xr:uid="{CF8D05EE-78F1-468D-9266-5DD4B337DF4C}"/>
    <cellStyle name="20% - Accent2 2 6 2 3" xfId="13007" xr:uid="{BC3D3774-5CE0-41DB-8281-5EBA91D5F8BA}"/>
    <cellStyle name="20% - Accent2 2 6 3" xfId="5753" xr:uid="{00000000-0005-0000-0000-0000EA000000}"/>
    <cellStyle name="20% - Accent2 2 6 3 2" xfId="15079" xr:uid="{C8F43C9A-BCFC-4079-BAAC-196056B448B3}"/>
    <cellStyle name="20% - Accent2 2 6 4" xfId="10862" xr:uid="{3A296D10-8467-4E1D-9FD0-29AA50C8EB1C}"/>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637" xr:uid="{70979764-AD28-4A4E-83B1-B0DD3F43F32F}"/>
    <cellStyle name="20% - Accent2 2 7 2 3" xfId="13420" xr:uid="{7E671753-C3EA-4CBF-BF62-9251950B14C4}"/>
    <cellStyle name="20% - Accent2 2 7 3" xfId="6166" xr:uid="{00000000-0005-0000-0000-0000EE000000}"/>
    <cellStyle name="20% - Accent2 2 7 3 2" xfId="15492" xr:uid="{220FC04F-DB7E-4EC5-ACEC-B54785509683}"/>
    <cellStyle name="20% - Accent2 2 7 4" xfId="11275" xr:uid="{935A75E7-51BF-4B2E-94AC-4F42CB253F1D}"/>
    <cellStyle name="20% - Accent2 2 8" xfId="2273" xr:uid="{00000000-0005-0000-0000-0000EF000000}"/>
    <cellStyle name="20% - Accent2 2 8 2" xfId="6579" xr:uid="{00000000-0005-0000-0000-0000F0000000}"/>
    <cellStyle name="20% - Accent2 2 8 2 2" xfId="15905" xr:uid="{571A58FD-16F7-4EF8-B828-09320EE58ECD}"/>
    <cellStyle name="20% - Accent2 2 8 3" xfId="11688" xr:uid="{B9C0DBBA-E340-40C3-BD64-02A79AEAAEB2}"/>
    <cellStyle name="20% - Accent2 2 9" xfId="4513" xr:uid="{00000000-0005-0000-0000-0000F1000000}"/>
    <cellStyle name="20% - Accent2 2 9 2" xfId="13839" xr:uid="{BFBDB260-76FF-4295-A406-81DCE88361E3}"/>
    <cellStyle name="20% - Accent2 3" xfId="14" xr:uid="{00000000-0005-0000-0000-0000F2000000}"/>
    <cellStyle name="20% - Accent2 3 10" xfId="9626" xr:uid="{9CBE398D-7948-4E28-B206-AB683415CA32}"/>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403" xr:uid="{524179FE-3239-4A2C-92E0-F8F4AE9F8DC4}"/>
    <cellStyle name="20% - Accent2 3 2 2 2 3" xfId="12186" xr:uid="{C93CEBA4-D95D-435E-9880-6486A273EB87}"/>
    <cellStyle name="20% - Accent2 3 2 2 3" xfId="4932" xr:uid="{00000000-0005-0000-0000-0000F7000000}"/>
    <cellStyle name="20% - Accent2 3 2 2 3 2" xfId="14258" xr:uid="{AA2A010E-D07F-4E0D-8FE1-0ACD7C4614ED}"/>
    <cellStyle name="20% - Accent2 3 2 2 4" xfId="9495" xr:uid="{9F5A6FE7-BBC9-4787-8EC4-2112F4D5A0EA}"/>
    <cellStyle name="20% - Accent2 3 2 2 4 2" xfId="18810" xr:uid="{77177160-ECE3-416D-B1B0-D6273CCD8F0B}"/>
    <cellStyle name="20% - Accent2 3 2 2 5" xfId="10041" xr:uid="{47ECC4D6-1F8B-423A-BB79-F3F40E9A13AC}"/>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816" xr:uid="{3197521D-EB18-433A-98BD-F008C04C4D33}"/>
    <cellStyle name="20% - Accent2 3 2 3 2 3" xfId="12599" xr:uid="{7F2795D2-2B9C-45EF-8DB8-0D8DA374F323}"/>
    <cellStyle name="20% - Accent2 3 2 3 3" xfId="5345" xr:uid="{00000000-0005-0000-0000-0000FB000000}"/>
    <cellStyle name="20% - Accent2 3 2 3 3 2" xfId="14671" xr:uid="{F99359CD-2A26-4A15-AE7F-0AC93D34DE23}"/>
    <cellStyle name="20% - Accent2 3 2 3 4" xfId="10454" xr:uid="{B2FCCF98-4AC0-420A-B428-8E666A797CBC}"/>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229" xr:uid="{6A233D7C-51FF-4488-A2FD-692AD5D135CA}"/>
    <cellStyle name="20% - Accent2 3 2 4 2 3" xfId="13012" xr:uid="{57FD0176-09E8-495A-A494-DBF3257B85F2}"/>
    <cellStyle name="20% - Accent2 3 2 4 3" xfId="5758" xr:uid="{00000000-0005-0000-0000-0000FF000000}"/>
    <cellStyle name="20% - Accent2 3 2 4 3 2" xfId="15084" xr:uid="{A7FA2D11-A8CE-4694-A8F0-4FD436FB9D63}"/>
    <cellStyle name="20% - Accent2 3 2 4 4" xfId="10867" xr:uid="{134747AD-056D-4C1D-A684-6F67E047AE88}"/>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642" xr:uid="{28E11CBE-162D-4740-B975-CF3640CFB48F}"/>
    <cellStyle name="20% - Accent2 3 2 5 2 3" xfId="13425" xr:uid="{8F4983DB-438A-46DA-8612-9F4004A1A96E}"/>
    <cellStyle name="20% - Accent2 3 2 5 3" xfId="6171" xr:uid="{00000000-0005-0000-0000-000003010000}"/>
    <cellStyle name="20% - Accent2 3 2 5 3 2" xfId="15497" xr:uid="{24FCB6C2-5567-43CB-A310-2883ABB0FBC5}"/>
    <cellStyle name="20% - Accent2 3 2 5 4" xfId="11280" xr:uid="{09C4B0F1-D02D-44D6-BBB6-F177EF8A3630}"/>
    <cellStyle name="20% - Accent2 3 2 6" xfId="2278" xr:uid="{00000000-0005-0000-0000-000004010000}"/>
    <cellStyle name="20% - Accent2 3 2 6 2" xfId="6584" xr:uid="{00000000-0005-0000-0000-000005010000}"/>
    <cellStyle name="20% - Accent2 3 2 6 2 2" xfId="15910" xr:uid="{25235E7C-6984-4A52-93BA-3713FD06CAF3}"/>
    <cellStyle name="20% - Accent2 3 2 6 3" xfId="11693" xr:uid="{87CF8E5D-ACD2-4EAD-917F-EDC8892615E3}"/>
    <cellStyle name="20% - Accent2 3 2 7" xfId="4518" xr:uid="{00000000-0005-0000-0000-000006010000}"/>
    <cellStyle name="20% - Accent2 3 2 7 2" xfId="13844" xr:uid="{ABF8F6A5-A385-49CE-A6C8-53EA48E73A04}"/>
    <cellStyle name="20% - Accent2 3 2 8" xfId="9070" xr:uid="{8A9168BA-490F-4E57-83EA-22187D24153F}"/>
    <cellStyle name="20% - Accent2 3 2 8 2" xfId="18394" xr:uid="{33FD8797-B070-45D6-BC35-F34440AC6EF3}"/>
    <cellStyle name="20% - Accent2 3 2 9" xfId="9627" xr:uid="{5F0D46EF-1689-4286-80D7-49D2E464A6AD}"/>
    <cellStyle name="20% - Accent2 3 3" xfId="583" xr:uid="{00000000-0005-0000-0000-000007010000}"/>
    <cellStyle name="20% - Accent2 3 3 2" xfId="2854" xr:uid="{00000000-0005-0000-0000-000008010000}"/>
    <cellStyle name="20% - Accent2 3 3 2 2" xfId="7076" xr:uid="{00000000-0005-0000-0000-000009010000}"/>
    <cellStyle name="20% - Accent2 3 3 2 2 2" xfId="16402" xr:uid="{A3043514-58BB-4E59-88AC-E288B6DEBA72}"/>
    <cellStyle name="20% - Accent2 3 3 2 3" xfId="12185" xr:uid="{19C8E196-8F25-4E25-8AAD-A569A9C68EFD}"/>
    <cellStyle name="20% - Accent2 3 3 3" xfId="4931" xr:uid="{00000000-0005-0000-0000-00000A010000}"/>
    <cellStyle name="20% - Accent2 3 3 3 2" xfId="14257" xr:uid="{A49D8006-7047-44E2-B8E3-A63AA3F9082A}"/>
    <cellStyle name="20% - Accent2 3 3 4" xfId="9288" xr:uid="{FCD70616-ECAD-4A0B-889F-4698E1AD889E}"/>
    <cellStyle name="20% - Accent2 3 3 4 2" xfId="18603" xr:uid="{A491DC82-76AC-434E-AF9A-E1AF53394B8E}"/>
    <cellStyle name="20% - Accent2 3 3 5" xfId="10040" xr:uid="{5012F08F-504E-4A17-BC8E-F8BC2F3101A6}"/>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815" xr:uid="{B584C8B7-C810-42AD-97D4-47779352E825}"/>
    <cellStyle name="20% - Accent2 3 4 2 3" xfId="12598" xr:uid="{F2A75381-B684-4F15-A326-53B2E798E2AB}"/>
    <cellStyle name="20% - Accent2 3 4 3" xfId="5344" xr:uid="{00000000-0005-0000-0000-00000E010000}"/>
    <cellStyle name="20% - Accent2 3 4 3 2" xfId="14670" xr:uid="{6B18BC1B-ACBA-46F5-92AE-FBCEFB12A254}"/>
    <cellStyle name="20% - Accent2 3 4 4" xfId="10453" xr:uid="{B02E854B-E9AF-4EF1-BE7D-B2852AD30832}"/>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228" xr:uid="{851D8806-7523-4262-9713-07C8BAEEA63F}"/>
    <cellStyle name="20% - Accent2 3 5 2 3" xfId="13011" xr:uid="{30FF9E56-09FF-4E54-B8AD-E12703E84E86}"/>
    <cellStyle name="20% - Accent2 3 5 3" xfId="5757" xr:uid="{00000000-0005-0000-0000-000012010000}"/>
    <cellStyle name="20% - Accent2 3 5 3 2" xfId="15083" xr:uid="{6028B738-C943-466F-8A93-92DC5C881D34}"/>
    <cellStyle name="20% - Accent2 3 5 4" xfId="10866" xr:uid="{AB8A3AFD-C0D7-438B-A8C5-F6A73D121FDB}"/>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641" xr:uid="{64125555-8BC5-48BB-928A-39F233F113B4}"/>
    <cellStyle name="20% - Accent2 3 6 2 3" xfId="13424" xr:uid="{6E0157C5-5DEC-49D8-9186-A0088EBB88CB}"/>
    <cellStyle name="20% - Accent2 3 6 3" xfId="6170" xr:uid="{00000000-0005-0000-0000-000016010000}"/>
    <cellStyle name="20% - Accent2 3 6 3 2" xfId="15496" xr:uid="{22A1E7C8-D67A-4E22-BF99-671A4B24CD78}"/>
    <cellStyle name="20% - Accent2 3 6 4" xfId="11279" xr:uid="{F7D26F2B-DFA8-4892-B0F4-9EA7B8385D29}"/>
    <cellStyle name="20% - Accent2 3 7" xfId="2277" xr:uid="{00000000-0005-0000-0000-000017010000}"/>
    <cellStyle name="20% - Accent2 3 7 2" xfId="6583" xr:uid="{00000000-0005-0000-0000-000018010000}"/>
    <cellStyle name="20% - Accent2 3 7 2 2" xfId="15909" xr:uid="{F3DE4A88-678B-4323-BA8C-722FC1688E22}"/>
    <cellStyle name="20% - Accent2 3 7 3" xfId="11692" xr:uid="{CE53BDB8-3F2E-450B-8713-CA22F31DF8C7}"/>
    <cellStyle name="20% - Accent2 3 8" xfId="4517" xr:uid="{00000000-0005-0000-0000-000019010000}"/>
    <cellStyle name="20% - Accent2 3 8 2" xfId="13843" xr:uid="{55A42229-3291-4799-9BAB-2DCDBC98498F}"/>
    <cellStyle name="20% - Accent2 3 9" xfId="8863" xr:uid="{C6A258FB-33DC-4171-B9DD-C29513CA80FD}"/>
    <cellStyle name="20% - Accent2 3 9 2" xfId="18187" xr:uid="{363BD3C0-60F3-47C7-BA86-689CC5063683}"/>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6404" xr:uid="{AAB4BE81-8792-4FBF-8F24-C85637D130D9}"/>
    <cellStyle name="20% - Accent2 4 2 2 3" xfId="12187" xr:uid="{CC3E70B5-0E9A-4DFA-B3B6-C52E5DF19B8E}"/>
    <cellStyle name="20% - Accent2 4 2 3" xfId="4933" xr:uid="{00000000-0005-0000-0000-00001E010000}"/>
    <cellStyle name="20% - Accent2 4 2 3 2" xfId="14259" xr:uid="{A96CF50F-224C-461A-B9F4-E6434970432D}"/>
    <cellStyle name="20% - Accent2 4 2 4" xfId="9374" xr:uid="{26FD7A0E-8D04-4AF7-B092-2B22A78F0A97}"/>
    <cellStyle name="20% - Accent2 4 2 4 2" xfId="18689" xr:uid="{CFE2EE4E-534E-48BC-8003-E523B1C3CE0B}"/>
    <cellStyle name="20% - Accent2 4 2 5" xfId="10042" xr:uid="{10227F50-64C3-4F0E-B6DF-998AD470007D}"/>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817" xr:uid="{B7D9167F-0C52-443D-A705-10ADD9434072}"/>
    <cellStyle name="20% - Accent2 4 3 2 3" xfId="12600" xr:uid="{82F8FBFE-08C5-4241-B5E6-19D7FCA24247}"/>
    <cellStyle name="20% - Accent2 4 3 3" xfId="5346" xr:uid="{00000000-0005-0000-0000-000022010000}"/>
    <cellStyle name="20% - Accent2 4 3 3 2" xfId="14672" xr:uid="{49CF171B-67E4-4BF5-BF18-C012AE0FC490}"/>
    <cellStyle name="20% - Accent2 4 3 4" xfId="10455" xr:uid="{8D076D42-AF59-48E6-8D8A-03CF11C93740}"/>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230" xr:uid="{36079140-85DA-4DC3-9A5E-2D5C949491B5}"/>
    <cellStyle name="20% - Accent2 4 4 2 3" xfId="13013" xr:uid="{909F0208-3D44-423B-83B8-2CF643BFB994}"/>
    <cellStyle name="20% - Accent2 4 4 3" xfId="5759" xr:uid="{00000000-0005-0000-0000-000026010000}"/>
    <cellStyle name="20% - Accent2 4 4 3 2" xfId="15085" xr:uid="{8D81E59F-C182-4BA4-A1D6-89E55E34E180}"/>
    <cellStyle name="20% - Accent2 4 4 4" xfId="10868" xr:uid="{687FD5C5-A61D-40EF-870C-24B0C4BCAC83}"/>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643" xr:uid="{3A109E4C-D3E6-4D02-871B-EAC7187CD550}"/>
    <cellStyle name="20% - Accent2 4 5 2 3" xfId="13426" xr:uid="{47E404A8-900F-4EF7-A169-B2C61BAF6885}"/>
    <cellStyle name="20% - Accent2 4 5 3" xfId="6172" xr:uid="{00000000-0005-0000-0000-00002A010000}"/>
    <cellStyle name="20% - Accent2 4 5 3 2" xfId="15498" xr:uid="{CD8F5F2F-D0C8-4930-A015-C0890886D0DB}"/>
    <cellStyle name="20% - Accent2 4 5 4" xfId="11281" xr:uid="{CCE77D11-09F4-41FF-8304-FAF002071B3D}"/>
    <cellStyle name="20% - Accent2 4 6" xfId="2279" xr:uid="{00000000-0005-0000-0000-00002B010000}"/>
    <cellStyle name="20% - Accent2 4 6 2" xfId="6585" xr:uid="{00000000-0005-0000-0000-00002C010000}"/>
    <cellStyle name="20% - Accent2 4 6 2 2" xfId="15911" xr:uid="{32B45113-7AC3-4B7D-A277-98BB7C178909}"/>
    <cellStyle name="20% - Accent2 4 6 3" xfId="11694" xr:uid="{1A08776C-0310-4FB6-AA73-0C7F6B1BFA92}"/>
    <cellStyle name="20% - Accent2 4 7" xfId="4519" xr:uid="{00000000-0005-0000-0000-00002D010000}"/>
    <cellStyle name="20% - Accent2 4 7 2" xfId="13845" xr:uid="{974DD50C-9C01-4732-945D-03B79647694D}"/>
    <cellStyle name="20% - Accent2 4 8" xfId="8949" xr:uid="{084C22A9-B904-4AFE-A752-AC1DC2CA76B8}"/>
    <cellStyle name="20% - Accent2 4 8 2" xfId="18273" xr:uid="{E8225DD5-560E-4F75-B416-EAD4A21A98F8}"/>
    <cellStyle name="20% - Accent2 4 9" xfId="9628" xr:uid="{8847C066-B5AB-45B1-BB65-C3C2246269B6}"/>
    <cellStyle name="20% - Accent2 5" xfId="578" xr:uid="{00000000-0005-0000-0000-00002E010000}"/>
    <cellStyle name="20% - Accent2 5 2" xfId="2849" xr:uid="{00000000-0005-0000-0000-00002F010000}"/>
    <cellStyle name="20% - Accent2 5 2 2" xfId="7071" xr:uid="{00000000-0005-0000-0000-000030010000}"/>
    <cellStyle name="20% - Accent2 5 2 2 2" xfId="16397" xr:uid="{281C1AF6-2FB6-4890-8258-E87CEF2B1079}"/>
    <cellStyle name="20% - Accent2 5 2 3" xfId="12180" xr:uid="{5A8EFC08-6EF9-4F6B-83C3-8BB234B2C8DE}"/>
    <cellStyle name="20% - Accent2 5 3" xfId="4926" xr:uid="{00000000-0005-0000-0000-000031010000}"/>
    <cellStyle name="20% - Accent2 5 3 2" xfId="14252" xr:uid="{B48EA7AB-D418-473F-822A-8B32E44B3D3E}"/>
    <cellStyle name="20% - Accent2 5 4" xfId="9182" xr:uid="{F822E263-B2A4-41B5-BBF9-FCE1A7A30601}"/>
    <cellStyle name="20% - Accent2 5 4 2" xfId="18500" xr:uid="{0969AF59-863D-44C7-BE99-49D5C0DDF33F}"/>
    <cellStyle name="20% - Accent2 5 5" xfId="10035" xr:uid="{38C18EBD-1200-426E-800C-3CC4C23D8768}"/>
    <cellStyle name="20% - Accent2 6" xfId="1031" xr:uid="{00000000-0005-0000-0000-000032010000}"/>
    <cellStyle name="20% - Accent2 6 2" xfId="3262" xr:uid="{00000000-0005-0000-0000-000033010000}"/>
    <cellStyle name="20% - Accent2 6 2 2" xfId="7484" xr:uid="{00000000-0005-0000-0000-000034010000}"/>
    <cellStyle name="20% - Accent2 6 2 2 2" xfId="16810" xr:uid="{352DCC28-8ED5-42EC-8B39-51BF87C3BE5F}"/>
    <cellStyle name="20% - Accent2 6 2 3" xfId="12593" xr:uid="{359A1D86-8010-4BA4-8807-6EED2F6D3BB2}"/>
    <cellStyle name="20% - Accent2 6 3" xfId="5339" xr:uid="{00000000-0005-0000-0000-000035010000}"/>
    <cellStyle name="20% - Accent2 6 3 2" xfId="14665" xr:uid="{1BFEA32C-CA36-4D54-9ED9-7CB08C45529B}"/>
    <cellStyle name="20% - Accent2 6 4" xfId="10448" xr:uid="{43418FA2-45EC-4549-9E8E-41262C870AE1}"/>
    <cellStyle name="20% - Accent2 7" xfId="1445" xr:uid="{00000000-0005-0000-0000-000036010000}"/>
    <cellStyle name="20% - Accent2 7 2" xfId="3675" xr:uid="{00000000-0005-0000-0000-000037010000}"/>
    <cellStyle name="20% - Accent2 7 2 2" xfId="7897" xr:uid="{00000000-0005-0000-0000-000038010000}"/>
    <cellStyle name="20% - Accent2 7 2 2 2" xfId="17223" xr:uid="{DC93F442-022D-40BD-9D07-DF8BB63B678A}"/>
    <cellStyle name="20% - Accent2 7 2 3" xfId="13006" xr:uid="{C4DC8499-5004-45DD-B2F3-910DB062403E}"/>
    <cellStyle name="20% - Accent2 7 3" xfId="5752" xr:uid="{00000000-0005-0000-0000-000039010000}"/>
    <cellStyle name="20% - Accent2 7 3 2" xfId="15078" xr:uid="{148511CB-2348-41E9-ADAF-E0DB94449A3D}"/>
    <cellStyle name="20% - Accent2 7 4" xfId="10861" xr:uid="{B06884BD-6443-4519-BDC1-17E8CF7F72BE}"/>
    <cellStyle name="20% - Accent2 8" xfId="1859" xr:uid="{00000000-0005-0000-0000-00003A010000}"/>
    <cellStyle name="20% - Accent2 8 2" xfId="4088" xr:uid="{00000000-0005-0000-0000-00003B010000}"/>
    <cellStyle name="20% - Accent2 8 2 2" xfId="8310" xr:uid="{00000000-0005-0000-0000-00003C010000}"/>
    <cellStyle name="20% - Accent2 8 2 2 2" xfId="17636" xr:uid="{2910C20E-C6D7-4137-96F6-83962EE59DCF}"/>
    <cellStyle name="20% - Accent2 8 2 3" xfId="13419" xr:uid="{1BC00DE1-A3A1-429B-86D5-C76F999B41A2}"/>
    <cellStyle name="20% - Accent2 8 3" xfId="6165" xr:uid="{00000000-0005-0000-0000-00003D010000}"/>
    <cellStyle name="20% - Accent2 8 3 2" xfId="15491" xr:uid="{37148631-38F3-4B4D-B809-86070B35006E}"/>
    <cellStyle name="20% - Accent2 8 4" xfId="11274" xr:uid="{B71F7AC3-243A-41F7-AA04-4F7C68A3F2AF}"/>
    <cellStyle name="20% - Accent2 9" xfId="2272" xr:uid="{00000000-0005-0000-0000-00003E010000}"/>
    <cellStyle name="20% - Accent2 9 2" xfId="6578" xr:uid="{00000000-0005-0000-0000-00003F010000}"/>
    <cellStyle name="20% - Accent2 9 2 2" xfId="15904" xr:uid="{641290F1-0965-4793-88C4-CE29658C230E}"/>
    <cellStyle name="20% - Accent2 9 3" xfId="11687" xr:uid="{B8ECC630-256E-4107-BBCB-2A4F04DAF2E8}"/>
    <cellStyle name="20% - Accent3" xfId="17" builtinId="38" customBuiltin="1"/>
    <cellStyle name="20% - Accent3 10" xfId="4520" xr:uid="{00000000-0005-0000-0000-000041010000}"/>
    <cellStyle name="20% - Accent3 10 2" xfId="13846" xr:uid="{F3B82D57-FDAF-4257-AFA0-43C120BBDC72}"/>
    <cellStyle name="20% - Accent3 11" xfId="8762" xr:uid="{49ACF776-43E7-4BB5-82F5-A8A4FEBC45F8}"/>
    <cellStyle name="20% - Accent3 11 2" xfId="18086" xr:uid="{CBC487DE-53ED-4232-B3AB-50B4C74A74F7}"/>
    <cellStyle name="20% - Accent3 12" xfId="9629" xr:uid="{E1ED8036-78F1-4446-9E57-24744F82F109}"/>
    <cellStyle name="20% - Accent3 2" xfId="18" xr:uid="{00000000-0005-0000-0000-000042010000}"/>
    <cellStyle name="20% - Accent3 2 10" xfId="8792" xr:uid="{65E5762F-047C-4860-B47E-71363924E2A5}"/>
    <cellStyle name="20% - Accent3 2 10 2" xfId="18116" xr:uid="{44FD3919-E915-4E1C-9C41-7464AF3679C6}"/>
    <cellStyle name="20% - Accent3 2 11" xfId="9630" xr:uid="{51935944-BC35-4ED2-A0B3-66F56B56961A}"/>
    <cellStyle name="20% - Accent3 2 2" xfId="19" xr:uid="{00000000-0005-0000-0000-000043010000}"/>
    <cellStyle name="20% - Accent3 2 2 10" xfId="9631" xr:uid="{703BD31F-1E9A-4E6C-AA51-21B48D06AB8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408" xr:uid="{BC584C6D-BEA9-4009-8F06-B448B510A9AE}"/>
    <cellStyle name="20% - Accent3 2 2 2 2 2 3" xfId="12191" xr:uid="{5C548085-52FF-41A9-A6AC-15D331F53A78}"/>
    <cellStyle name="20% - Accent3 2 2 2 2 3" xfId="4937" xr:uid="{00000000-0005-0000-0000-000048010000}"/>
    <cellStyle name="20% - Accent3 2 2 2 2 3 2" xfId="14263" xr:uid="{B4A07048-5547-403A-8F4D-E64D837D6807}"/>
    <cellStyle name="20% - Accent3 2 2 2 2 4" xfId="9527" xr:uid="{B82F9F3C-4714-4F10-BEB2-F90FC0563F53}"/>
    <cellStyle name="20% - Accent3 2 2 2 2 4 2" xfId="18842" xr:uid="{4BDE0FA3-8F15-4A00-9B29-EFBF984E7185}"/>
    <cellStyle name="20% - Accent3 2 2 2 2 5" xfId="10046" xr:uid="{87AC19F6-437A-4EBB-95B6-1831B9A8F0B5}"/>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821" xr:uid="{8C7D5248-F99A-4533-8C83-7273B00CB989}"/>
    <cellStyle name="20% - Accent3 2 2 2 3 2 3" xfId="12604" xr:uid="{AE8F17A3-EECF-40F2-B3D9-C9EFE49E9486}"/>
    <cellStyle name="20% - Accent3 2 2 2 3 3" xfId="5350" xr:uid="{00000000-0005-0000-0000-00004C010000}"/>
    <cellStyle name="20% - Accent3 2 2 2 3 3 2" xfId="14676" xr:uid="{0DDF0A20-C909-49A3-AE52-9F1E3D1BD825}"/>
    <cellStyle name="20% - Accent3 2 2 2 3 4" xfId="10459" xr:uid="{E987B7D0-342B-42BD-A2F4-EF35E0625F77}"/>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234" xr:uid="{A1D83FC3-2936-441C-9268-A5D59CF2DF17}"/>
    <cellStyle name="20% - Accent3 2 2 2 4 2 3" xfId="13017" xr:uid="{0F7962FF-4C16-4329-A562-95E299A07D84}"/>
    <cellStyle name="20% - Accent3 2 2 2 4 3" xfId="5763" xr:uid="{00000000-0005-0000-0000-000050010000}"/>
    <cellStyle name="20% - Accent3 2 2 2 4 3 2" xfId="15089" xr:uid="{E4381CC3-DEB2-41B5-AF62-041CE40362AB}"/>
    <cellStyle name="20% - Accent3 2 2 2 4 4" xfId="10872" xr:uid="{ECE0ADBD-9774-44ED-81D7-8E86EE4BE14A}"/>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47" xr:uid="{5DFBA701-2AE1-468B-8A1C-B7D5C7D95D02}"/>
    <cellStyle name="20% - Accent3 2 2 2 5 2 3" xfId="13430" xr:uid="{03B3F1DD-37FD-4ADB-88AD-D8F11DA40284}"/>
    <cellStyle name="20% - Accent3 2 2 2 5 3" xfId="6176" xr:uid="{00000000-0005-0000-0000-000054010000}"/>
    <cellStyle name="20% - Accent3 2 2 2 5 3 2" xfId="15502" xr:uid="{E5C9EC3E-6A5B-4B2B-AEB7-5AA0A9E072FB}"/>
    <cellStyle name="20% - Accent3 2 2 2 5 4" xfId="11285" xr:uid="{959CD8D5-3666-4593-A756-6BB1127545B7}"/>
    <cellStyle name="20% - Accent3 2 2 2 6" xfId="2283" xr:uid="{00000000-0005-0000-0000-000055010000}"/>
    <cellStyle name="20% - Accent3 2 2 2 6 2" xfId="6589" xr:uid="{00000000-0005-0000-0000-000056010000}"/>
    <cellStyle name="20% - Accent3 2 2 2 6 2 2" xfId="15915" xr:uid="{70CC2136-DB23-41CF-9F69-293F1EACD741}"/>
    <cellStyle name="20% - Accent3 2 2 2 6 3" xfId="11698" xr:uid="{B124F137-55FE-4C1D-83E9-07D90673BFFC}"/>
    <cellStyle name="20% - Accent3 2 2 2 7" xfId="4523" xr:uid="{00000000-0005-0000-0000-000057010000}"/>
    <cellStyle name="20% - Accent3 2 2 2 7 2" xfId="13849" xr:uid="{53019110-BA32-4A08-9259-C0CA6609B70A}"/>
    <cellStyle name="20% - Accent3 2 2 2 8" xfId="9102" xr:uid="{77698EAD-FDE4-4105-BE80-980B5219F464}"/>
    <cellStyle name="20% - Accent3 2 2 2 8 2" xfId="18426" xr:uid="{070090D9-1EDD-4122-9FC7-E576B33EB1E6}"/>
    <cellStyle name="20% - Accent3 2 2 2 9" xfId="9632" xr:uid="{C7D7C425-8ED5-43D2-BE41-B07432A0BD64}"/>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407" xr:uid="{2084A7E4-F514-468E-8AB9-0F361F6A3D51}"/>
    <cellStyle name="20% - Accent3 2 2 3 2 3" xfId="12190" xr:uid="{74EC3146-A65F-4B0E-A5BC-43330C5BDF57}"/>
    <cellStyle name="20% - Accent3 2 2 3 3" xfId="4936" xr:uid="{00000000-0005-0000-0000-00005B010000}"/>
    <cellStyle name="20% - Accent3 2 2 3 3 2" xfId="14262" xr:uid="{F31738E7-D6C5-4C6F-9E44-B4442851B46A}"/>
    <cellStyle name="20% - Accent3 2 2 3 4" xfId="9320" xr:uid="{BF070B19-D289-4211-B080-DBB621CAE7BA}"/>
    <cellStyle name="20% - Accent3 2 2 3 4 2" xfId="18635" xr:uid="{B1D719F2-F81F-45E4-AC77-72AF07B24106}"/>
    <cellStyle name="20% - Accent3 2 2 3 5" xfId="10045" xr:uid="{B6F4E62A-9245-4C20-BA7C-7B9DFE983BCF}"/>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820" xr:uid="{B0E83B21-3F2B-41F1-BDD4-62AFD50D4BE8}"/>
    <cellStyle name="20% - Accent3 2 2 4 2 3" xfId="12603" xr:uid="{FDD7854D-07E0-47B2-82DF-E74FA246F1E3}"/>
    <cellStyle name="20% - Accent3 2 2 4 3" xfId="5349" xr:uid="{00000000-0005-0000-0000-00005F010000}"/>
    <cellStyle name="20% - Accent3 2 2 4 3 2" xfId="14675" xr:uid="{02D740DE-BFB5-4276-B1E8-E8A281A363F3}"/>
    <cellStyle name="20% - Accent3 2 2 4 4" xfId="10458" xr:uid="{36F4FF22-2A31-4CFE-AA6F-74EB14A9E56B}"/>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233" xr:uid="{CED0300A-B8EA-4B64-B662-7CD71B98702B}"/>
    <cellStyle name="20% - Accent3 2 2 5 2 3" xfId="13016" xr:uid="{D1C1E7AF-1142-4A24-ACEB-3AB373468FF5}"/>
    <cellStyle name="20% - Accent3 2 2 5 3" xfId="5762" xr:uid="{00000000-0005-0000-0000-000063010000}"/>
    <cellStyle name="20% - Accent3 2 2 5 3 2" xfId="15088" xr:uid="{E28F0903-FB55-4A7F-809D-4F3C688526D1}"/>
    <cellStyle name="20% - Accent3 2 2 5 4" xfId="10871" xr:uid="{F4ABAF95-D517-44B6-94EE-07C173C55746}"/>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46" xr:uid="{2761EA48-348C-46B8-AE12-066502E4368A}"/>
    <cellStyle name="20% - Accent3 2 2 6 2 3" xfId="13429" xr:uid="{93C24A19-2716-4A42-B397-ED6114490397}"/>
    <cellStyle name="20% - Accent3 2 2 6 3" xfId="6175" xr:uid="{00000000-0005-0000-0000-000067010000}"/>
    <cellStyle name="20% - Accent3 2 2 6 3 2" xfId="15501" xr:uid="{C94921D9-6589-45C9-A29D-243D9B7318EA}"/>
    <cellStyle name="20% - Accent3 2 2 6 4" xfId="11284" xr:uid="{22D0D90D-2E0C-47A7-920B-5A5A2C063DBA}"/>
    <cellStyle name="20% - Accent3 2 2 7" xfId="2282" xr:uid="{00000000-0005-0000-0000-000068010000}"/>
    <cellStyle name="20% - Accent3 2 2 7 2" xfId="6588" xr:uid="{00000000-0005-0000-0000-000069010000}"/>
    <cellStyle name="20% - Accent3 2 2 7 2 2" xfId="15914" xr:uid="{B4CD76CD-02F4-46E5-BF1F-72AAA005F9F7}"/>
    <cellStyle name="20% - Accent3 2 2 7 3" xfId="11697" xr:uid="{0EF59235-8AF0-4166-AB08-562CA7D45724}"/>
    <cellStyle name="20% - Accent3 2 2 8" xfId="4522" xr:uid="{00000000-0005-0000-0000-00006A010000}"/>
    <cellStyle name="20% - Accent3 2 2 8 2" xfId="13848" xr:uid="{FEF4B5D1-2D77-4F1E-B0FF-104373C74F5D}"/>
    <cellStyle name="20% - Accent3 2 2 9" xfId="8895" xr:uid="{0ADDC6BA-FD9D-420D-8F5A-13E0A04BBC7C}"/>
    <cellStyle name="20% - Accent3 2 2 9 2" xfId="18219" xr:uid="{3518CFD8-BE2C-4209-8EEB-3972DD243D74}"/>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409" xr:uid="{BDACDB36-B0C7-4E74-AE72-267ECB8CCD73}"/>
    <cellStyle name="20% - Accent3 2 3 2 2 3" xfId="12192" xr:uid="{19A294EE-D04D-48B3-8E79-3241FC642138}"/>
    <cellStyle name="20% - Accent3 2 3 2 3" xfId="4938" xr:uid="{00000000-0005-0000-0000-00006F010000}"/>
    <cellStyle name="20% - Accent3 2 3 2 3 2" xfId="14264" xr:uid="{1B5BA0FA-4182-49C6-A216-0783125804F0}"/>
    <cellStyle name="20% - Accent3 2 3 2 4" xfId="9424" xr:uid="{C3588D98-6F24-4F2C-9F96-F34501405613}"/>
    <cellStyle name="20% - Accent3 2 3 2 4 2" xfId="18739" xr:uid="{C4321FBD-DED6-423E-A809-4BBBE9EEF76E}"/>
    <cellStyle name="20% - Accent3 2 3 2 5" xfId="10047" xr:uid="{A73E3A4B-04FA-481F-8357-62DE63A152C4}"/>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822" xr:uid="{D6A2CC7F-0EDB-4D79-A554-54F1FBE3557D}"/>
    <cellStyle name="20% - Accent3 2 3 3 2 3" xfId="12605" xr:uid="{0A2849AB-4AC3-48B5-A534-03685CC659C1}"/>
    <cellStyle name="20% - Accent3 2 3 3 3" xfId="5351" xr:uid="{00000000-0005-0000-0000-000073010000}"/>
    <cellStyle name="20% - Accent3 2 3 3 3 2" xfId="14677" xr:uid="{D47ED14C-35F8-4146-8E31-2BBA085C27BE}"/>
    <cellStyle name="20% - Accent3 2 3 3 4" xfId="10460" xr:uid="{FE2EADCD-A08B-4D80-966E-D3317F9F0041}"/>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235" xr:uid="{239DFA04-0B81-4246-ABB3-6620A4AF2E6F}"/>
    <cellStyle name="20% - Accent3 2 3 4 2 3" xfId="13018" xr:uid="{69A3E373-E7E5-4356-BD69-FC4920A87104}"/>
    <cellStyle name="20% - Accent3 2 3 4 3" xfId="5764" xr:uid="{00000000-0005-0000-0000-000077010000}"/>
    <cellStyle name="20% - Accent3 2 3 4 3 2" xfId="15090" xr:uid="{D4D102A0-9354-4FE9-9260-A2816ED27829}"/>
    <cellStyle name="20% - Accent3 2 3 4 4" xfId="10873" xr:uid="{607AC890-578D-46A0-9282-7497CC1751E6}"/>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48" xr:uid="{C1F4199B-41B3-44C2-9FE2-C4638E310DCD}"/>
    <cellStyle name="20% - Accent3 2 3 5 2 3" xfId="13431" xr:uid="{1D2BC267-9067-4671-A4DD-9AC2FF5BC084}"/>
    <cellStyle name="20% - Accent3 2 3 5 3" xfId="6177" xr:uid="{00000000-0005-0000-0000-00007B010000}"/>
    <cellStyle name="20% - Accent3 2 3 5 3 2" xfId="15503" xr:uid="{D43BD12C-F072-474F-8764-A9E07E148A7A}"/>
    <cellStyle name="20% - Accent3 2 3 5 4" xfId="11286" xr:uid="{2128A4C0-62BD-4258-883F-5E66906EF607}"/>
    <cellStyle name="20% - Accent3 2 3 6" xfId="2284" xr:uid="{00000000-0005-0000-0000-00007C010000}"/>
    <cellStyle name="20% - Accent3 2 3 6 2" xfId="6590" xr:uid="{00000000-0005-0000-0000-00007D010000}"/>
    <cellStyle name="20% - Accent3 2 3 6 2 2" xfId="15916" xr:uid="{3750BEFC-38CA-42BB-9118-96EBDCBA72BB}"/>
    <cellStyle name="20% - Accent3 2 3 6 3" xfId="11699" xr:uid="{BF19038E-5093-4220-9F65-2D1B76137B80}"/>
    <cellStyle name="20% - Accent3 2 3 7" xfId="4524" xr:uid="{00000000-0005-0000-0000-00007E010000}"/>
    <cellStyle name="20% - Accent3 2 3 7 2" xfId="13850" xr:uid="{59B5D1BF-AF33-4105-A819-237FEBCA3DC6}"/>
    <cellStyle name="20% - Accent3 2 3 8" xfId="8999" xr:uid="{2B5D0148-B6EA-4DEA-92B1-644886C27051}"/>
    <cellStyle name="20% - Accent3 2 3 8 2" xfId="18323" xr:uid="{0D5B65CD-786A-4218-8B83-698CEA5C86E1}"/>
    <cellStyle name="20% - Accent3 2 3 9" xfId="9633" xr:uid="{F4D752C2-5142-42A6-B6CC-C9C82AB4AB65}"/>
    <cellStyle name="20% - Accent3 2 4" xfId="587" xr:uid="{00000000-0005-0000-0000-00007F010000}"/>
    <cellStyle name="20% - Accent3 2 4 2" xfId="2858" xr:uid="{00000000-0005-0000-0000-000080010000}"/>
    <cellStyle name="20% - Accent3 2 4 2 2" xfId="7080" xr:uid="{00000000-0005-0000-0000-000081010000}"/>
    <cellStyle name="20% - Accent3 2 4 2 2 2" xfId="16406" xr:uid="{4E65C648-0227-48A4-BAE6-A57827E19691}"/>
    <cellStyle name="20% - Accent3 2 4 2 3" xfId="12189" xr:uid="{5219BB79-FE35-4A5F-8530-806A85B7B796}"/>
    <cellStyle name="20% - Accent3 2 4 3" xfId="4935" xr:uid="{00000000-0005-0000-0000-000082010000}"/>
    <cellStyle name="20% - Accent3 2 4 3 2" xfId="14261" xr:uid="{6820719D-9926-4717-8539-7EE13287516D}"/>
    <cellStyle name="20% - Accent3 2 4 4" xfId="9216" xr:uid="{A12C3877-5492-4CD3-AD22-81B3F0AB1EDD}"/>
    <cellStyle name="20% - Accent3 2 4 4 2" xfId="18532" xr:uid="{0F7720A3-8E66-4CC6-B000-0B30093DE620}"/>
    <cellStyle name="20% - Accent3 2 4 5" xfId="10044" xr:uid="{A5E2E80E-826D-4C01-BCC1-D3DEE476E1BE}"/>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819" xr:uid="{447F7176-DEAB-4AE9-9B62-8F358EBC3DA0}"/>
    <cellStyle name="20% - Accent3 2 5 2 3" xfId="12602" xr:uid="{CE3BEFC3-F596-482E-8D01-FB4C1063FB50}"/>
    <cellStyle name="20% - Accent3 2 5 3" xfId="5348" xr:uid="{00000000-0005-0000-0000-000086010000}"/>
    <cellStyle name="20% - Accent3 2 5 3 2" xfId="14674" xr:uid="{05C9BF86-A1D6-416B-85CD-E4751CE94016}"/>
    <cellStyle name="20% - Accent3 2 5 4" xfId="10457" xr:uid="{813DC4BA-40AD-4CAD-9B5E-DE71B9E7AFA5}"/>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232" xr:uid="{9618CC70-B01C-489D-B4B5-E52CF18FC19D}"/>
    <cellStyle name="20% - Accent3 2 6 2 3" xfId="13015" xr:uid="{E1E53548-3287-43F1-AD96-0A491CC23304}"/>
    <cellStyle name="20% - Accent3 2 6 3" xfId="5761" xr:uid="{00000000-0005-0000-0000-00008A010000}"/>
    <cellStyle name="20% - Accent3 2 6 3 2" xfId="15087" xr:uid="{CE206EF4-9C71-4CEB-B136-01DF847CF68B}"/>
    <cellStyle name="20% - Accent3 2 6 4" xfId="10870" xr:uid="{CCE2C56C-80D4-47FB-BFAC-6647504C554B}"/>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45" xr:uid="{1D44AEEC-1446-458D-91D3-8E8D4E979C98}"/>
    <cellStyle name="20% - Accent3 2 7 2 3" xfId="13428" xr:uid="{BCEFBD57-5386-480C-94F5-5EFCB8C44AA6}"/>
    <cellStyle name="20% - Accent3 2 7 3" xfId="6174" xr:uid="{00000000-0005-0000-0000-00008E010000}"/>
    <cellStyle name="20% - Accent3 2 7 3 2" xfId="15500" xr:uid="{4DF869DF-6CF7-4EFB-9A23-72F342A282B3}"/>
    <cellStyle name="20% - Accent3 2 7 4" xfId="11283" xr:uid="{39B82F44-C6D7-454F-9FF1-13C225A50509}"/>
    <cellStyle name="20% - Accent3 2 8" xfId="2281" xr:uid="{00000000-0005-0000-0000-00008F010000}"/>
    <cellStyle name="20% - Accent3 2 8 2" xfId="6587" xr:uid="{00000000-0005-0000-0000-000090010000}"/>
    <cellStyle name="20% - Accent3 2 8 2 2" xfId="15913" xr:uid="{D06B3B40-FD92-4023-8C9A-8E2E87FF81C4}"/>
    <cellStyle name="20% - Accent3 2 8 3" xfId="11696" xr:uid="{EDCD5ED3-9F6A-4E01-990E-DB337524291E}"/>
    <cellStyle name="20% - Accent3 2 9" xfId="4521" xr:uid="{00000000-0005-0000-0000-000091010000}"/>
    <cellStyle name="20% - Accent3 2 9 2" xfId="13847" xr:uid="{48CC3D64-3F63-477B-A064-4F55322FEADB}"/>
    <cellStyle name="20% - Accent3 3" xfId="22" xr:uid="{00000000-0005-0000-0000-000092010000}"/>
    <cellStyle name="20% - Accent3 3 10" xfId="9634" xr:uid="{1B397B3F-5116-4BF1-A6A1-10C5A67DF568}"/>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411" xr:uid="{A4FDF534-647C-4560-BE2E-73EF8E1FB7C1}"/>
    <cellStyle name="20% - Accent3 3 2 2 2 3" xfId="12194" xr:uid="{B18BC8D1-CF55-4A11-A8CA-7FE3F6FC10A1}"/>
    <cellStyle name="20% - Accent3 3 2 2 3" xfId="4940" xr:uid="{00000000-0005-0000-0000-000097010000}"/>
    <cellStyle name="20% - Accent3 3 2 2 3 2" xfId="14266" xr:uid="{D6CD4B29-1794-4E6B-9DE0-EB47026F41F9}"/>
    <cellStyle name="20% - Accent3 3 2 2 4" xfId="9497" xr:uid="{43A0E151-F418-49A1-AF18-121DEB02B6D4}"/>
    <cellStyle name="20% - Accent3 3 2 2 4 2" xfId="18812" xr:uid="{57570053-7CA6-458E-910B-DF0589400145}"/>
    <cellStyle name="20% - Accent3 3 2 2 5" xfId="10049" xr:uid="{7F2B28D0-8800-4214-9B7D-E7E1C7E23D6A}"/>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824" xr:uid="{44564B85-D24F-4AA9-8596-A9E4B1055410}"/>
    <cellStyle name="20% - Accent3 3 2 3 2 3" xfId="12607" xr:uid="{1E4F70D8-E362-4DFF-B07A-C1B3B65DBDE6}"/>
    <cellStyle name="20% - Accent3 3 2 3 3" xfId="5353" xr:uid="{00000000-0005-0000-0000-00009B010000}"/>
    <cellStyle name="20% - Accent3 3 2 3 3 2" xfId="14679" xr:uid="{A05FAA00-4C8F-4F81-90D6-68D624238A6E}"/>
    <cellStyle name="20% - Accent3 3 2 3 4" xfId="10462" xr:uid="{2AF1A14B-161E-4D52-A2FB-9A49CFBE6381}"/>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237" xr:uid="{4843D18A-AB5D-4051-9365-349CE7A483AF}"/>
    <cellStyle name="20% - Accent3 3 2 4 2 3" xfId="13020" xr:uid="{1B6E83D1-586F-4D82-9374-487669486671}"/>
    <cellStyle name="20% - Accent3 3 2 4 3" xfId="5766" xr:uid="{00000000-0005-0000-0000-00009F010000}"/>
    <cellStyle name="20% - Accent3 3 2 4 3 2" xfId="15092" xr:uid="{1CCE0BB1-A1A8-4324-BCE5-D58AA27A278B}"/>
    <cellStyle name="20% - Accent3 3 2 4 4" xfId="10875" xr:uid="{8E1A1E1F-14A7-40D5-A28F-D1BC8CC44299}"/>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50" xr:uid="{ED130EED-CC50-4982-BD9B-77460591A6ED}"/>
    <cellStyle name="20% - Accent3 3 2 5 2 3" xfId="13433" xr:uid="{BEEF934B-C2AB-4ECB-B725-FCD3DFF49B45}"/>
    <cellStyle name="20% - Accent3 3 2 5 3" xfId="6179" xr:uid="{00000000-0005-0000-0000-0000A3010000}"/>
    <cellStyle name="20% - Accent3 3 2 5 3 2" xfId="15505" xr:uid="{6BC8131A-B749-422A-B0E2-445DBA837A85}"/>
    <cellStyle name="20% - Accent3 3 2 5 4" xfId="11288" xr:uid="{FEA7A8BB-AF19-4902-8E6A-AD6DF314A997}"/>
    <cellStyle name="20% - Accent3 3 2 6" xfId="2286" xr:uid="{00000000-0005-0000-0000-0000A4010000}"/>
    <cellStyle name="20% - Accent3 3 2 6 2" xfId="6592" xr:uid="{00000000-0005-0000-0000-0000A5010000}"/>
    <cellStyle name="20% - Accent3 3 2 6 2 2" xfId="15918" xr:uid="{DEA149EB-2877-4ECA-8525-EC999A71B403}"/>
    <cellStyle name="20% - Accent3 3 2 6 3" xfId="11701" xr:uid="{ECAE6B67-5368-451A-BB90-6BFE5971839B}"/>
    <cellStyle name="20% - Accent3 3 2 7" xfId="4526" xr:uid="{00000000-0005-0000-0000-0000A6010000}"/>
    <cellStyle name="20% - Accent3 3 2 7 2" xfId="13852" xr:uid="{4B54391F-F464-44CC-9243-1DB323C87A6D}"/>
    <cellStyle name="20% - Accent3 3 2 8" xfId="9072" xr:uid="{422EC144-F6F8-460E-8B93-316BBF9707FB}"/>
    <cellStyle name="20% - Accent3 3 2 8 2" xfId="18396" xr:uid="{66423EA5-C719-48B8-922B-88F6B04C70D9}"/>
    <cellStyle name="20% - Accent3 3 2 9" xfId="9635" xr:uid="{A87C380F-A139-4DCF-96E3-4D9AA47B94C4}"/>
    <cellStyle name="20% - Accent3 3 3" xfId="591" xr:uid="{00000000-0005-0000-0000-0000A7010000}"/>
    <cellStyle name="20% - Accent3 3 3 2" xfId="2862" xr:uid="{00000000-0005-0000-0000-0000A8010000}"/>
    <cellStyle name="20% - Accent3 3 3 2 2" xfId="7084" xr:uid="{00000000-0005-0000-0000-0000A9010000}"/>
    <cellStyle name="20% - Accent3 3 3 2 2 2" xfId="16410" xr:uid="{E3CD5F9A-67B0-4A82-916A-C1865FDF88DC}"/>
    <cellStyle name="20% - Accent3 3 3 2 3" xfId="12193" xr:uid="{E7144F21-DE94-4B44-B383-9A079F9542EF}"/>
    <cellStyle name="20% - Accent3 3 3 3" xfId="4939" xr:uid="{00000000-0005-0000-0000-0000AA010000}"/>
    <cellStyle name="20% - Accent3 3 3 3 2" xfId="14265" xr:uid="{C4068760-8D51-4EB6-81FF-35FD78297070}"/>
    <cellStyle name="20% - Accent3 3 3 4" xfId="9290" xr:uid="{8511D0A3-BAF4-4D49-BFEA-2ED828678819}"/>
    <cellStyle name="20% - Accent3 3 3 4 2" xfId="18605" xr:uid="{47E2D879-8521-423B-87FD-40E796715237}"/>
    <cellStyle name="20% - Accent3 3 3 5" xfId="10048" xr:uid="{4373BA03-DD23-4D4B-8E5B-3744ACE34AF6}"/>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823" xr:uid="{952640D1-6F2A-4DF9-B3B5-60AD4AD3E2C7}"/>
    <cellStyle name="20% - Accent3 3 4 2 3" xfId="12606" xr:uid="{FD69E892-D669-4B24-9DEF-7A54D6A0620C}"/>
    <cellStyle name="20% - Accent3 3 4 3" xfId="5352" xr:uid="{00000000-0005-0000-0000-0000AE010000}"/>
    <cellStyle name="20% - Accent3 3 4 3 2" xfId="14678" xr:uid="{B88B6F35-1F97-4B06-B306-9568B3270FC3}"/>
    <cellStyle name="20% - Accent3 3 4 4" xfId="10461" xr:uid="{7645A45D-9D36-4285-9FAE-37C134AD097E}"/>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236" xr:uid="{D46A6EE1-5805-4EFD-85A8-128A6D6CE8A1}"/>
    <cellStyle name="20% - Accent3 3 5 2 3" xfId="13019" xr:uid="{87B6B595-3EF0-4809-836A-1D1DBAC57990}"/>
    <cellStyle name="20% - Accent3 3 5 3" xfId="5765" xr:uid="{00000000-0005-0000-0000-0000B2010000}"/>
    <cellStyle name="20% - Accent3 3 5 3 2" xfId="15091" xr:uid="{8431EA95-D7FC-4062-AB05-1E8C12720D4E}"/>
    <cellStyle name="20% - Accent3 3 5 4" xfId="10874" xr:uid="{96DE18E9-5928-4B9F-A27C-28E59DE92504}"/>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49" xr:uid="{C9807E76-BBC6-4D9A-8990-9D3D297476EF}"/>
    <cellStyle name="20% - Accent3 3 6 2 3" xfId="13432" xr:uid="{DF9C767E-86DB-433C-BDA5-7DEEE4AAEBE2}"/>
    <cellStyle name="20% - Accent3 3 6 3" xfId="6178" xr:uid="{00000000-0005-0000-0000-0000B6010000}"/>
    <cellStyle name="20% - Accent3 3 6 3 2" xfId="15504" xr:uid="{A649CB73-6859-4DB0-A5A5-C1758C2C2AA3}"/>
    <cellStyle name="20% - Accent3 3 6 4" xfId="11287" xr:uid="{9588EF36-870B-449C-A479-099A86D7194E}"/>
    <cellStyle name="20% - Accent3 3 7" xfId="2285" xr:uid="{00000000-0005-0000-0000-0000B7010000}"/>
    <cellStyle name="20% - Accent3 3 7 2" xfId="6591" xr:uid="{00000000-0005-0000-0000-0000B8010000}"/>
    <cellStyle name="20% - Accent3 3 7 2 2" xfId="15917" xr:uid="{969D3FB0-9D2D-4ECB-9E10-0DCFFE378E8D}"/>
    <cellStyle name="20% - Accent3 3 7 3" xfId="11700" xr:uid="{744506D6-A7B1-4912-9DEB-D0F02BBB2012}"/>
    <cellStyle name="20% - Accent3 3 8" xfId="4525" xr:uid="{00000000-0005-0000-0000-0000B9010000}"/>
    <cellStyle name="20% - Accent3 3 8 2" xfId="13851" xr:uid="{B0227EFE-4436-45AB-99AB-F0B9EAA9A8DC}"/>
    <cellStyle name="20% - Accent3 3 9" xfId="8865" xr:uid="{FFA3EBA3-F40D-47A2-8AA1-A3A9E7BB9A8E}"/>
    <cellStyle name="20% - Accent3 3 9 2" xfId="18189" xr:uid="{8822281F-BAA5-42C4-AA6B-187A4B7ED0E9}"/>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6412" xr:uid="{CD7ACD9E-6D9C-4472-BD35-38B31BB8548E}"/>
    <cellStyle name="20% - Accent3 4 2 2 3" xfId="12195" xr:uid="{BC7303A8-C76F-492F-A4B9-DE723D87178B}"/>
    <cellStyle name="20% - Accent3 4 2 3" xfId="4941" xr:uid="{00000000-0005-0000-0000-0000BE010000}"/>
    <cellStyle name="20% - Accent3 4 2 3 2" xfId="14267" xr:uid="{2D9EDE7C-0F06-4AC9-B129-322E9E28EE1C}"/>
    <cellStyle name="20% - Accent3 4 2 4" xfId="9376" xr:uid="{92AC27CA-0B0B-4AFE-8457-D3F19BE2837F}"/>
    <cellStyle name="20% - Accent3 4 2 4 2" xfId="18691" xr:uid="{73F6F9B2-8943-4D51-9461-48E28FD1CB0F}"/>
    <cellStyle name="20% - Accent3 4 2 5" xfId="10050" xr:uid="{A2C42F7D-5149-489A-95AC-BB928B157456}"/>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825" xr:uid="{CB4B90BF-D296-4B03-ACBE-B4B6B6085C46}"/>
    <cellStyle name="20% - Accent3 4 3 2 3" xfId="12608" xr:uid="{6D6F8BF9-EB71-41E7-8A97-F0FC614B2172}"/>
    <cellStyle name="20% - Accent3 4 3 3" xfId="5354" xr:uid="{00000000-0005-0000-0000-0000C2010000}"/>
    <cellStyle name="20% - Accent3 4 3 3 2" xfId="14680" xr:uid="{2C7CD331-DBC5-42D2-BFB9-A7B526086518}"/>
    <cellStyle name="20% - Accent3 4 3 4" xfId="10463" xr:uid="{C984B62A-CC90-4560-8551-9D47A77A9544}"/>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238" xr:uid="{AFDD58A1-76A5-4693-B318-EB3F616B7513}"/>
    <cellStyle name="20% - Accent3 4 4 2 3" xfId="13021" xr:uid="{4BBC3186-4706-4341-B5CC-2FAB13FE0671}"/>
    <cellStyle name="20% - Accent3 4 4 3" xfId="5767" xr:uid="{00000000-0005-0000-0000-0000C6010000}"/>
    <cellStyle name="20% - Accent3 4 4 3 2" xfId="15093" xr:uid="{A191A390-CEED-4431-B7C8-0D800E3DE171}"/>
    <cellStyle name="20% - Accent3 4 4 4" xfId="10876" xr:uid="{2A28662C-1095-4E14-89D2-89614BFB9A85}"/>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51" xr:uid="{E77A7765-C03B-4576-A024-3ADEF4B6F1EC}"/>
    <cellStyle name="20% - Accent3 4 5 2 3" xfId="13434" xr:uid="{F74AA959-A30E-4057-B57D-A4BCE5A6D811}"/>
    <cellStyle name="20% - Accent3 4 5 3" xfId="6180" xr:uid="{00000000-0005-0000-0000-0000CA010000}"/>
    <cellStyle name="20% - Accent3 4 5 3 2" xfId="15506" xr:uid="{AFA01C86-D173-4EA1-ADEC-ABB109BA2208}"/>
    <cellStyle name="20% - Accent3 4 5 4" xfId="11289" xr:uid="{A4EA5096-8930-4A63-959E-F9450E5588BB}"/>
    <cellStyle name="20% - Accent3 4 6" xfId="2287" xr:uid="{00000000-0005-0000-0000-0000CB010000}"/>
    <cellStyle name="20% - Accent3 4 6 2" xfId="6593" xr:uid="{00000000-0005-0000-0000-0000CC010000}"/>
    <cellStyle name="20% - Accent3 4 6 2 2" xfId="15919" xr:uid="{FA1D48A9-9153-44DB-AB4F-0BC349F79B6F}"/>
    <cellStyle name="20% - Accent3 4 6 3" xfId="11702" xr:uid="{D9E69F81-3153-4396-8674-359E3A0CAC2F}"/>
    <cellStyle name="20% - Accent3 4 7" xfId="4527" xr:uid="{00000000-0005-0000-0000-0000CD010000}"/>
    <cellStyle name="20% - Accent3 4 7 2" xfId="13853" xr:uid="{C1848239-971C-464E-A288-27F4ADDBD518}"/>
    <cellStyle name="20% - Accent3 4 8" xfId="8951" xr:uid="{3CB7770B-4F12-4C44-B65D-06C641FEE851}"/>
    <cellStyle name="20% - Accent3 4 8 2" xfId="18275" xr:uid="{5FAC41A2-D5A6-4032-AA6F-0BC9456EDFAA}"/>
    <cellStyle name="20% - Accent3 4 9" xfId="9636" xr:uid="{FC18B6F5-9B99-4FEA-A248-885A4E7DEE64}"/>
    <cellStyle name="20% - Accent3 5" xfId="586" xr:uid="{00000000-0005-0000-0000-0000CE010000}"/>
    <cellStyle name="20% - Accent3 5 2" xfId="2857" xr:uid="{00000000-0005-0000-0000-0000CF010000}"/>
    <cellStyle name="20% - Accent3 5 2 2" xfId="7079" xr:uid="{00000000-0005-0000-0000-0000D0010000}"/>
    <cellStyle name="20% - Accent3 5 2 2 2" xfId="16405" xr:uid="{0E80E41D-F96A-4CBD-AA82-EF8E003CE70D}"/>
    <cellStyle name="20% - Accent3 5 2 3" xfId="12188" xr:uid="{497786E0-4803-404C-A07E-A798B7FCB5B0}"/>
    <cellStyle name="20% - Accent3 5 3" xfId="4934" xr:uid="{00000000-0005-0000-0000-0000D1010000}"/>
    <cellStyle name="20% - Accent3 5 3 2" xfId="14260" xr:uid="{B8F42408-A6C1-4372-AB5B-674D602680AF}"/>
    <cellStyle name="20% - Accent3 5 4" xfId="9184" xr:uid="{F51B2D95-9593-4370-A6D2-AFEF087D7920}"/>
    <cellStyle name="20% - Accent3 5 4 2" xfId="18502" xr:uid="{18905B82-256A-4CA7-B5F2-ADA56386F029}"/>
    <cellStyle name="20% - Accent3 5 5" xfId="10043" xr:uid="{EDFE7890-5AEA-4CE1-83FC-DFA1852E73AA}"/>
    <cellStyle name="20% - Accent3 6" xfId="1039" xr:uid="{00000000-0005-0000-0000-0000D2010000}"/>
    <cellStyle name="20% - Accent3 6 2" xfId="3270" xr:uid="{00000000-0005-0000-0000-0000D3010000}"/>
    <cellStyle name="20% - Accent3 6 2 2" xfId="7492" xr:uid="{00000000-0005-0000-0000-0000D4010000}"/>
    <cellStyle name="20% - Accent3 6 2 2 2" xfId="16818" xr:uid="{BB79BA6D-5F26-47E8-8B9E-F6F5668E9DCD}"/>
    <cellStyle name="20% - Accent3 6 2 3" xfId="12601" xr:uid="{0EEFF0A7-5EF0-4D42-B410-04D4F760E36A}"/>
    <cellStyle name="20% - Accent3 6 3" xfId="5347" xr:uid="{00000000-0005-0000-0000-0000D5010000}"/>
    <cellStyle name="20% - Accent3 6 3 2" xfId="14673" xr:uid="{2A95E94B-E0AF-4F2E-A29A-11433AD83958}"/>
    <cellStyle name="20% - Accent3 6 4" xfId="10456" xr:uid="{410AA8D5-5D51-4024-A347-9C67AC15569A}"/>
    <cellStyle name="20% - Accent3 7" xfId="1453" xr:uid="{00000000-0005-0000-0000-0000D6010000}"/>
    <cellStyle name="20% - Accent3 7 2" xfId="3683" xr:uid="{00000000-0005-0000-0000-0000D7010000}"/>
    <cellStyle name="20% - Accent3 7 2 2" xfId="7905" xr:uid="{00000000-0005-0000-0000-0000D8010000}"/>
    <cellStyle name="20% - Accent3 7 2 2 2" xfId="17231" xr:uid="{CC6E232B-736A-41B9-9617-0A3383F4ABEC}"/>
    <cellStyle name="20% - Accent3 7 2 3" xfId="13014" xr:uid="{A41D6A5A-4CD0-40C0-9291-221B4BD88456}"/>
    <cellStyle name="20% - Accent3 7 3" xfId="5760" xr:uid="{00000000-0005-0000-0000-0000D9010000}"/>
    <cellStyle name="20% - Accent3 7 3 2" xfId="15086" xr:uid="{20A28C78-12E9-43A2-A575-E8D1C7988147}"/>
    <cellStyle name="20% - Accent3 7 4" xfId="10869" xr:uid="{CE96B409-1911-44FE-A517-75C510442670}"/>
    <cellStyle name="20% - Accent3 8" xfId="1867" xr:uid="{00000000-0005-0000-0000-0000DA010000}"/>
    <cellStyle name="20% - Accent3 8 2" xfId="4096" xr:uid="{00000000-0005-0000-0000-0000DB010000}"/>
    <cellStyle name="20% - Accent3 8 2 2" xfId="8318" xr:uid="{00000000-0005-0000-0000-0000DC010000}"/>
    <cellStyle name="20% - Accent3 8 2 2 2" xfId="17644" xr:uid="{5CB5A76F-DE3A-4781-915B-58A81140B455}"/>
    <cellStyle name="20% - Accent3 8 2 3" xfId="13427" xr:uid="{058F1ACB-5C49-44E5-BFC6-021B7DBB018F}"/>
    <cellStyle name="20% - Accent3 8 3" xfId="6173" xr:uid="{00000000-0005-0000-0000-0000DD010000}"/>
    <cellStyle name="20% - Accent3 8 3 2" xfId="15499" xr:uid="{10230001-1F0A-4400-9147-B2B82C13EA6B}"/>
    <cellStyle name="20% - Accent3 8 4" xfId="11282" xr:uid="{2DA8DA9D-3CEC-4A92-B21E-5FDE2A943167}"/>
    <cellStyle name="20% - Accent3 9" xfId="2280" xr:uid="{00000000-0005-0000-0000-0000DE010000}"/>
    <cellStyle name="20% - Accent3 9 2" xfId="6586" xr:uid="{00000000-0005-0000-0000-0000DF010000}"/>
    <cellStyle name="20% - Accent3 9 2 2" xfId="15912" xr:uid="{22924640-1258-49A9-8F79-BCBC48F7501A}"/>
    <cellStyle name="20% - Accent3 9 3" xfId="11695" xr:uid="{9775CCDD-1020-4E2C-BA80-82645F0AE894}"/>
    <cellStyle name="20% - Accent4" xfId="25" builtinId="42" customBuiltin="1"/>
    <cellStyle name="20% - Accent4 10" xfId="4528" xr:uid="{00000000-0005-0000-0000-0000E1010000}"/>
    <cellStyle name="20% - Accent4 10 2" xfId="13854" xr:uid="{8891230F-3535-4BED-A12A-D532FB45A1E2}"/>
    <cellStyle name="20% - Accent4 11" xfId="8764" xr:uid="{4A9BF508-806C-496D-AEC5-5842E4A62892}"/>
    <cellStyle name="20% - Accent4 11 2" xfId="18088" xr:uid="{EC96C93F-8978-433B-9048-0A253069640F}"/>
    <cellStyle name="20% - Accent4 12" xfId="9637" xr:uid="{ACCE458D-3B70-4B42-811F-E16E27EDE723}"/>
    <cellStyle name="20% - Accent4 2" xfId="26" xr:uid="{00000000-0005-0000-0000-0000E2010000}"/>
    <cellStyle name="20% - Accent4 2 10" xfId="8794" xr:uid="{31A2F477-5237-45C2-B43F-25AC049A95FF}"/>
    <cellStyle name="20% - Accent4 2 10 2" xfId="18118" xr:uid="{DA25FB2E-5A91-4DAC-8CFA-D79D0336BF0B}"/>
    <cellStyle name="20% - Accent4 2 11" xfId="9638" xr:uid="{2E2AD294-6E3E-4195-862B-82D9F0A73842}"/>
    <cellStyle name="20% - Accent4 2 2" xfId="27" xr:uid="{00000000-0005-0000-0000-0000E3010000}"/>
    <cellStyle name="20% - Accent4 2 2 10" xfId="9639" xr:uid="{3838C24C-4A75-49F7-A29F-B197F43941BC}"/>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416" xr:uid="{EB3DA0B7-CF85-443D-813E-4D95C553A18D}"/>
    <cellStyle name="20% - Accent4 2 2 2 2 2 3" xfId="12199" xr:uid="{8AB36A18-2365-4527-8340-ECE2671DF4E0}"/>
    <cellStyle name="20% - Accent4 2 2 2 2 3" xfId="4945" xr:uid="{00000000-0005-0000-0000-0000E8010000}"/>
    <cellStyle name="20% - Accent4 2 2 2 2 3 2" xfId="14271" xr:uid="{203BEBFA-E81B-4F9C-BDE5-D914B313C48B}"/>
    <cellStyle name="20% - Accent4 2 2 2 2 4" xfId="9529" xr:uid="{0C40CE19-1873-4316-818D-CC943AAFBB7B}"/>
    <cellStyle name="20% - Accent4 2 2 2 2 4 2" xfId="18844" xr:uid="{48E45ABC-EC27-4628-AE2C-59DA351625E8}"/>
    <cellStyle name="20% - Accent4 2 2 2 2 5" xfId="10054" xr:uid="{34A7B7F6-5A35-4A44-965F-C44A6B07A525}"/>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829" xr:uid="{0AC410DB-B662-4907-AD19-1FBF29D5F542}"/>
    <cellStyle name="20% - Accent4 2 2 2 3 2 3" xfId="12612" xr:uid="{DE35B965-9E24-4A95-A785-BB5C8742437F}"/>
    <cellStyle name="20% - Accent4 2 2 2 3 3" xfId="5358" xr:uid="{00000000-0005-0000-0000-0000EC010000}"/>
    <cellStyle name="20% - Accent4 2 2 2 3 3 2" xfId="14684" xr:uid="{C59FC1D9-26B4-4C25-9609-93CCD15E7752}"/>
    <cellStyle name="20% - Accent4 2 2 2 3 4" xfId="10467" xr:uid="{DAB42837-571A-4B18-80CB-ED3B8C71AAB6}"/>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242" xr:uid="{52F81389-2950-4715-9CFB-2BA8551B584A}"/>
    <cellStyle name="20% - Accent4 2 2 2 4 2 3" xfId="13025" xr:uid="{D8EED65B-D581-481B-8228-F5F9E86B2F37}"/>
    <cellStyle name="20% - Accent4 2 2 2 4 3" xfId="5771" xr:uid="{00000000-0005-0000-0000-0000F0010000}"/>
    <cellStyle name="20% - Accent4 2 2 2 4 3 2" xfId="15097" xr:uid="{6E6DBA2C-B916-45CE-B2D3-11E89464686A}"/>
    <cellStyle name="20% - Accent4 2 2 2 4 4" xfId="10880" xr:uid="{98A5B640-E218-472E-AACD-B316F3942D6E}"/>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55" xr:uid="{C5C6FD69-2FAC-4309-9572-756CF688CB6B}"/>
    <cellStyle name="20% - Accent4 2 2 2 5 2 3" xfId="13438" xr:uid="{710F2FE7-3DA2-4FAB-B16D-6E3289E5DF38}"/>
    <cellStyle name="20% - Accent4 2 2 2 5 3" xfId="6184" xr:uid="{00000000-0005-0000-0000-0000F4010000}"/>
    <cellStyle name="20% - Accent4 2 2 2 5 3 2" xfId="15510" xr:uid="{2A5B96F2-A8B6-437F-BBFD-2856026C7027}"/>
    <cellStyle name="20% - Accent4 2 2 2 5 4" xfId="11293" xr:uid="{CC867FD0-CA1D-4829-A1B9-509779F5E077}"/>
    <cellStyle name="20% - Accent4 2 2 2 6" xfId="2291" xr:uid="{00000000-0005-0000-0000-0000F5010000}"/>
    <cellStyle name="20% - Accent4 2 2 2 6 2" xfId="6597" xr:uid="{00000000-0005-0000-0000-0000F6010000}"/>
    <cellStyle name="20% - Accent4 2 2 2 6 2 2" xfId="15923" xr:uid="{C1DC67B5-152C-4958-B9C5-F5F9D5C99FEB}"/>
    <cellStyle name="20% - Accent4 2 2 2 6 3" xfId="11706" xr:uid="{4D17924E-B9D1-4997-B08A-6D19B3B0B36F}"/>
    <cellStyle name="20% - Accent4 2 2 2 7" xfId="4531" xr:uid="{00000000-0005-0000-0000-0000F7010000}"/>
    <cellStyle name="20% - Accent4 2 2 2 7 2" xfId="13857" xr:uid="{E4D7581E-7AC7-4388-BF85-317425AAA2B6}"/>
    <cellStyle name="20% - Accent4 2 2 2 8" xfId="9104" xr:uid="{526BE306-22BA-4A85-81B2-34AEB56F0D90}"/>
    <cellStyle name="20% - Accent4 2 2 2 8 2" xfId="18428" xr:uid="{74446DE2-1E8D-4393-8FEE-5797D431C016}"/>
    <cellStyle name="20% - Accent4 2 2 2 9" xfId="9640" xr:uid="{8AC3DA1C-9E42-4B29-8E3A-B701D21F1EB1}"/>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415" xr:uid="{A19442AD-2494-4D68-A1CC-E9A416FB7D6A}"/>
    <cellStyle name="20% - Accent4 2 2 3 2 3" xfId="12198" xr:uid="{4F420EB2-FB91-4678-960B-E559055C7627}"/>
    <cellStyle name="20% - Accent4 2 2 3 3" xfId="4944" xr:uid="{00000000-0005-0000-0000-0000FB010000}"/>
    <cellStyle name="20% - Accent4 2 2 3 3 2" xfId="14270" xr:uid="{2F360425-FD92-4C3C-A796-673B1A619DDF}"/>
    <cellStyle name="20% - Accent4 2 2 3 4" xfId="9322" xr:uid="{003BBE99-27AA-4036-A373-4475953A88F4}"/>
    <cellStyle name="20% - Accent4 2 2 3 4 2" xfId="18637" xr:uid="{A13A2485-B2AF-49E6-AC7E-98A6B777C122}"/>
    <cellStyle name="20% - Accent4 2 2 3 5" xfId="10053" xr:uid="{FBC55C69-4EAD-452A-B877-99805F2F2B88}"/>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828" xr:uid="{0F591AA0-3CEE-451E-BD1C-7D43AD0D946A}"/>
    <cellStyle name="20% - Accent4 2 2 4 2 3" xfId="12611" xr:uid="{7851E82D-B9BA-45CD-9FE8-6E51C05D06C2}"/>
    <cellStyle name="20% - Accent4 2 2 4 3" xfId="5357" xr:uid="{00000000-0005-0000-0000-0000FF010000}"/>
    <cellStyle name="20% - Accent4 2 2 4 3 2" xfId="14683" xr:uid="{F6CD6C8D-6427-442A-A083-5B5EE41FB0C2}"/>
    <cellStyle name="20% - Accent4 2 2 4 4" xfId="10466" xr:uid="{D88268F1-33F3-4A36-893F-C61D2D814682}"/>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241" xr:uid="{128B600A-2E0B-4BC8-9F36-0E73122C25FE}"/>
    <cellStyle name="20% - Accent4 2 2 5 2 3" xfId="13024" xr:uid="{D606318F-13B4-4429-A689-18E13E7EFD19}"/>
    <cellStyle name="20% - Accent4 2 2 5 3" xfId="5770" xr:uid="{00000000-0005-0000-0000-000003020000}"/>
    <cellStyle name="20% - Accent4 2 2 5 3 2" xfId="15096" xr:uid="{30A03C10-6E8C-48BD-8BFD-B7DE306D2673}"/>
    <cellStyle name="20% - Accent4 2 2 5 4" xfId="10879" xr:uid="{C17F1A8E-315C-4A73-9135-BC476ADBD792}"/>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54" xr:uid="{E7730F7B-6814-45C7-A239-DE53143CAD1D}"/>
    <cellStyle name="20% - Accent4 2 2 6 2 3" xfId="13437" xr:uid="{A31602F2-9CDD-4B8C-9389-D6B3F4536F71}"/>
    <cellStyle name="20% - Accent4 2 2 6 3" xfId="6183" xr:uid="{00000000-0005-0000-0000-000007020000}"/>
    <cellStyle name="20% - Accent4 2 2 6 3 2" xfId="15509" xr:uid="{020A09FA-F4FC-47F3-8E57-AA0046B04F42}"/>
    <cellStyle name="20% - Accent4 2 2 6 4" xfId="11292" xr:uid="{8E3C687B-F6B7-4F59-9F63-9068C270DAD1}"/>
    <cellStyle name="20% - Accent4 2 2 7" xfId="2290" xr:uid="{00000000-0005-0000-0000-000008020000}"/>
    <cellStyle name="20% - Accent4 2 2 7 2" xfId="6596" xr:uid="{00000000-0005-0000-0000-000009020000}"/>
    <cellStyle name="20% - Accent4 2 2 7 2 2" xfId="15922" xr:uid="{EA9C7EB0-54BD-4F0C-8484-86A8C3636552}"/>
    <cellStyle name="20% - Accent4 2 2 7 3" xfId="11705" xr:uid="{1C20F55D-5200-4237-995B-38E36E28C90C}"/>
    <cellStyle name="20% - Accent4 2 2 8" xfId="4530" xr:uid="{00000000-0005-0000-0000-00000A020000}"/>
    <cellStyle name="20% - Accent4 2 2 8 2" xfId="13856" xr:uid="{33339E07-C499-4C2D-8BCB-4F4EB3721D75}"/>
    <cellStyle name="20% - Accent4 2 2 9" xfId="8897" xr:uid="{3A58A73C-0193-4EAC-8E12-5BF8743CE9BA}"/>
    <cellStyle name="20% - Accent4 2 2 9 2" xfId="18221" xr:uid="{5051934C-A33E-4DC1-947C-8FCA32265AFF}"/>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417" xr:uid="{52038D30-5E32-436B-A935-9ADDE7EE5F88}"/>
    <cellStyle name="20% - Accent4 2 3 2 2 3" xfId="12200" xr:uid="{1483F18E-7BC7-44A7-925E-E94A1F8056DC}"/>
    <cellStyle name="20% - Accent4 2 3 2 3" xfId="4946" xr:uid="{00000000-0005-0000-0000-00000F020000}"/>
    <cellStyle name="20% - Accent4 2 3 2 3 2" xfId="14272" xr:uid="{ACDCC7BC-0025-47D7-8963-898E0C692D87}"/>
    <cellStyle name="20% - Accent4 2 3 2 4" xfId="9426" xr:uid="{5B247D51-FBFD-4799-8395-E3F1C04297B8}"/>
    <cellStyle name="20% - Accent4 2 3 2 4 2" xfId="18741" xr:uid="{BBE28B2E-A27E-4050-A7B4-7B286D6C2B12}"/>
    <cellStyle name="20% - Accent4 2 3 2 5" xfId="10055" xr:uid="{6B304CEF-7B0E-415B-A4B5-B3DF0B3D7838}"/>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830" xr:uid="{787EBC00-3656-4AB6-99FD-95F6D8737E3B}"/>
    <cellStyle name="20% - Accent4 2 3 3 2 3" xfId="12613" xr:uid="{77B68126-8894-452B-984B-E4A4B0901D2C}"/>
    <cellStyle name="20% - Accent4 2 3 3 3" xfId="5359" xr:uid="{00000000-0005-0000-0000-000013020000}"/>
    <cellStyle name="20% - Accent4 2 3 3 3 2" xfId="14685" xr:uid="{30611E6E-7A69-4090-B789-E3400C0751FC}"/>
    <cellStyle name="20% - Accent4 2 3 3 4" xfId="10468" xr:uid="{F19A6EAE-64B2-448F-B8B2-E9223BFADD93}"/>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243" xr:uid="{66F8A3A7-530E-4561-BCDE-BA0ED483099D}"/>
    <cellStyle name="20% - Accent4 2 3 4 2 3" xfId="13026" xr:uid="{CE00E7C9-8B79-466D-BCDC-D357E6E7DD87}"/>
    <cellStyle name="20% - Accent4 2 3 4 3" xfId="5772" xr:uid="{00000000-0005-0000-0000-000017020000}"/>
    <cellStyle name="20% - Accent4 2 3 4 3 2" xfId="15098" xr:uid="{DDAC5728-8B00-466F-98FF-B740A7EEF4B1}"/>
    <cellStyle name="20% - Accent4 2 3 4 4" xfId="10881" xr:uid="{1389AA4C-41DA-4074-B179-0B6FE8BB6B8D}"/>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56" xr:uid="{6DFEDE04-2C09-450F-A2EF-EF311B9CF0B8}"/>
    <cellStyle name="20% - Accent4 2 3 5 2 3" xfId="13439" xr:uid="{947EA215-76CE-458B-8498-C749BF6CC0F9}"/>
    <cellStyle name="20% - Accent4 2 3 5 3" xfId="6185" xr:uid="{00000000-0005-0000-0000-00001B020000}"/>
    <cellStyle name="20% - Accent4 2 3 5 3 2" xfId="15511" xr:uid="{E10FBBB7-0C62-4643-AFE8-F5A257A6205D}"/>
    <cellStyle name="20% - Accent4 2 3 5 4" xfId="11294" xr:uid="{61784358-F449-48EA-82B2-25BEEA0613DE}"/>
    <cellStyle name="20% - Accent4 2 3 6" xfId="2292" xr:uid="{00000000-0005-0000-0000-00001C020000}"/>
    <cellStyle name="20% - Accent4 2 3 6 2" xfId="6598" xr:uid="{00000000-0005-0000-0000-00001D020000}"/>
    <cellStyle name="20% - Accent4 2 3 6 2 2" xfId="15924" xr:uid="{900F56A9-6BDA-4502-9F82-47159294125D}"/>
    <cellStyle name="20% - Accent4 2 3 6 3" xfId="11707" xr:uid="{BD85694C-7039-45DC-9B5D-7A9EB14B72F9}"/>
    <cellStyle name="20% - Accent4 2 3 7" xfId="4532" xr:uid="{00000000-0005-0000-0000-00001E020000}"/>
    <cellStyle name="20% - Accent4 2 3 7 2" xfId="13858" xr:uid="{AF15723C-F6B2-41EC-85F4-834750BE70B9}"/>
    <cellStyle name="20% - Accent4 2 3 8" xfId="9001" xr:uid="{B9DE6BBA-06E2-4FC8-B645-F20E60244072}"/>
    <cellStyle name="20% - Accent4 2 3 8 2" xfId="18325" xr:uid="{A036657A-BB34-4853-8C06-F2E7EB7D0C35}"/>
    <cellStyle name="20% - Accent4 2 3 9" xfId="9641" xr:uid="{CC6DDF34-74C9-4E7D-B423-C2F6F1156870}"/>
    <cellStyle name="20% - Accent4 2 4" xfId="595" xr:uid="{00000000-0005-0000-0000-00001F020000}"/>
    <cellStyle name="20% - Accent4 2 4 2" xfId="2866" xr:uid="{00000000-0005-0000-0000-000020020000}"/>
    <cellStyle name="20% - Accent4 2 4 2 2" xfId="7088" xr:uid="{00000000-0005-0000-0000-000021020000}"/>
    <cellStyle name="20% - Accent4 2 4 2 2 2" xfId="16414" xr:uid="{FA4690C9-A061-4AE2-B7B6-96155CB423B6}"/>
    <cellStyle name="20% - Accent4 2 4 2 3" xfId="12197" xr:uid="{610D94DD-F561-445F-B1BC-5076B49ECC3E}"/>
    <cellStyle name="20% - Accent4 2 4 3" xfId="4943" xr:uid="{00000000-0005-0000-0000-000022020000}"/>
    <cellStyle name="20% - Accent4 2 4 3 2" xfId="14269" xr:uid="{3ED6069E-B27F-4913-BBB6-9F60D075D149}"/>
    <cellStyle name="20% - Accent4 2 4 4" xfId="9218" xr:uid="{EEA9CEE5-7B27-41EB-B571-13D0ADC44445}"/>
    <cellStyle name="20% - Accent4 2 4 4 2" xfId="18534" xr:uid="{070BA380-1CB2-4F68-B4B0-C4FF86D8F9AD}"/>
    <cellStyle name="20% - Accent4 2 4 5" xfId="10052" xr:uid="{C72642E1-C9D3-40F2-9ED6-B9AD11CA3A93}"/>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827" xr:uid="{D281E54C-5778-4710-8C12-CC5DD39C235A}"/>
    <cellStyle name="20% - Accent4 2 5 2 3" xfId="12610" xr:uid="{3FADD5E9-AD37-43A5-8CE2-BDC4C6EE448F}"/>
    <cellStyle name="20% - Accent4 2 5 3" xfId="5356" xr:uid="{00000000-0005-0000-0000-000026020000}"/>
    <cellStyle name="20% - Accent4 2 5 3 2" xfId="14682" xr:uid="{DEFE704E-EE8D-46BF-A0E9-8CFEB422DD49}"/>
    <cellStyle name="20% - Accent4 2 5 4" xfId="10465" xr:uid="{4290A9B0-8ABE-4874-A9E0-066842409084}"/>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240" xr:uid="{A372B18D-35E9-409B-9DDE-29A5A1D48061}"/>
    <cellStyle name="20% - Accent4 2 6 2 3" xfId="13023" xr:uid="{6855EEED-9439-48D4-AB53-DD52241465BA}"/>
    <cellStyle name="20% - Accent4 2 6 3" xfId="5769" xr:uid="{00000000-0005-0000-0000-00002A020000}"/>
    <cellStyle name="20% - Accent4 2 6 3 2" xfId="15095" xr:uid="{E301362A-47CC-4B01-A247-DF5505E77A46}"/>
    <cellStyle name="20% - Accent4 2 6 4" xfId="10878" xr:uid="{81E3A83B-CDF0-4BFC-8424-4BFEFC77386F}"/>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53" xr:uid="{DE4ADCE5-5324-4E95-AE7E-A4D298FF51AF}"/>
    <cellStyle name="20% - Accent4 2 7 2 3" xfId="13436" xr:uid="{C4CD7C89-F7AE-4A57-8659-D9463F9AB03D}"/>
    <cellStyle name="20% - Accent4 2 7 3" xfId="6182" xr:uid="{00000000-0005-0000-0000-00002E020000}"/>
    <cellStyle name="20% - Accent4 2 7 3 2" xfId="15508" xr:uid="{04C0A295-2AC2-45D5-9CEB-680EE1B5B768}"/>
    <cellStyle name="20% - Accent4 2 7 4" xfId="11291" xr:uid="{2D537A50-B046-479B-BC09-285040FCA7D8}"/>
    <cellStyle name="20% - Accent4 2 8" xfId="2289" xr:uid="{00000000-0005-0000-0000-00002F020000}"/>
    <cellStyle name="20% - Accent4 2 8 2" xfId="6595" xr:uid="{00000000-0005-0000-0000-000030020000}"/>
    <cellStyle name="20% - Accent4 2 8 2 2" xfId="15921" xr:uid="{6DEEB2E1-662B-4F0B-8A31-18D37F39BDF8}"/>
    <cellStyle name="20% - Accent4 2 8 3" xfId="11704" xr:uid="{D651057B-EF43-4943-9D11-991EBF903FEA}"/>
    <cellStyle name="20% - Accent4 2 9" xfId="4529" xr:uid="{00000000-0005-0000-0000-000031020000}"/>
    <cellStyle name="20% - Accent4 2 9 2" xfId="13855" xr:uid="{9932DF94-9563-49AB-9A73-07744F67CC54}"/>
    <cellStyle name="20% - Accent4 3" xfId="30" xr:uid="{00000000-0005-0000-0000-000032020000}"/>
    <cellStyle name="20% - Accent4 3 10" xfId="9642" xr:uid="{F6D33473-DE21-4FBE-84F9-B735F27DF99D}"/>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419" xr:uid="{CD1983D0-F084-4B61-92C4-C58BFF4CB2C5}"/>
    <cellStyle name="20% - Accent4 3 2 2 2 3" xfId="12202" xr:uid="{50C5CD2F-A4B6-469C-AC1B-E46D8B48A258}"/>
    <cellStyle name="20% - Accent4 3 2 2 3" xfId="4948" xr:uid="{00000000-0005-0000-0000-000037020000}"/>
    <cellStyle name="20% - Accent4 3 2 2 3 2" xfId="14274" xr:uid="{1A2F4195-6478-4E34-ABB4-0D3C4A87A9DE}"/>
    <cellStyle name="20% - Accent4 3 2 2 4" xfId="9499" xr:uid="{019308F4-938B-408B-A627-483AF94276A0}"/>
    <cellStyle name="20% - Accent4 3 2 2 4 2" xfId="18814" xr:uid="{11D05443-DD08-4440-A56C-7D69EFF28812}"/>
    <cellStyle name="20% - Accent4 3 2 2 5" xfId="10057" xr:uid="{CEEEE0D4-68F4-4142-8A7E-75C65435BA90}"/>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832" xr:uid="{B727E941-CF11-408E-9EF0-4C399540A9EC}"/>
    <cellStyle name="20% - Accent4 3 2 3 2 3" xfId="12615" xr:uid="{D650F64C-962F-4A02-8A7D-44DFD70E8F3C}"/>
    <cellStyle name="20% - Accent4 3 2 3 3" xfId="5361" xr:uid="{00000000-0005-0000-0000-00003B020000}"/>
    <cellStyle name="20% - Accent4 3 2 3 3 2" xfId="14687" xr:uid="{3B5DE2A3-CDF3-4924-9474-5B96F106348A}"/>
    <cellStyle name="20% - Accent4 3 2 3 4" xfId="10470" xr:uid="{EBBD5BF5-0C9B-4862-8925-0F5BEA9D1F53}"/>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45" xr:uid="{52D48D3D-8B8A-4B1A-92D2-0DA8EF340241}"/>
    <cellStyle name="20% - Accent4 3 2 4 2 3" xfId="13028" xr:uid="{9F1764E2-6C05-417E-8813-787082B6E09A}"/>
    <cellStyle name="20% - Accent4 3 2 4 3" xfId="5774" xr:uid="{00000000-0005-0000-0000-00003F020000}"/>
    <cellStyle name="20% - Accent4 3 2 4 3 2" xfId="15100" xr:uid="{BC3C5B40-5833-4895-9349-97ACA27E924F}"/>
    <cellStyle name="20% - Accent4 3 2 4 4" xfId="10883" xr:uid="{558F2992-A7BD-4F2B-A498-CFC548548087}"/>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58" xr:uid="{2E0B077B-1DE4-46F9-B54A-4F0528B42A67}"/>
    <cellStyle name="20% - Accent4 3 2 5 2 3" xfId="13441" xr:uid="{4EBC6C79-23B9-4865-852E-11A61F5A0F6D}"/>
    <cellStyle name="20% - Accent4 3 2 5 3" xfId="6187" xr:uid="{00000000-0005-0000-0000-000043020000}"/>
    <cellStyle name="20% - Accent4 3 2 5 3 2" xfId="15513" xr:uid="{88345E09-EEBF-4194-8D05-82663E23E6BA}"/>
    <cellStyle name="20% - Accent4 3 2 5 4" xfId="11296" xr:uid="{8C824C7C-5134-45D1-AA06-F9156EF32631}"/>
    <cellStyle name="20% - Accent4 3 2 6" xfId="2294" xr:uid="{00000000-0005-0000-0000-000044020000}"/>
    <cellStyle name="20% - Accent4 3 2 6 2" xfId="6600" xr:uid="{00000000-0005-0000-0000-000045020000}"/>
    <cellStyle name="20% - Accent4 3 2 6 2 2" xfId="15926" xr:uid="{2BF549BA-D26F-4483-8764-5ABAFDBB541B}"/>
    <cellStyle name="20% - Accent4 3 2 6 3" xfId="11709" xr:uid="{CABBC214-6BC0-43D7-B95A-D9D5FC943537}"/>
    <cellStyle name="20% - Accent4 3 2 7" xfId="4534" xr:uid="{00000000-0005-0000-0000-000046020000}"/>
    <cellStyle name="20% - Accent4 3 2 7 2" xfId="13860" xr:uid="{5355D08C-1A3D-4AD1-BDCD-D863BA288C13}"/>
    <cellStyle name="20% - Accent4 3 2 8" xfId="9074" xr:uid="{BA25EAA8-2B5F-4309-91A3-FC61FCEF209C}"/>
    <cellStyle name="20% - Accent4 3 2 8 2" xfId="18398" xr:uid="{A73DCBA0-2AF9-414A-A6CC-E1ADCDD211D2}"/>
    <cellStyle name="20% - Accent4 3 2 9" xfId="9643" xr:uid="{6B0608D8-059C-4047-9881-D7B4911E5866}"/>
    <cellStyle name="20% - Accent4 3 3" xfId="599" xr:uid="{00000000-0005-0000-0000-000047020000}"/>
    <cellStyle name="20% - Accent4 3 3 2" xfId="2870" xr:uid="{00000000-0005-0000-0000-000048020000}"/>
    <cellStyle name="20% - Accent4 3 3 2 2" xfId="7092" xr:uid="{00000000-0005-0000-0000-000049020000}"/>
    <cellStyle name="20% - Accent4 3 3 2 2 2" xfId="16418" xr:uid="{DFDD413D-2FAA-4E9B-B98B-332B965E58BA}"/>
    <cellStyle name="20% - Accent4 3 3 2 3" xfId="12201" xr:uid="{B193A371-B7CB-47A3-84E3-E80FF028BD42}"/>
    <cellStyle name="20% - Accent4 3 3 3" xfId="4947" xr:uid="{00000000-0005-0000-0000-00004A020000}"/>
    <cellStyle name="20% - Accent4 3 3 3 2" xfId="14273" xr:uid="{0AB32C54-92DB-4D09-A47A-2F633694DFE3}"/>
    <cellStyle name="20% - Accent4 3 3 4" xfId="9292" xr:uid="{E33AB5E9-A8F9-45CB-AD95-0E461E901C30}"/>
    <cellStyle name="20% - Accent4 3 3 4 2" xfId="18607" xr:uid="{A030811D-154F-46EF-98EF-09AB6AF692EF}"/>
    <cellStyle name="20% - Accent4 3 3 5" xfId="10056" xr:uid="{BCCA2C4B-533B-4342-9396-8871D38F4E24}"/>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831" xr:uid="{E9BA7C84-7B91-4349-B646-A1E718997207}"/>
    <cellStyle name="20% - Accent4 3 4 2 3" xfId="12614" xr:uid="{A0CD9110-C7B5-4254-B2B3-08BD78B46860}"/>
    <cellStyle name="20% - Accent4 3 4 3" xfId="5360" xr:uid="{00000000-0005-0000-0000-00004E020000}"/>
    <cellStyle name="20% - Accent4 3 4 3 2" xfId="14686" xr:uid="{06FDE669-2EC8-435B-A708-3C6EA544E560}"/>
    <cellStyle name="20% - Accent4 3 4 4" xfId="10469" xr:uid="{DFE46E8B-9303-4A1B-872C-C7A3F4294755}"/>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44" xr:uid="{A75243AA-F537-4009-A8CA-C8066489478C}"/>
    <cellStyle name="20% - Accent4 3 5 2 3" xfId="13027" xr:uid="{E80EF732-4096-4144-AEA6-508DF8C0BF67}"/>
    <cellStyle name="20% - Accent4 3 5 3" xfId="5773" xr:uid="{00000000-0005-0000-0000-000052020000}"/>
    <cellStyle name="20% - Accent4 3 5 3 2" xfId="15099" xr:uid="{76EF45DB-AC0B-4F60-A565-C509B4000B47}"/>
    <cellStyle name="20% - Accent4 3 5 4" xfId="10882" xr:uid="{90629493-BC9D-42FF-BC92-A240E19D314F}"/>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57" xr:uid="{0F7CB462-675D-42E1-BCAB-1BEF31935A15}"/>
    <cellStyle name="20% - Accent4 3 6 2 3" xfId="13440" xr:uid="{7661AE8B-39AD-4E36-B23B-0DDDBC9A2C29}"/>
    <cellStyle name="20% - Accent4 3 6 3" xfId="6186" xr:uid="{00000000-0005-0000-0000-000056020000}"/>
    <cellStyle name="20% - Accent4 3 6 3 2" xfId="15512" xr:uid="{BD93C6B4-1281-4F53-A51F-1096CC1E68C7}"/>
    <cellStyle name="20% - Accent4 3 6 4" xfId="11295" xr:uid="{86BC21BC-7936-4B5A-8722-C862F5AFF8DE}"/>
    <cellStyle name="20% - Accent4 3 7" xfId="2293" xr:uid="{00000000-0005-0000-0000-000057020000}"/>
    <cellStyle name="20% - Accent4 3 7 2" xfId="6599" xr:uid="{00000000-0005-0000-0000-000058020000}"/>
    <cellStyle name="20% - Accent4 3 7 2 2" xfId="15925" xr:uid="{A9D669A6-D780-4AB7-930F-7A8E08CD85A8}"/>
    <cellStyle name="20% - Accent4 3 7 3" xfId="11708" xr:uid="{CE454E10-5FEB-477B-BFDF-6EB16345CA98}"/>
    <cellStyle name="20% - Accent4 3 8" xfId="4533" xr:uid="{00000000-0005-0000-0000-000059020000}"/>
    <cellStyle name="20% - Accent4 3 8 2" xfId="13859" xr:uid="{C5439FE4-4C02-49C8-B41A-96D2709A26C0}"/>
    <cellStyle name="20% - Accent4 3 9" xfId="8867" xr:uid="{27FB4CEF-7F56-4AEC-B5AC-6B6A1477FBD8}"/>
    <cellStyle name="20% - Accent4 3 9 2" xfId="18191" xr:uid="{74EE15E9-1EBB-4375-AC8D-57ABD3E0DF39}"/>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6420" xr:uid="{E00CF820-A06F-43AE-9C9F-11D864F361FA}"/>
    <cellStyle name="20% - Accent4 4 2 2 3" xfId="12203" xr:uid="{B5A2EF4E-348E-409B-919B-709BEDAD15AF}"/>
    <cellStyle name="20% - Accent4 4 2 3" xfId="4949" xr:uid="{00000000-0005-0000-0000-00005E020000}"/>
    <cellStyle name="20% - Accent4 4 2 3 2" xfId="14275" xr:uid="{97E7B7C6-6A28-4FFA-BD21-0830FEEF581E}"/>
    <cellStyle name="20% - Accent4 4 2 4" xfId="9378" xr:uid="{761B3D4A-2751-4646-8A50-05A0DD408525}"/>
    <cellStyle name="20% - Accent4 4 2 4 2" xfId="18693" xr:uid="{4AD30623-59FF-41D3-B017-366DC97F89B3}"/>
    <cellStyle name="20% - Accent4 4 2 5" xfId="10058" xr:uid="{E94F5E3E-1476-4F0B-A526-3FE976DC60B9}"/>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833" xr:uid="{9BC075EA-276A-4D20-A5A7-5980A1DBD2AD}"/>
    <cellStyle name="20% - Accent4 4 3 2 3" xfId="12616" xr:uid="{D24CEA85-81A7-46BC-8A19-58E8D9481DC3}"/>
    <cellStyle name="20% - Accent4 4 3 3" xfId="5362" xr:uid="{00000000-0005-0000-0000-000062020000}"/>
    <cellStyle name="20% - Accent4 4 3 3 2" xfId="14688" xr:uid="{4AE761D1-8FFF-4BA9-A192-8228B2AB70E2}"/>
    <cellStyle name="20% - Accent4 4 3 4" xfId="10471" xr:uid="{A89B424C-DE51-4E90-833B-C9F96F04FB5C}"/>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46" xr:uid="{E50F67B6-D7B3-4470-81C5-2C35C1895D8A}"/>
    <cellStyle name="20% - Accent4 4 4 2 3" xfId="13029" xr:uid="{BE0B6256-D582-4B05-92D6-050E547B8D28}"/>
    <cellStyle name="20% - Accent4 4 4 3" xfId="5775" xr:uid="{00000000-0005-0000-0000-000066020000}"/>
    <cellStyle name="20% - Accent4 4 4 3 2" xfId="15101" xr:uid="{526F83C9-03ED-4D3F-BAA9-FD9CD9067318}"/>
    <cellStyle name="20% - Accent4 4 4 4" xfId="10884" xr:uid="{821EA844-5AC4-4C10-AA43-A1CB75EE8EF2}"/>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59" xr:uid="{11E51E01-7BAC-49F1-83F8-3DC72017BA1C}"/>
    <cellStyle name="20% - Accent4 4 5 2 3" xfId="13442" xr:uid="{11A929F7-5FDD-4877-826B-DF1D3B41E549}"/>
    <cellStyle name="20% - Accent4 4 5 3" xfId="6188" xr:uid="{00000000-0005-0000-0000-00006A020000}"/>
    <cellStyle name="20% - Accent4 4 5 3 2" xfId="15514" xr:uid="{52F50AE0-308B-4A13-A600-8BED091DF650}"/>
    <cellStyle name="20% - Accent4 4 5 4" xfId="11297" xr:uid="{CBDDD5E7-96EB-46E6-AAE8-1CFC2BBD5E82}"/>
    <cellStyle name="20% - Accent4 4 6" xfId="2295" xr:uid="{00000000-0005-0000-0000-00006B020000}"/>
    <cellStyle name="20% - Accent4 4 6 2" xfId="6601" xr:uid="{00000000-0005-0000-0000-00006C020000}"/>
    <cellStyle name="20% - Accent4 4 6 2 2" xfId="15927" xr:uid="{0775FA3B-57B4-4946-A945-B4B78B6BF0C4}"/>
    <cellStyle name="20% - Accent4 4 6 3" xfId="11710" xr:uid="{BA64E56E-BBD3-406C-AB79-3A5444BAB4D9}"/>
    <cellStyle name="20% - Accent4 4 7" xfId="4535" xr:uid="{00000000-0005-0000-0000-00006D020000}"/>
    <cellStyle name="20% - Accent4 4 7 2" xfId="13861" xr:uid="{DDD68015-D00C-4E47-B01A-322293236DCA}"/>
    <cellStyle name="20% - Accent4 4 8" xfId="8953" xr:uid="{66D1590A-BB3A-4B79-BA94-169F97E79370}"/>
    <cellStyle name="20% - Accent4 4 8 2" xfId="18277" xr:uid="{FC4F2C0D-5501-40E6-9E74-F2242DA8F07B}"/>
    <cellStyle name="20% - Accent4 4 9" xfId="9644" xr:uid="{6E9C21EE-0C64-46AC-BE5B-7F9879B064E8}"/>
    <cellStyle name="20% - Accent4 5" xfId="594" xr:uid="{00000000-0005-0000-0000-00006E020000}"/>
    <cellStyle name="20% - Accent4 5 2" xfId="2865" xr:uid="{00000000-0005-0000-0000-00006F020000}"/>
    <cellStyle name="20% - Accent4 5 2 2" xfId="7087" xr:uid="{00000000-0005-0000-0000-000070020000}"/>
    <cellStyle name="20% - Accent4 5 2 2 2" xfId="16413" xr:uid="{0230F3FE-E0CF-4B8B-889B-681EE057E653}"/>
    <cellStyle name="20% - Accent4 5 2 3" xfId="12196" xr:uid="{57AA53E5-C4C7-4937-BA46-84F5ACB4EC08}"/>
    <cellStyle name="20% - Accent4 5 3" xfId="4942" xr:uid="{00000000-0005-0000-0000-000071020000}"/>
    <cellStyle name="20% - Accent4 5 3 2" xfId="14268" xr:uid="{E648DF34-2E8A-4CB0-852F-63D36F5621FC}"/>
    <cellStyle name="20% - Accent4 5 4" xfId="9186" xr:uid="{E62ED282-F767-404B-ADA1-4F8E5B4D01EB}"/>
    <cellStyle name="20% - Accent4 5 4 2" xfId="18504" xr:uid="{985E3B90-5EBB-4CAE-AAD5-F66B96C07999}"/>
    <cellStyle name="20% - Accent4 5 5" xfId="10051" xr:uid="{32FE0A33-556E-4EB0-AB3E-DB5813C3F052}"/>
    <cellStyle name="20% - Accent4 6" xfId="1047" xr:uid="{00000000-0005-0000-0000-000072020000}"/>
    <cellStyle name="20% - Accent4 6 2" xfId="3278" xr:uid="{00000000-0005-0000-0000-000073020000}"/>
    <cellStyle name="20% - Accent4 6 2 2" xfId="7500" xr:uid="{00000000-0005-0000-0000-000074020000}"/>
    <cellStyle name="20% - Accent4 6 2 2 2" xfId="16826" xr:uid="{B929FAA5-942D-42EB-B3D4-DB9C11D566B2}"/>
    <cellStyle name="20% - Accent4 6 2 3" xfId="12609" xr:uid="{413D9175-2010-4BBB-AC4E-FAD005872AE7}"/>
    <cellStyle name="20% - Accent4 6 3" xfId="5355" xr:uid="{00000000-0005-0000-0000-000075020000}"/>
    <cellStyle name="20% - Accent4 6 3 2" xfId="14681" xr:uid="{A7134E44-3509-4934-BA48-36B0AA5626EA}"/>
    <cellStyle name="20% - Accent4 6 4" xfId="10464" xr:uid="{00458B9A-6CDF-4801-949E-9875DBBC141D}"/>
    <cellStyle name="20% - Accent4 7" xfId="1461" xr:uid="{00000000-0005-0000-0000-000076020000}"/>
    <cellStyle name="20% - Accent4 7 2" xfId="3691" xr:uid="{00000000-0005-0000-0000-000077020000}"/>
    <cellStyle name="20% - Accent4 7 2 2" xfId="7913" xr:uid="{00000000-0005-0000-0000-000078020000}"/>
    <cellStyle name="20% - Accent4 7 2 2 2" xfId="17239" xr:uid="{A7A08ABA-4B4D-4AD1-B114-A838A2337E1D}"/>
    <cellStyle name="20% - Accent4 7 2 3" xfId="13022" xr:uid="{F7052575-1A30-4145-8B66-E25832941E05}"/>
    <cellStyle name="20% - Accent4 7 3" xfId="5768" xr:uid="{00000000-0005-0000-0000-000079020000}"/>
    <cellStyle name="20% - Accent4 7 3 2" xfId="15094" xr:uid="{CFF227A9-569C-4C36-9115-AFC0FE052A87}"/>
    <cellStyle name="20% - Accent4 7 4" xfId="10877" xr:uid="{F6BBED44-CA6A-4DB6-B579-82C18A68EEA5}"/>
    <cellStyle name="20% - Accent4 8" xfId="1875" xr:uid="{00000000-0005-0000-0000-00007A020000}"/>
    <cellStyle name="20% - Accent4 8 2" xfId="4104" xr:uid="{00000000-0005-0000-0000-00007B020000}"/>
    <cellStyle name="20% - Accent4 8 2 2" xfId="8326" xr:uid="{00000000-0005-0000-0000-00007C020000}"/>
    <cellStyle name="20% - Accent4 8 2 2 2" xfId="17652" xr:uid="{68AE83CE-AB32-4A25-A2E5-B62A6B24D875}"/>
    <cellStyle name="20% - Accent4 8 2 3" xfId="13435" xr:uid="{7DA19A9A-9E41-4136-B14F-79BDE280E9E7}"/>
    <cellStyle name="20% - Accent4 8 3" xfId="6181" xr:uid="{00000000-0005-0000-0000-00007D020000}"/>
    <cellStyle name="20% - Accent4 8 3 2" xfId="15507" xr:uid="{EDD14307-FCF5-41F9-BB1A-B5085577FAF3}"/>
    <cellStyle name="20% - Accent4 8 4" xfId="11290" xr:uid="{A580D893-E360-413E-A2FB-624C9FB45DFE}"/>
    <cellStyle name="20% - Accent4 9" xfId="2288" xr:uid="{00000000-0005-0000-0000-00007E020000}"/>
    <cellStyle name="20% - Accent4 9 2" xfId="6594" xr:uid="{00000000-0005-0000-0000-00007F020000}"/>
    <cellStyle name="20% - Accent4 9 2 2" xfId="15920" xr:uid="{CCEA5B49-B973-4D3E-BA55-3C77F2501783}"/>
    <cellStyle name="20% - Accent4 9 3" xfId="11703" xr:uid="{5D421B30-A2AD-44E0-92EB-E4A543252C7D}"/>
    <cellStyle name="20% - Accent5" xfId="33" builtinId="46" customBuiltin="1"/>
    <cellStyle name="20% - Accent5 10" xfId="4536" xr:uid="{00000000-0005-0000-0000-000081020000}"/>
    <cellStyle name="20% - Accent5 10 2" xfId="13862" xr:uid="{0D846AD4-89E6-4466-AE45-D82039C35CC3}"/>
    <cellStyle name="20% - Accent5 11" xfId="8766" xr:uid="{A87C980D-48BC-4AA3-98F7-53B2F02F228C}"/>
    <cellStyle name="20% - Accent5 11 2" xfId="18090" xr:uid="{DB170DE8-8AC0-45D5-8DBC-9DC74AB720E8}"/>
    <cellStyle name="20% - Accent5 12" xfId="9645" xr:uid="{5BBA8C50-3AF2-4CF1-9ADD-B132DAA586F5}"/>
    <cellStyle name="20% - Accent5 2" xfId="34" xr:uid="{00000000-0005-0000-0000-000082020000}"/>
    <cellStyle name="20% - Accent5 2 10" xfId="8796" xr:uid="{5BBF4372-A7B1-47A0-AC3D-4A60EDC1A5F8}"/>
    <cellStyle name="20% - Accent5 2 10 2" xfId="18120" xr:uid="{F464BB3A-16E6-49F2-A5E5-5CA4F0EC9A71}"/>
    <cellStyle name="20% - Accent5 2 11" xfId="9646" xr:uid="{1CD6CB73-59A1-42EF-859F-DA32C55E1069}"/>
    <cellStyle name="20% - Accent5 2 2" xfId="35" xr:uid="{00000000-0005-0000-0000-000083020000}"/>
    <cellStyle name="20% - Accent5 2 2 10" xfId="9647" xr:uid="{91EFC445-BF24-47A7-93F3-20B7C537B23A}"/>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424" xr:uid="{34D1FAAE-735A-4AE7-899B-32585FE855AD}"/>
    <cellStyle name="20% - Accent5 2 2 2 2 2 3" xfId="12207" xr:uid="{9CA21B79-9AC5-442B-837B-C8C20579A6E1}"/>
    <cellStyle name="20% - Accent5 2 2 2 2 3" xfId="4953" xr:uid="{00000000-0005-0000-0000-000088020000}"/>
    <cellStyle name="20% - Accent5 2 2 2 2 3 2" xfId="14279" xr:uid="{5FE6AA65-EABD-4B11-994F-DAD119BFA54F}"/>
    <cellStyle name="20% - Accent5 2 2 2 2 4" xfId="9531" xr:uid="{5DC5F027-F767-49FB-B9DE-2ACABCF8AC5A}"/>
    <cellStyle name="20% - Accent5 2 2 2 2 4 2" xfId="18846" xr:uid="{58B95626-38CC-4260-B293-43F22C667E87}"/>
    <cellStyle name="20% - Accent5 2 2 2 2 5" xfId="10062" xr:uid="{FE4A32B4-0500-4EB1-91EB-3AF4EE9FE397}"/>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837" xr:uid="{75B474A3-AA0B-49A6-9630-48355FCE3D59}"/>
    <cellStyle name="20% - Accent5 2 2 2 3 2 3" xfId="12620" xr:uid="{D6F7FFC5-8C62-4FAA-970B-FD7ABA0181FF}"/>
    <cellStyle name="20% - Accent5 2 2 2 3 3" xfId="5366" xr:uid="{00000000-0005-0000-0000-00008C020000}"/>
    <cellStyle name="20% - Accent5 2 2 2 3 3 2" xfId="14692" xr:uid="{EE75E878-781D-4830-84AA-C12157F60750}"/>
    <cellStyle name="20% - Accent5 2 2 2 3 4" xfId="10475" xr:uid="{5014F331-24F1-4B16-B860-1DB5149B4504}"/>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50" xr:uid="{CA668257-2724-4B2A-A342-B03B6D8A6F45}"/>
    <cellStyle name="20% - Accent5 2 2 2 4 2 3" xfId="13033" xr:uid="{ABBDBAFC-5E31-4C93-8183-92A0B744E2C0}"/>
    <cellStyle name="20% - Accent5 2 2 2 4 3" xfId="5779" xr:uid="{00000000-0005-0000-0000-000090020000}"/>
    <cellStyle name="20% - Accent5 2 2 2 4 3 2" xfId="15105" xr:uid="{D62787AB-4504-4569-852E-76DF9BACD745}"/>
    <cellStyle name="20% - Accent5 2 2 2 4 4" xfId="10888" xr:uid="{633D3C2F-04FD-4437-8CCA-BD430FB50801}"/>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63" xr:uid="{CC3CEB35-0A79-477A-89C5-24185C9587CE}"/>
    <cellStyle name="20% - Accent5 2 2 2 5 2 3" xfId="13446" xr:uid="{C1EDCF85-5667-485F-A885-B711708BC502}"/>
    <cellStyle name="20% - Accent5 2 2 2 5 3" xfId="6192" xr:uid="{00000000-0005-0000-0000-000094020000}"/>
    <cellStyle name="20% - Accent5 2 2 2 5 3 2" xfId="15518" xr:uid="{5E11249B-D0F7-4015-A852-591A8E6B8EA5}"/>
    <cellStyle name="20% - Accent5 2 2 2 5 4" xfId="11301" xr:uid="{9D1EF8C8-2A71-4841-A9D2-E09ECA66443F}"/>
    <cellStyle name="20% - Accent5 2 2 2 6" xfId="2299" xr:uid="{00000000-0005-0000-0000-000095020000}"/>
    <cellStyle name="20% - Accent5 2 2 2 6 2" xfId="6605" xr:uid="{00000000-0005-0000-0000-000096020000}"/>
    <cellStyle name="20% - Accent5 2 2 2 6 2 2" xfId="15931" xr:uid="{74470463-723A-4937-946A-EC8BD62A22C3}"/>
    <cellStyle name="20% - Accent5 2 2 2 6 3" xfId="11714" xr:uid="{5F4D939A-421E-4071-8B10-B7655AE0F1AE}"/>
    <cellStyle name="20% - Accent5 2 2 2 7" xfId="4539" xr:uid="{00000000-0005-0000-0000-000097020000}"/>
    <cellStyle name="20% - Accent5 2 2 2 7 2" xfId="13865" xr:uid="{209A952C-7530-4C30-B650-B31DE3AB8278}"/>
    <cellStyle name="20% - Accent5 2 2 2 8" xfId="9106" xr:uid="{E7B219CB-83A9-494A-83ED-783719A0F1D9}"/>
    <cellStyle name="20% - Accent5 2 2 2 8 2" xfId="18430" xr:uid="{E5D3CA99-A324-47A9-8C65-85974729A21B}"/>
    <cellStyle name="20% - Accent5 2 2 2 9" xfId="9648" xr:uid="{C638A743-CD03-4AA7-B5F9-8DF36436909A}"/>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423" xr:uid="{8412B370-D4B2-4411-8C64-E875609B4722}"/>
    <cellStyle name="20% - Accent5 2 2 3 2 3" xfId="12206" xr:uid="{F661AEBA-2F05-4821-A9F6-C978A2F9AA49}"/>
    <cellStyle name="20% - Accent5 2 2 3 3" xfId="4952" xr:uid="{00000000-0005-0000-0000-00009B020000}"/>
    <cellStyle name="20% - Accent5 2 2 3 3 2" xfId="14278" xr:uid="{EA9CBE3E-611F-440A-9F7E-E7EA6C620B36}"/>
    <cellStyle name="20% - Accent5 2 2 3 4" xfId="9324" xr:uid="{6094FEE1-8E2A-466F-9CDF-43EB9EE581FF}"/>
    <cellStyle name="20% - Accent5 2 2 3 4 2" xfId="18639" xr:uid="{7B4D1B3F-B7AB-45B0-BD96-0EE26F1C164E}"/>
    <cellStyle name="20% - Accent5 2 2 3 5" xfId="10061" xr:uid="{605BAC02-ADF8-487A-A08B-18F3CA476F8D}"/>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836" xr:uid="{8468FB03-7739-45EF-9C87-64F00D3E406D}"/>
    <cellStyle name="20% - Accent5 2 2 4 2 3" xfId="12619" xr:uid="{088EE227-3555-4515-B4C3-2AD08139910F}"/>
    <cellStyle name="20% - Accent5 2 2 4 3" xfId="5365" xr:uid="{00000000-0005-0000-0000-00009F020000}"/>
    <cellStyle name="20% - Accent5 2 2 4 3 2" xfId="14691" xr:uid="{50347739-F1BC-4CF1-A739-65568E7785F1}"/>
    <cellStyle name="20% - Accent5 2 2 4 4" xfId="10474" xr:uid="{407D55FF-11AE-466E-B469-86323D876B4B}"/>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49" xr:uid="{920F545D-D0C0-49FB-A9AE-47FC16F27B98}"/>
    <cellStyle name="20% - Accent5 2 2 5 2 3" xfId="13032" xr:uid="{CDBD612C-1D93-435B-807A-6FDD59680022}"/>
    <cellStyle name="20% - Accent5 2 2 5 3" xfId="5778" xr:uid="{00000000-0005-0000-0000-0000A3020000}"/>
    <cellStyle name="20% - Accent5 2 2 5 3 2" xfId="15104" xr:uid="{732A8B8C-05CF-4BA8-9C46-7BFC4B51B62C}"/>
    <cellStyle name="20% - Accent5 2 2 5 4" xfId="10887" xr:uid="{6BC08FD7-69D3-4172-9E46-5025791C076D}"/>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62" xr:uid="{7B8B0ADF-D2B7-46D9-B6CA-ED1F4F3D893E}"/>
    <cellStyle name="20% - Accent5 2 2 6 2 3" xfId="13445" xr:uid="{ED8165BB-8F96-4829-B62E-76342461DA77}"/>
    <cellStyle name="20% - Accent5 2 2 6 3" xfId="6191" xr:uid="{00000000-0005-0000-0000-0000A7020000}"/>
    <cellStyle name="20% - Accent5 2 2 6 3 2" xfId="15517" xr:uid="{8A04008C-5BEE-4189-B7F5-7B13C6302EC7}"/>
    <cellStyle name="20% - Accent5 2 2 6 4" xfId="11300" xr:uid="{C994ED07-1F2F-4C60-A899-43143719464A}"/>
    <cellStyle name="20% - Accent5 2 2 7" xfId="2298" xr:uid="{00000000-0005-0000-0000-0000A8020000}"/>
    <cellStyle name="20% - Accent5 2 2 7 2" xfId="6604" xr:uid="{00000000-0005-0000-0000-0000A9020000}"/>
    <cellStyle name="20% - Accent5 2 2 7 2 2" xfId="15930" xr:uid="{F5782EE3-B100-4E98-A64E-3D2DDF31327E}"/>
    <cellStyle name="20% - Accent5 2 2 7 3" xfId="11713" xr:uid="{C2F2F31A-067B-48AD-8D58-205CC322699A}"/>
    <cellStyle name="20% - Accent5 2 2 8" xfId="4538" xr:uid="{00000000-0005-0000-0000-0000AA020000}"/>
    <cellStyle name="20% - Accent5 2 2 8 2" xfId="13864" xr:uid="{F19B5CAB-93E3-4C5C-A355-C023898CFE43}"/>
    <cellStyle name="20% - Accent5 2 2 9" xfId="8899" xr:uid="{0E8F9EC8-D565-41C9-B716-FF597FFF35B9}"/>
    <cellStyle name="20% - Accent5 2 2 9 2" xfId="18223" xr:uid="{B9DC2294-C789-48EC-BD09-B126E3D051A4}"/>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425" xr:uid="{0D37AB01-9B9C-4BC3-9D8A-17F23E1D5E4F}"/>
    <cellStyle name="20% - Accent5 2 3 2 2 3" xfId="12208" xr:uid="{6454DF6E-A279-46FB-A072-EC8AD2B4F8EB}"/>
    <cellStyle name="20% - Accent5 2 3 2 3" xfId="4954" xr:uid="{00000000-0005-0000-0000-0000AF020000}"/>
    <cellStyle name="20% - Accent5 2 3 2 3 2" xfId="14280" xr:uid="{BE1E1E11-88C8-42F4-9746-252B6D37FC30}"/>
    <cellStyle name="20% - Accent5 2 3 2 4" xfId="9428" xr:uid="{B7820ACF-E1F3-4653-B5DD-FD829B169E84}"/>
    <cellStyle name="20% - Accent5 2 3 2 4 2" xfId="18743" xr:uid="{0D07DCEF-6993-4C07-9CF7-18C2E13F249B}"/>
    <cellStyle name="20% - Accent5 2 3 2 5" xfId="10063" xr:uid="{CD8F4404-E2E0-458D-BC86-0192E7D95C10}"/>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838" xr:uid="{90750678-23F0-4B48-9D90-68670E1C5669}"/>
    <cellStyle name="20% - Accent5 2 3 3 2 3" xfId="12621" xr:uid="{B24E49B6-69D1-4161-82FC-ECBA2DC02A37}"/>
    <cellStyle name="20% - Accent5 2 3 3 3" xfId="5367" xr:uid="{00000000-0005-0000-0000-0000B3020000}"/>
    <cellStyle name="20% - Accent5 2 3 3 3 2" xfId="14693" xr:uid="{FCA2C73F-3208-40E5-825C-7D494FA913F4}"/>
    <cellStyle name="20% - Accent5 2 3 3 4" xfId="10476" xr:uid="{0FF70B3F-9FC7-4F18-9CF9-F81954D269B7}"/>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51" xr:uid="{699EC29A-751C-4939-891D-52A72FDF5645}"/>
    <cellStyle name="20% - Accent5 2 3 4 2 3" xfId="13034" xr:uid="{6103AC9B-2B3C-4F20-B9F1-32D221B1049D}"/>
    <cellStyle name="20% - Accent5 2 3 4 3" xfId="5780" xr:uid="{00000000-0005-0000-0000-0000B7020000}"/>
    <cellStyle name="20% - Accent5 2 3 4 3 2" xfId="15106" xr:uid="{6C517F1A-A0BF-466B-90F2-52A34FB99197}"/>
    <cellStyle name="20% - Accent5 2 3 4 4" xfId="10889" xr:uid="{6763CF0F-C3E7-4791-BD3F-9E93DF590922}"/>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64" xr:uid="{D41DB934-7560-4E38-A09B-B0BA4E7144B2}"/>
    <cellStyle name="20% - Accent5 2 3 5 2 3" xfId="13447" xr:uid="{D722D3A9-6605-42D0-9057-4BE8590F168C}"/>
    <cellStyle name="20% - Accent5 2 3 5 3" xfId="6193" xr:uid="{00000000-0005-0000-0000-0000BB020000}"/>
    <cellStyle name="20% - Accent5 2 3 5 3 2" xfId="15519" xr:uid="{BE0BD724-87E0-4243-AC22-F91D1E5D605D}"/>
    <cellStyle name="20% - Accent5 2 3 5 4" xfId="11302" xr:uid="{CE0E25EB-CEA7-4768-A3C5-936B697E86DA}"/>
    <cellStyle name="20% - Accent5 2 3 6" xfId="2300" xr:uid="{00000000-0005-0000-0000-0000BC020000}"/>
    <cellStyle name="20% - Accent5 2 3 6 2" xfId="6606" xr:uid="{00000000-0005-0000-0000-0000BD020000}"/>
    <cellStyle name="20% - Accent5 2 3 6 2 2" xfId="15932" xr:uid="{E03049EA-20BE-4706-A894-59A2B01A73E3}"/>
    <cellStyle name="20% - Accent5 2 3 6 3" xfId="11715" xr:uid="{6AFBD21D-9AB0-4655-821A-3619731213C0}"/>
    <cellStyle name="20% - Accent5 2 3 7" xfId="4540" xr:uid="{00000000-0005-0000-0000-0000BE020000}"/>
    <cellStyle name="20% - Accent5 2 3 7 2" xfId="13866" xr:uid="{248C68DA-1E4B-41A1-9626-EB1278066BA7}"/>
    <cellStyle name="20% - Accent5 2 3 8" xfId="9003" xr:uid="{9830E7D1-E361-4BA3-A986-3DCE647EEF8E}"/>
    <cellStyle name="20% - Accent5 2 3 8 2" xfId="18327" xr:uid="{7450E1A2-DE6B-424C-AAC1-741B108F521D}"/>
    <cellStyle name="20% - Accent5 2 3 9" xfId="9649" xr:uid="{B38BE153-8FB5-4B03-B63E-F76EE47BDFA6}"/>
    <cellStyle name="20% - Accent5 2 4" xfId="603" xr:uid="{00000000-0005-0000-0000-0000BF020000}"/>
    <cellStyle name="20% - Accent5 2 4 2" xfId="2874" xr:uid="{00000000-0005-0000-0000-0000C0020000}"/>
    <cellStyle name="20% - Accent5 2 4 2 2" xfId="7096" xr:uid="{00000000-0005-0000-0000-0000C1020000}"/>
    <cellStyle name="20% - Accent5 2 4 2 2 2" xfId="16422" xr:uid="{34076040-1E37-4DA4-9339-4F72D2EF52E5}"/>
    <cellStyle name="20% - Accent5 2 4 2 3" xfId="12205" xr:uid="{7DF00CA7-35EB-49CA-B099-5EA771BEB9A4}"/>
    <cellStyle name="20% - Accent5 2 4 3" xfId="4951" xr:uid="{00000000-0005-0000-0000-0000C2020000}"/>
    <cellStyle name="20% - Accent5 2 4 3 2" xfId="14277" xr:uid="{9B532818-B8FC-4079-A271-4DEF9B8844D1}"/>
    <cellStyle name="20% - Accent5 2 4 4" xfId="9220" xr:uid="{A7B88928-FE72-4C1B-B74E-3CA76DBA84CC}"/>
    <cellStyle name="20% - Accent5 2 4 4 2" xfId="18536" xr:uid="{E86DB5ED-17EA-40E5-9952-F90410781317}"/>
    <cellStyle name="20% - Accent5 2 4 5" xfId="10060" xr:uid="{11F54ABF-F10D-4ADD-A5EB-6DC9EF828759}"/>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835" xr:uid="{3C03DC7C-BF3D-4FE9-B7B9-BD4392111F66}"/>
    <cellStyle name="20% - Accent5 2 5 2 3" xfId="12618" xr:uid="{A3FBD2BC-555D-4E60-AF89-5F720CDCAD83}"/>
    <cellStyle name="20% - Accent5 2 5 3" xfId="5364" xr:uid="{00000000-0005-0000-0000-0000C6020000}"/>
    <cellStyle name="20% - Accent5 2 5 3 2" xfId="14690" xr:uid="{6AED4CFB-8E96-4CD8-A105-9C402153B361}"/>
    <cellStyle name="20% - Accent5 2 5 4" xfId="10473" xr:uid="{AA399ABA-A2FF-4C83-A984-76549EF86D7B}"/>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48" xr:uid="{BCBAA599-23AA-419D-9919-FBBAC1A52A64}"/>
    <cellStyle name="20% - Accent5 2 6 2 3" xfId="13031" xr:uid="{A0FF6D2D-5056-464F-96AF-F84BFB470884}"/>
    <cellStyle name="20% - Accent5 2 6 3" xfId="5777" xr:uid="{00000000-0005-0000-0000-0000CA020000}"/>
    <cellStyle name="20% - Accent5 2 6 3 2" xfId="15103" xr:uid="{2B42B3DD-A759-4A38-BD88-34D9C847EB93}"/>
    <cellStyle name="20% - Accent5 2 6 4" xfId="10886" xr:uid="{4BB0CD1B-16C6-40D8-8384-8291DC539ADF}"/>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61" xr:uid="{AD20D2BE-A590-403D-A939-89D264CF5471}"/>
    <cellStyle name="20% - Accent5 2 7 2 3" xfId="13444" xr:uid="{E99B2D08-AE89-439A-9CBB-4801033222F7}"/>
    <cellStyle name="20% - Accent5 2 7 3" xfId="6190" xr:uid="{00000000-0005-0000-0000-0000CE020000}"/>
    <cellStyle name="20% - Accent5 2 7 3 2" xfId="15516" xr:uid="{4CC0EDFB-1A23-4531-B19F-49209C886481}"/>
    <cellStyle name="20% - Accent5 2 7 4" xfId="11299" xr:uid="{11D798FB-58CA-4795-A61C-3068C705BD23}"/>
    <cellStyle name="20% - Accent5 2 8" xfId="2297" xr:uid="{00000000-0005-0000-0000-0000CF020000}"/>
    <cellStyle name="20% - Accent5 2 8 2" xfId="6603" xr:uid="{00000000-0005-0000-0000-0000D0020000}"/>
    <cellStyle name="20% - Accent5 2 8 2 2" xfId="15929" xr:uid="{1FB5F715-5F08-4EE6-9277-7FBA7E61F6E1}"/>
    <cellStyle name="20% - Accent5 2 8 3" xfId="11712" xr:uid="{337295EC-BB12-4EAD-B614-78D88E806417}"/>
    <cellStyle name="20% - Accent5 2 9" xfId="4537" xr:uid="{00000000-0005-0000-0000-0000D1020000}"/>
    <cellStyle name="20% - Accent5 2 9 2" xfId="13863" xr:uid="{1F0644EA-F451-417C-8248-0C91A31136C6}"/>
    <cellStyle name="20% - Accent5 3" xfId="38" xr:uid="{00000000-0005-0000-0000-0000D2020000}"/>
    <cellStyle name="20% - Accent5 3 10" xfId="9650" xr:uid="{31852696-E5F8-48C9-8A35-F877D5757A12}"/>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427" xr:uid="{F2153D58-F2AD-4A55-9287-0152A4F351B8}"/>
    <cellStyle name="20% - Accent5 3 2 2 2 3" xfId="12210" xr:uid="{BD8A79D9-1DC4-41A1-80E2-5BD62B5C0BA1}"/>
    <cellStyle name="20% - Accent5 3 2 2 3" xfId="4956" xr:uid="{00000000-0005-0000-0000-0000D7020000}"/>
    <cellStyle name="20% - Accent5 3 2 2 3 2" xfId="14282" xr:uid="{A77D54FD-824B-47A4-B935-761704C5AC29}"/>
    <cellStyle name="20% - Accent5 3 2 2 4" xfId="9501" xr:uid="{82A590A5-96D4-476E-8E6F-D81EEE08C409}"/>
    <cellStyle name="20% - Accent5 3 2 2 4 2" xfId="18816" xr:uid="{A604FB9B-0F1D-481A-8B14-5A0FE5E50666}"/>
    <cellStyle name="20% - Accent5 3 2 2 5" xfId="10065" xr:uid="{E9421007-7945-4161-B9A4-F44CDCF29DF5}"/>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840" xr:uid="{C9015337-9E8A-43BF-AE42-6668623F315B}"/>
    <cellStyle name="20% - Accent5 3 2 3 2 3" xfId="12623" xr:uid="{044E5615-24EA-4F9D-897A-51E8287727A4}"/>
    <cellStyle name="20% - Accent5 3 2 3 3" xfId="5369" xr:uid="{00000000-0005-0000-0000-0000DB020000}"/>
    <cellStyle name="20% - Accent5 3 2 3 3 2" xfId="14695" xr:uid="{D30CE6EC-C7F3-418B-9067-D28AA6D53894}"/>
    <cellStyle name="20% - Accent5 3 2 3 4" xfId="10478" xr:uid="{CAF11A72-114D-49BC-A990-E8E8819521C7}"/>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53" xr:uid="{343E9CAD-8600-43D1-9372-B1D14A30CA15}"/>
    <cellStyle name="20% - Accent5 3 2 4 2 3" xfId="13036" xr:uid="{7AFA4692-3709-4F18-A805-20310611A2C8}"/>
    <cellStyle name="20% - Accent5 3 2 4 3" xfId="5782" xr:uid="{00000000-0005-0000-0000-0000DF020000}"/>
    <cellStyle name="20% - Accent5 3 2 4 3 2" xfId="15108" xr:uid="{14C85A8B-2366-4B9D-808F-06F7244D2584}"/>
    <cellStyle name="20% - Accent5 3 2 4 4" xfId="10891" xr:uid="{0CAFF4C1-6F84-4F04-8F7F-408C0D983C92}"/>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66" xr:uid="{DD2CA964-112B-4D4B-BE1E-B0463EDD2BBF}"/>
    <cellStyle name="20% - Accent5 3 2 5 2 3" xfId="13449" xr:uid="{C541ABEC-9BE3-490D-987C-4B4386066D16}"/>
    <cellStyle name="20% - Accent5 3 2 5 3" xfId="6195" xr:uid="{00000000-0005-0000-0000-0000E3020000}"/>
    <cellStyle name="20% - Accent5 3 2 5 3 2" xfId="15521" xr:uid="{BABCD38B-05C9-4F06-9A9B-F6ACB31C1EA0}"/>
    <cellStyle name="20% - Accent5 3 2 5 4" xfId="11304" xr:uid="{0AB747E5-25F2-405D-B54D-B9E80C0A3E02}"/>
    <cellStyle name="20% - Accent5 3 2 6" xfId="2302" xr:uid="{00000000-0005-0000-0000-0000E4020000}"/>
    <cellStyle name="20% - Accent5 3 2 6 2" xfId="6608" xr:uid="{00000000-0005-0000-0000-0000E5020000}"/>
    <cellStyle name="20% - Accent5 3 2 6 2 2" xfId="15934" xr:uid="{384E0BE2-2CF6-4342-A2C2-848C28C8F287}"/>
    <cellStyle name="20% - Accent5 3 2 6 3" xfId="11717" xr:uid="{EEC7B5E2-6586-4E0A-BD4B-E8A753DECCC2}"/>
    <cellStyle name="20% - Accent5 3 2 7" xfId="4542" xr:uid="{00000000-0005-0000-0000-0000E6020000}"/>
    <cellStyle name="20% - Accent5 3 2 7 2" xfId="13868" xr:uid="{579C8544-329E-4DDF-BE7E-457EE179BE00}"/>
    <cellStyle name="20% - Accent5 3 2 8" xfId="9076" xr:uid="{BEDF1D01-35A3-4513-9363-9C1AFC748168}"/>
    <cellStyle name="20% - Accent5 3 2 8 2" xfId="18400" xr:uid="{A732D563-FFF6-4BA9-9919-4FC1040F8E94}"/>
    <cellStyle name="20% - Accent5 3 2 9" xfId="9651" xr:uid="{E1412E49-7594-4576-88CB-958004A14316}"/>
    <cellStyle name="20% - Accent5 3 3" xfId="607" xr:uid="{00000000-0005-0000-0000-0000E7020000}"/>
    <cellStyle name="20% - Accent5 3 3 2" xfId="2878" xr:uid="{00000000-0005-0000-0000-0000E8020000}"/>
    <cellStyle name="20% - Accent5 3 3 2 2" xfId="7100" xr:uid="{00000000-0005-0000-0000-0000E9020000}"/>
    <cellStyle name="20% - Accent5 3 3 2 2 2" xfId="16426" xr:uid="{270ADFE4-6404-4F76-87CB-25C8BE7CC2E6}"/>
    <cellStyle name="20% - Accent5 3 3 2 3" xfId="12209" xr:uid="{A11DB8A9-E20D-4D40-9485-8B6276795F4A}"/>
    <cellStyle name="20% - Accent5 3 3 3" xfId="4955" xr:uid="{00000000-0005-0000-0000-0000EA020000}"/>
    <cellStyle name="20% - Accent5 3 3 3 2" xfId="14281" xr:uid="{626D5F85-344B-4DDB-9C36-7435BD5BA824}"/>
    <cellStyle name="20% - Accent5 3 3 4" xfId="9294" xr:uid="{124960EA-C7A4-4686-BF67-47D6C57F7EEB}"/>
    <cellStyle name="20% - Accent5 3 3 4 2" xfId="18609" xr:uid="{2E989395-0CEA-441B-88B3-B26701FD95B5}"/>
    <cellStyle name="20% - Accent5 3 3 5" xfId="10064" xr:uid="{8C15B39F-8867-4688-8C9C-F5F38A51433D}"/>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839" xr:uid="{296350D1-18EF-48AF-ABCB-9C214D4C2852}"/>
    <cellStyle name="20% - Accent5 3 4 2 3" xfId="12622" xr:uid="{284540CD-5A0A-4032-A65C-8565766067CB}"/>
    <cellStyle name="20% - Accent5 3 4 3" xfId="5368" xr:uid="{00000000-0005-0000-0000-0000EE020000}"/>
    <cellStyle name="20% - Accent5 3 4 3 2" xfId="14694" xr:uid="{5FEFBE57-E3D1-44CC-AB37-C74455CAF6D9}"/>
    <cellStyle name="20% - Accent5 3 4 4" xfId="10477" xr:uid="{901C8869-FFD9-4B2C-9188-6F74ED90E5EB}"/>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52" xr:uid="{7B334C2B-C083-404F-AF3D-9DB723938780}"/>
    <cellStyle name="20% - Accent5 3 5 2 3" xfId="13035" xr:uid="{EB5FEB2F-2484-4180-A056-6C0E13DCEEF8}"/>
    <cellStyle name="20% - Accent5 3 5 3" xfId="5781" xr:uid="{00000000-0005-0000-0000-0000F2020000}"/>
    <cellStyle name="20% - Accent5 3 5 3 2" xfId="15107" xr:uid="{F86EC612-33EC-4340-880A-C939422E0EAF}"/>
    <cellStyle name="20% - Accent5 3 5 4" xfId="10890" xr:uid="{4D2DC8DA-F3C9-4670-B14F-1D4B4409EDB1}"/>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65" xr:uid="{5FDF2D1E-BD39-49B1-8694-4101C5792B15}"/>
    <cellStyle name="20% - Accent5 3 6 2 3" xfId="13448" xr:uid="{0BA2DBEE-ABBB-40EE-A6F9-2030FE397E95}"/>
    <cellStyle name="20% - Accent5 3 6 3" xfId="6194" xr:uid="{00000000-0005-0000-0000-0000F6020000}"/>
    <cellStyle name="20% - Accent5 3 6 3 2" xfId="15520" xr:uid="{B8B816A5-C61C-4F38-9B7E-E8DB4574CC8E}"/>
    <cellStyle name="20% - Accent5 3 6 4" xfId="11303" xr:uid="{8D28248C-E6C6-4785-8AE2-4939511F98F8}"/>
    <cellStyle name="20% - Accent5 3 7" xfId="2301" xr:uid="{00000000-0005-0000-0000-0000F7020000}"/>
    <cellStyle name="20% - Accent5 3 7 2" xfId="6607" xr:uid="{00000000-0005-0000-0000-0000F8020000}"/>
    <cellStyle name="20% - Accent5 3 7 2 2" xfId="15933" xr:uid="{D090BD70-7FF5-47A0-BD4F-DA3668414D44}"/>
    <cellStyle name="20% - Accent5 3 7 3" xfId="11716" xr:uid="{14B0AD7A-7759-48C7-8930-A858EE56A5A3}"/>
    <cellStyle name="20% - Accent5 3 8" xfId="4541" xr:uid="{00000000-0005-0000-0000-0000F9020000}"/>
    <cellStyle name="20% - Accent5 3 8 2" xfId="13867" xr:uid="{93BF9427-20BF-4E69-A262-AB327D2ACB69}"/>
    <cellStyle name="20% - Accent5 3 9" xfId="8869" xr:uid="{43CC8A87-AEEB-4E51-98E7-F8AE8D86AD2B}"/>
    <cellStyle name="20% - Accent5 3 9 2" xfId="18193" xr:uid="{B5B0F4C2-8E35-49F7-B263-765483F8DB7E}"/>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6428" xr:uid="{973FCF64-4030-40E8-96FD-F1F8A77A02F0}"/>
    <cellStyle name="20% - Accent5 4 2 2 3" xfId="12211" xr:uid="{4CDDA16C-602A-448B-9F2A-B6AE1C292EFD}"/>
    <cellStyle name="20% - Accent5 4 2 3" xfId="4957" xr:uid="{00000000-0005-0000-0000-0000FE020000}"/>
    <cellStyle name="20% - Accent5 4 2 3 2" xfId="14283" xr:uid="{903CF9DF-7637-431B-955D-5504DE5E03EE}"/>
    <cellStyle name="20% - Accent5 4 2 4" xfId="9380" xr:uid="{1C764D65-D71C-4646-AD86-15F83BDBF498}"/>
    <cellStyle name="20% - Accent5 4 2 4 2" xfId="18695" xr:uid="{0BFC095E-2483-4CC2-BFC6-832743985853}"/>
    <cellStyle name="20% - Accent5 4 2 5" xfId="10066" xr:uid="{850DCE85-BDCF-42C4-A2BE-0ED82C562444}"/>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841" xr:uid="{7B2DE2D2-89D9-4B89-B7F3-E0C3798CFAA6}"/>
    <cellStyle name="20% - Accent5 4 3 2 3" xfId="12624" xr:uid="{2379EF0D-94B0-4E8B-A276-8EE133ED9849}"/>
    <cellStyle name="20% - Accent5 4 3 3" xfId="5370" xr:uid="{00000000-0005-0000-0000-000002030000}"/>
    <cellStyle name="20% - Accent5 4 3 3 2" xfId="14696" xr:uid="{6F9B181D-DF6D-44B6-9A3D-7B00015CCE18}"/>
    <cellStyle name="20% - Accent5 4 3 4" xfId="10479" xr:uid="{4C5D9943-7CB3-46FB-990C-DA8F74C89E06}"/>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54" xr:uid="{3C07FA99-2E21-4B99-BD33-409F174F576F}"/>
    <cellStyle name="20% - Accent5 4 4 2 3" xfId="13037" xr:uid="{77E70802-3F15-46A2-B289-8E122D741F33}"/>
    <cellStyle name="20% - Accent5 4 4 3" xfId="5783" xr:uid="{00000000-0005-0000-0000-000006030000}"/>
    <cellStyle name="20% - Accent5 4 4 3 2" xfId="15109" xr:uid="{AC93956D-FCF3-4D3F-A3F1-DD9947F8DF24}"/>
    <cellStyle name="20% - Accent5 4 4 4" xfId="10892" xr:uid="{ED4F857B-2EC0-4E0C-8A90-2D4839773A89}"/>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67" xr:uid="{A2BAF2CE-72E6-481C-B732-D7940F32C439}"/>
    <cellStyle name="20% - Accent5 4 5 2 3" xfId="13450" xr:uid="{C2139072-3C38-43DA-B3C1-E765CADEDC08}"/>
    <cellStyle name="20% - Accent5 4 5 3" xfId="6196" xr:uid="{00000000-0005-0000-0000-00000A030000}"/>
    <cellStyle name="20% - Accent5 4 5 3 2" xfId="15522" xr:uid="{7CDFAFD3-7312-4895-87FB-DBD42EB9EA7B}"/>
    <cellStyle name="20% - Accent5 4 5 4" xfId="11305" xr:uid="{12810CD4-57BA-4C65-AB65-E35E36262294}"/>
    <cellStyle name="20% - Accent5 4 6" xfId="2303" xr:uid="{00000000-0005-0000-0000-00000B030000}"/>
    <cellStyle name="20% - Accent5 4 6 2" xfId="6609" xr:uid="{00000000-0005-0000-0000-00000C030000}"/>
    <cellStyle name="20% - Accent5 4 6 2 2" xfId="15935" xr:uid="{63BA8AC3-7951-473C-875D-F3C24C79A36D}"/>
    <cellStyle name="20% - Accent5 4 6 3" xfId="11718" xr:uid="{98D7DCF7-665B-4864-969E-1B764BC1EC73}"/>
    <cellStyle name="20% - Accent5 4 7" xfId="4543" xr:uid="{00000000-0005-0000-0000-00000D030000}"/>
    <cellStyle name="20% - Accent5 4 7 2" xfId="13869" xr:uid="{65F5B954-7482-4812-B7CF-C3B2820217FA}"/>
    <cellStyle name="20% - Accent5 4 8" xfId="8955" xr:uid="{8AD43D76-8747-44EC-8D3B-2720ADF9D1B1}"/>
    <cellStyle name="20% - Accent5 4 8 2" xfId="18279" xr:uid="{ADF8D08E-68CC-48AE-A1DE-FE3C0C9B01D5}"/>
    <cellStyle name="20% - Accent5 4 9" xfId="9652" xr:uid="{DB036F09-4661-462E-8B80-A7B6FCCD8A59}"/>
    <cellStyle name="20% - Accent5 5" xfId="602" xr:uid="{00000000-0005-0000-0000-00000E030000}"/>
    <cellStyle name="20% - Accent5 5 2" xfId="2873" xr:uid="{00000000-0005-0000-0000-00000F030000}"/>
    <cellStyle name="20% - Accent5 5 2 2" xfId="7095" xr:uid="{00000000-0005-0000-0000-000010030000}"/>
    <cellStyle name="20% - Accent5 5 2 2 2" xfId="16421" xr:uid="{0BC1629B-8892-43B0-84C3-64A2DCDA02FF}"/>
    <cellStyle name="20% - Accent5 5 2 3" xfId="12204" xr:uid="{88802700-CAFC-497D-BBA2-D2C58168AE9A}"/>
    <cellStyle name="20% - Accent5 5 3" xfId="4950" xr:uid="{00000000-0005-0000-0000-000011030000}"/>
    <cellStyle name="20% - Accent5 5 3 2" xfId="14276" xr:uid="{B971F72A-659F-4432-98EB-E2EDC895E0A9}"/>
    <cellStyle name="20% - Accent5 5 4" xfId="9188" xr:uid="{164CF7CE-7706-426C-90AA-4867A06E28BD}"/>
    <cellStyle name="20% - Accent5 5 4 2" xfId="18506" xr:uid="{EAEE5BE4-5DEB-4815-B9F8-C8ADC9253EFA}"/>
    <cellStyle name="20% - Accent5 5 5" xfId="10059" xr:uid="{4577990A-1813-4900-8953-6060F1438BB9}"/>
    <cellStyle name="20% - Accent5 6" xfId="1055" xr:uid="{00000000-0005-0000-0000-000012030000}"/>
    <cellStyle name="20% - Accent5 6 2" xfId="3286" xr:uid="{00000000-0005-0000-0000-000013030000}"/>
    <cellStyle name="20% - Accent5 6 2 2" xfId="7508" xr:uid="{00000000-0005-0000-0000-000014030000}"/>
    <cellStyle name="20% - Accent5 6 2 2 2" xfId="16834" xr:uid="{BC8D95F8-A3DF-4693-BB3D-DC0A68C2B6FB}"/>
    <cellStyle name="20% - Accent5 6 2 3" xfId="12617" xr:uid="{955D56DD-82FF-4F58-B9AF-53E218274BB2}"/>
    <cellStyle name="20% - Accent5 6 3" xfId="5363" xr:uid="{00000000-0005-0000-0000-000015030000}"/>
    <cellStyle name="20% - Accent5 6 3 2" xfId="14689" xr:uid="{3237E123-AFB8-49C1-B293-9DD41646C724}"/>
    <cellStyle name="20% - Accent5 6 4" xfId="10472" xr:uid="{F079EEF5-F316-4DAC-85E5-2F44F911B045}"/>
    <cellStyle name="20% - Accent5 7" xfId="1469" xr:uid="{00000000-0005-0000-0000-000016030000}"/>
    <cellStyle name="20% - Accent5 7 2" xfId="3699" xr:uid="{00000000-0005-0000-0000-000017030000}"/>
    <cellStyle name="20% - Accent5 7 2 2" xfId="7921" xr:uid="{00000000-0005-0000-0000-000018030000}"/>
    <cellStyle name="20% - Accent5 7 2 2 2" xfId="17247" xr:uid="{A59B4A24-9420-4308-A1C9-DEE76018C66A}"/>
    <cellStyle name="20% - Accent5 7 2 3" xfId="13030" xr:uid="{5A6CF4F0-4AD4-4C4A-88F5-65F0FC602C5E}"/>
    <cellStyle name="20% - Accent5 7 3" xfId="5776" xr:uid="{00000000-0005-0000-0000-000019030000}"/>
    <cellStyle name="20% - Accent5 7 3 2" xfId="15102" xr:uid="{34220CFC-2C80-4F0B-97E5-4B1BC95EC186}"/>
    <cellStyle name="20% - Accent5 7 4" xfId="10885" xr:uid="{70DC6F02-9E09-4093-B837-C76DB7C2777E}"/>
    <cellStyle name="20% - Accent5 8" xfId="1883" xr:uid="{00000000-0005-0000-0000-00001A030000}"/>
    <cellStyle name="20% - Accent5 8 2" xfId="4112" xr:uid="{00000000-0005-0000-0000-00001B030000}"/>
    <cellStyle name="20% - Accent5 8 2 2" xfId="8334" xr:uid="{00000000-0005-0000-0000-00001C030000}"/>
    <cellStyle name="20% - Accent5 8 2 2 2" xfId="17660" xr:uid="{5CB914AC-F28B-4FD3-B146-5AFC2A26B05F}"/>
    <cellStyle name="20% - Accent5 8 2 3" xfId="13443" xr:uid="{1C8016E9-BE27-4DC6-8565-6E22E0B7797B}"/>
    <cellStyle name="20% - Accent5 8 3" xfId="6189" xr:uid="{00000000-0005-0000-0000-00001D030000}"/>
    <cellStyle name="20% - Accent5 8 3 2" xfId="15515" xr:uid="{78B31563-15CB-4BA2-BE9B-55D3EF3BBCDD}"/>
    <cellStyle name="20% - Accent5 8 4" xfId="11298" xr:uid="{1E4D6DBC-166C-42AC-AD8B-32B330D33296}"/>
    <cellStyle name="20% - Accent5 9" xfId="2296" xr:uid="{00000000-0005-0000-0000-00001E030000}"/>
    <cellStyle name="20% - Accent5 9 2" xfId="6602" xr:uid="{00000000-0005-0000-0000-00001F030000}"/>
    <cellStyle name="20% - Accent5 9 2 2" xfId="15928" xr:uid="{6DA02555-0A6C-49AA-962D-8A3C0A51B98E}"/>
    <cellStyle name="20% - Accent5 9 3" xfId="11711" xr:uid="{22F7FE74-86EC-440F-9F45-4E72450CB267}"/>
    <cellStyle name="20% - Accent6" xfId="41" builtinId="50" customBuiltin="1"/>
    <cellStyle name="20% - Accent6 10" xfId="4544" xr:uid="{00000000-0005-0000-0000-000021030000}"/>
    <cellStyle name="20% - Accent6 10 2" xfId="13870" xr:uid="{F5727C61-4FD3-43D4-9558-3C3471A91AF8}"/>
    <cellStyle name="20% - Accent6 11" xfId="8768" xr:uid="{5A1F1293-A19F-445F-908A-D9DBB6265CA0}"/>
    <cellStyle name="20% - Accent6 11 2" xfId="18092" xr:uid="{F20C3EF6-3733-4C1C-8EC4-05156866629A}"/>
    <cellStyle name="20% - Accent6 12" xfId="9653" xr:uid="{B6099BE9-B86B-44C9-B657-4C59D15B7FB4}"/>
    <cellStyle name="20% - Accent6 2" xfId="42" xr:uid="{00000000-0005-0000-0000-000022030000}"/>
    <cellStyle name="20% - Accent6 2 10" xfId="8795" xr:uid="{9A35B19E-8802-437A-ABDC-7B06A4E07F58}"/>
    <cellStyle name="20% - Accent6 2 10 2" xfId="18119" xr:uid="{DBC423D5-523E-4AB6-BA31-8CD4AEA125EB}"/>
    <cellStyle name="20% - Accent6 2 11" xfId="9654" xr:uid="{CF42C2C3-C405-40A3-90A3-452C6F4696F4}"/>
    <cellStyle name="20% - Accent6 2 2" xfId="43" xr:uid="{00000000-0005-0000-0000-000023030000}"/>
    <cellStyle name="20% - Accent6 2 2 10" xfId="9655" xr:uid="{31C7B399-8FEB-4BE2-915F-0C2F0DA3E0BB}"/>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432" xr:uid="{3B593935-B672-44D7-A637-FB1EC5BD4B41}"/>
    <cellStyle name="20% - Accent6 2 2 2 2 2 3" xfId="12215" xr:uid="{3B840029-9B8D-4A84-84CB-4A2415AB2CA2}"/>
    <cellStyle name="20% - Accent6 2 2 2 2 3" xfId="4961" xr:uid="{00000000-0005-0000-0000-000028030000}"/>
    <cellStyle name="20% - Accent6 2 2 2 2 3 2" xfId="14287" xr:uid="{4BB9DDB8-229E-446C-B5B7-E186D13A2E59}"/>
    <cellStyle name="20% - Accent6 2 2 2 2 4" xfId="9530" xr:uid="{AFD3EE0E-70EF-4C1B-B994-7B8E7E8187BC}"/>
    <cellStyle name="20% - Accent6 2 2 2 2 4 2" xfId="18845" xr:uid="{7DAD1B29-7121-46FF-BA28-6AEFC6759C00}"/>
    <cellStyle name="20% - Accent6 2 2 2 2 5" xfId="10070" xr:uid="{3E48D5AD-7AA8-477A-9212-91FFCA5D82B9}"/>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45" xr:uid="{09A7A8AE-9A48-4557-9E82-13FD6BE04450}"/>
    <cellStyle name="20% - Accent6 2 2 2 3 2 3" xfId="12628" xr:uid="{EE964312-DF7D-4479-A88A-FABA8696236A}"/>
    <cellStyle name="20% - Accent6 2 2 2 3 3" xfId="5374" xr:uid="{00000000-0005-0000-0000-00002C030000}"/>
    <cellStyle name="20% - Accent6 2 2 2 3 3 2" xfId="14700" xr:uid="{07AC3D85-0E7C-4AC5-9FE2-6743FB195A8F}"/>
    <cellStyle name="20% - Accent6 2 2 2 3 4" xfId="10483" xr:uid="{E04EF036-13A1-4640-A7AA-965289F5F488}"/>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58" xr:uid="{58E9A4C1-07CA-45FC-ACFB-86F822492475}"/>
    <cellStyle name="20% - Accent6 2 2 2 4 2 3" xfId="13041" xr:uid="{0CEE7C26-60AB-4D91-915F-160DE45ECFF6}"/>
    <cellStyle name="20% - Accent6 2 2 2 4 3" xfId="5787" xr:uid="{00000000-0005-0000-0000-000030030000}"/>
    <cellStyle name="20% - Accent6 2 2 2 4 3 2" xfId="15113" xr:uid="{33D80215-D986-4E53-82A1-06F938FDA3EC}"/>
    <cellStyle name="20% - Accent6 2 2 2 4 4" xfId="10896" xr:uid="{0D2CC00C-A8FD-4123-BEBD-C497219FF309}"/>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71" xr:uid="{FE3886F2-EA07-428F-AE70-8E6EC6B9DD73}"/>
    <cellStyle name="20% - Accent6 2 2 2 5 2 3" xfId="13454" xr:uid="{734D522A-AF2F-4CA9-9B58-2387101EA516}"/>
    <cellStyle name="20% - Accent6 2 2 2 5 3" xfId="6200" xr:uid="{00000000-0005-0000-0000-000034030000}"/>
    <cellStyle name="20% - Accent6 2 2 2 5 3 2" xfId="15526" xr:uid="{7B71DA2D-66A2-4B87-9E4E-A207698C3F56}"/>
    <cellStyle name="20% - Accent6 2 2 2 5 4" xfId="11309" xr:uid="{53B1DBAF-92D4-4BEE-B2F0-1F5A449C87EB}"/>
    <cellStyle name="20% - Accent6 2 2 2 6" xfId="2307" xr:uid="{00000000-0005-0000-0000-000035030000}"/>
    <cellStyle name="20% - Accent6 2 2 2 6 2" xfId="6613" xr:uid="{00000000-0005-0000-0000-000036030000}"/>
    <cellStyle name="20% - Accent6 2 2 2 6 2 2" xfId="15939" xr:uid="{10366643-C8D7-4B32-988E-5696C48A4701}"/>
    <cellStyle name="20% - Accent6 2 2 2 6 3" xfId="11722" xr:uid="{2C2DABDC-5E3B-4721-A115-FD53A5DCF706}"/>
    <cellStyle name="20% - Accent6 2 2 2 7" xfId="4547" xr:uid="{00000000-0005-0000-0000-000037030000}"/>
    <cellStyle name="20% - Accent6 2 2 2 7 2" xfId="13873" xr:uid="{5517F924-D528-49A1-8D78-BB0F963A6B7E}"/>
    <cellStyle name="20% - Accent6 2 2 2 8" xfId="9105" xr:uid="{2D3B6B01-F2FB-4D08-A7F9-9902961EFB46}"/>
    <cellStyle name="20% - Accent6 2 2 2 8 2" xfId="18429" xr:uid="{A938E5F5-7FE4-46AA-A272-2C23C8A0FF86}"/>
    <cellStyle name="20% - Accent6 2 2 2 9" xfId="9656" xr:uid="{6A32208A-4042-47F1-869C-60CEB4F4857F}"/>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431" xr:uid="{9E5A2D60-5DF6-42A4-A848-C2495416ABD3}"/>
    <cellStyle name="20% - Accent6 2 2 3 2 3" xfId="12214" xr:uid="{7893C1EC-B86D-4909-AE1E-C4187C185FBB}"/>
    <cellStyle name="20% - Accent6 2 2 3 3" xfId="4960" xr:uid="{00000000-0005-0000-0000-00003B030000}"/>
    <cellStyle name="20% - Accent6 2 2 3 3 2" xfId="14286" xr:uid="{0E3E171F-7078-4E88-AB08-9E5385D0C44D}"/>
    <cellStyle name="20% - Accent6 2 2 3 4" xfId="9323" xr:uid="{93CC3C58-EC1C-4AC6-8D02-E00EFD80A494}"/>
    <cellStyle name="20% - Accent6 2 2 3 4 2" xfId="18638" xr:uid="{9876FA71-8D1F-4BEF-BEE4-E0A00750E7BD}"/>
    <cellStyle name="20% - Accent6 2 2 3 5" xfId="10069" xr:uid="{F17F047A-1D36-453D-BE43-3CAF999E0521}"/>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44" xr:uid="{00991D23-2433-4565-8C96-65987DCD71DC}"/>
    <cellStyle name="20% - Accent6 2 2 4 2 3" xfId="12627" xr:uid="{C1B2C5C7-0B3B-4756-9E5E-BBD31266CA53}"/>
    <cellStyle name="20% - Accent6 2 2 4 3" xfId="5373" xr:uid="{00000000-0005-0000-0000-00003F030000}"/>
    <cellStyle name="20% - Accent6 2 2 4 3 2" xfId="14699" xr:uid="{FB46805B-B8BC-47D0-8E9F-CD2154BEFC9D}"/>
    <cellStyle name="20% - Accent6 2 2 4 4" xfId="10482" xr:uid="{23BA3B0D-80B9-4424-A529-08061BD086C6}"/>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57" xr:uid="{32FC6F74-AD99-4429-87BD-CE817A16A5EF}"/>
    <cellStyle name="20% - Accent6 2 2 5 2 3" xfId="13040" xr:uid="{20CA8274-9F19-42D6-BD78-6151B7D4D255}"/>
    <cellStyle name="20% - Accent6 2 2 5 3" xfId="5786" xr:uid="{00000000-0005-0000-0000-000043030000}"/>
    <cellStyle name="20% - Accent6 2 2 5 3 2" xfId="15112" xr:uid="{F3ECD6D2-A14E-490A-8BA5-8045198FD242}"/>
    <cellStyle name="20% - Accent6 2 2 5 4" xfId="10895" xr:uid="{3566B124-9520-4F5C-984A-F9E3C9B89D8E}"/>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70" xr:uid="{0E9369CA-41C7-45E4-B168-7B6786B64A2A}"/>
    <cellStyle name="20% - Accent6 2 2 6 2 3" xfId="13453" xr:uid="{66C8C4AC-C153-4905-A9B4-ECE86A52C187}"/>
    <cellStyle name="20% - Accent6 2 2 6 3" xfId="6199" xr:uid="{00000000-0005-0000-0000-000047030000}"/>
    <cellStyle name="20% - Accent6 2 2 6 3 2" xfId="15525" xr:uid="{183FF591-2D14-44B4-A88F-098643035C20}"/>
    <cellStyle name="20% - Accent6 2 2 6 4" xfId="11308" xr:uid="{BDD36E33-6A8F-4A5A-851D-D797AB2F4177}"/>
    <cellStyle name="20% - Accent6 2 2 7" xfId="2306" xr:uid="{00000000-0005-0000-0000-000048030000}"/>
    <cellStyle name="20% - Accent6 2 2 7 2" xfId="6612" xr:uid="{00000000-0005-0000-0000-000049030000}"/>
    <cellStyle name="20% - Accent6 2 2 7 2 2" xfId="15938" xr:uid="{30EC11BC-ED31-4FB0-A9BF-BABB0BF7AACE}"/>
    <cellStyle name="20% - Accent6 2 2 7 3" xfId="11721" xr:uid="{5E5E10A9-1FCD-4F68-89B1-B2D85146C6D6}"/>
    <cellStyle name="20% - Accent6 2 2 8" xfId="4546" xr:uid="{00000000-0005-0000-0000-00004A030000}"/>
    <cellStyle name="20% - Accent6 2 2 8 2" xfId="13872" xr:uid="{2AE7182B-4012-42C2-968A-71EE81041872}"/>
    <cellStyle name="20% - Accent6 2 2 9" xfId="8898" xr:uid="{88686F75-037F-4072-9BDC-942546C51E8F}"/>
    <cellStyle name="20% - Accent6 2 2 9 2" xfId="18222" xr:uid="{FAD23560-2099-4676-A274-A8B256E52CBC}"/>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433" xr:uid="{AC78B93E-0270-4181-988C-23E2BC4E2F02}"/>
    <cellStyle name="20% - Accent6 2 3 2 2 3" xfId="12216" xr:uid="{AB74309F-EF97-401E-A32F-C3A7E2502914}"/>
    <cellStyle name="20% - Accent6 2 3 2 3" xfId="4962" xr:uid="{00000000-0005-0000-0000-00004F030000}"/>
    <cellStyle name="20% - Accent6 2 3 2 3 2" xfId="14288" xr:uid="{A8A2B0AE-76F5-4932-8D38-CB0961FC56A5}"/>
    <cellStyle name="20% - Accent6 2 3 2 4" xfId="9427" xr:uid="{009378B6-C0A8-4C7C-A9A2-F91104842D93}"/>
    <cellStyle name="20% - Accent6 2 3 2 4 2" xfId="18742" xr:uid="{E674A5D2-F824-4EB5-A0D2-0203E3FBF4C7}"/>
    <cellStyle name="20% - Accent6 2 3 2 5" xfId="10071" xr:uid="{297DAE9F-22FC-493D-A55B-6CB525AA549A}"/>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46" xr:uid="{208DD8E4-C298-4CB4-803F-9692E2DA1247}"/>
    <cellStyle name="20% - Accent6 2 3 3 2 3" xfId="12629" xr:uid="{3210EBFE-D843-46F3-9B15-AEA67C5EF739}"/>
    <cellStyle name="20% - Accent6 2 3 3 3" xfId="5375" xr:uid="{00000000-0005-0000-0000-000053030000}"/>
    <cellStyle name="20% - Accent6 2 3 3 3 2" xfId="14701" xr:uid="{1E49FB10-8AC5-4341-86DF-90AA132EB559}"/>
    <cellStyle name="20% - Accent6 2 3 3 4" xfId="10484" xr:uid="{D2C52E7E-A692-41D3-91A6-6B931E8A68D1}"/>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59" xr:uid="{D2D09DD4-6523-41E9-97F2-EDF6CD10C768}"/>
    <cellStyle name="20% - Accent6 2 3 4 2 3" xfId="13042" xr:uid="{67BE3A5A-B8C0-409F-8C6E-7B682247AA28}"/>
    <cellStyle name="20% - Accent6 2 3 4 3" xfId="5788" xr:uid="{00000000-0005-0000-0000-000057030000}"/>
    <cellStyle name="20% - Accent6 2 3 4 3 2" xfId="15114" xr:uid="{4A846D8A-A66E-407D-968D-0CB55025D04F}"/>
    <cellStyle name="20% - Accent6 2 3 4 4" xfId="10897" xr:uid="{B06D0541-C434-4696-817A-48146D02B61D}"/>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72" xr:uid="{26DE4894-C3ED-4240-B001-A6CC2BBF3FC3}"/>
    <cellStyle name="20% - Accent6 2 3 5 2 3" xfId="13455" xr:uid="{A5337A51-AF3B-45B9-9F33-D733FAAC3ADD}"/>
    <cellStyle name="20% - Accent6 2 3 5 3" xfId="6201" xr:uid="{00000000-0005-0000-0000-00005B030000}"/>
    <cellStyle name="20% - Accent6 2 3 5 3 2" xfId="15527" xr:uid="{1AE355C2-5A20-46CB-9CBE-014E792EB68A}"/>
    <cellStyle name="20% - Accent6 2 3 5 4" xfId="11310" xr:uid="{A49382E7-ED7B-48CC-B99C-96F9F3E54345}"/>
    <cellStyle name="20% - Accent6 2 3 6" xfId="2308" xr:uid="{00000000-0005-0000-0000-00005C030000}"/>
    <cellStyle name="20% - Accent6 2 3 6 2" xfId="6614" xr:uid="{00000000-0005-0000-0000-00005D030000}"/>
    <cellStyle name="20% - Accent6 2 3 6 2 2" xfId="15940" xr:uid="{DBE28AD4-E8EB-4B4C-9F58-B44033BB8DC7}"/>
    <cellStyle name="20% - Accent6 2 3 6 3" xfId="11723" xr:uid="{941F59E1-7FD7-4BE3-A886-F2A446E241B2}"/>
    <cellStyle name="20% - Accent6 2 3 7" xfId="4548" xr:uid="{00000000-0005-0000-0000-00005E030000}"/>
    <cellStyle name="20% - Accent6 2 3 7 2" xfId="13874" xr:uid="{3381ED11-013C-4DF2-9DE2-18F2E13AD18D}"/>
    <cellStyle name="20% - Accent6 2 3 8" xfId="9002" xr:uid="{F69877AB-868C-474F-8F88-C5F2F1F2C041}"/>
    <cellStyle name="20% - Accent6 2 3 8 2" xfId="18326" xr:uid="{5B9E6F60-E99E-467D-A8D1-78BC4E53193A}"/>
    <cellStyle name="20% - Accent6 2 3 9" xfId="9657" xr:uid="{E2927C74-B3E7-444A-8902-A225B4ECEA37}"/>
    <cellStyle name="20% - Accent6 2 4" xfId="611" xr:uid="{00000000-0005-0000-0000-00005F030000}"/>
    <cellStyle name="20% - Accent6 2 4 2" xfId="2882" xr:uid="{00000000-0005-0000-0000-000060030000}"/>
    <cellStyle name="20% - Accent6 2 4 2 2" xfId="7104" xr:uid="{00000000-0005-0000-0000-000061030000}"/>
    <cellStyle name="20% - Accent6 2 4 2 2 2" xfId="16430" xr:uid="{C4CD9E5B-3491-4A35-A06D-FBB696D805F6}"/>
    <cellStyle name="20% - Accent6 2 4 2 3" xfId="12213" xr:uid="{12324B12-8373-41F2-9D2B-EFC1A43A5148}"/>
    <cellStyle name="20% - Accent6 2 4 3" xfId="4959" xr:uid="{00000000-0005-0000-0000-000062030000}"/>
    <cellStyle name="20% - Accent6 2 4 3 2" xfId="14285" xr:uid="{3F1CCF6E-90BB-4DC2-A584-A71E33E73700}"/>
    <cellStyle name="20% - Accent6 2 4 4" xfId="9219" xr:uid="{C8AD75F8-261B-45C4-93F0-0E0A49EEEF79}"/>
    <cellStyle name="20% - Accent6 2 4 4 2" xfId="18535" xr:uid="{CEFCAD41-BBD8-43A2-96CD-5C8A9CAAE1F2}"/>
    <cellStyle name="20% - Accent6 2 4 5" xfId="10068" xr:uid="{B0EE482A-5D9D-4DC7-86B4-6A9337F20A0A}"/>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843" xr:uid="{314C95F1-9935-48CC-8A87-27048A413640}"/>
    <cellStyle name="20% - Accent6 2 5 2 3" xfId="12626" xr:uid="{6D2BC1BB-6DA7-470E-8AF8-CD79726E7B24}"/>
    <cellStyle name="20% - Accent6 2 5 3" xfId="5372" xr:uid="{00000000-0005-0000-0000-000066030000}"/>
    <cellStyle name="20% - Accent6 2 5 3 2" xfId="14698" xr:uid="{1F95FFF7-2F49-43E8-82EC-872D7440A81C}"/>
    <cellStyle name="20% - Accent6 2 5 4" xfId="10481" xr:uid="{515E575E-1D9E-4C14-B5FC-146EE4C23E2D}"/>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56" xr:uid="{42E662C0-9434-4442-A438-EF0C69D0E15D}"/>
    <cellStyle name="20% - Accent6 2 6 2 3" xfId="13039" xr:uid="{5BAF2C89-4F62-42B3-84A9-2F155D593096}"/>
    <cellStyle name="20% - Accent6 2 6 3" xfId="5785" xr:uid="{00000000-0005-0000-0000-00006A030000}"/>
    <cellStyle name="20% - Accent6 2 6 3 2" xfId="15111" xr:uid="{E67AC99E-AD0A-4392-BC1E-BDEDF007C844}"/>
    <cellStyle name="20% - Accent6 2 6 4" xfId="10894" xr:uid="{C5FC05BA-2A12-41FB-9D31-27A6A15FBAAC}"/>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69" xr:uid="{74462CE8-02D5-47E4-BCD1-98873F6A6056}"/>
    <cellStyle name="20% - Accent6 2 7 2 3" xfId="13452" xr:uid="{CB5DF410-5644-4FDE-9C4C-1814316A0DA2}"/>
    <cellStyle name="20% - Accent6 2 7 3" xfId="6198" xr:uid="{00000000-0005-0000-0000-00006E030000}"/>
    <cellStyle name="20% - Accent6 2 7 3 2" xfId="15524" xr:uid="{B5E981ED-054E-415B-9367-4617A8663199}"/>
    <cellStyle name="20% - Accent6 2 7 4" xfId="11307" xr:uid="{AA085E75-2CF7-4089-BC68-70D28FC5ACDB}"/>
    <cellStyle name="20% - Accent6 2 8" xfId="2305" xr:uid="{00000000-0005-0000-0000-00006F030000}"/>
    <cellStyle name="20% - Accent6 2 8 2" xfId="6611" xr:uid="{00000000-0005-0000-0000-000070030000}"/>
    <cellStyle name="20% - Accent6 2 8 2 2" xfId="15937" xr:uid="{9D475970-9BFB-4F11-A1F9-3F308EEC8E00}"/>
    <cellStyle name="20% - Accent6 2 8 3" xfId="11720" xr:uid="{EB53411B-D010-4F19-AD5A-BD3E5B4FB032}"/>
    <cellStyle name="20% - Accent6 2 9" xfId="4545" xr:uid="{00000000-0005-0000-0000-000071030000}"/>
    <cellStyle name="20% - Accent6 2 9 2" xfId="13871" xr:uid="{8D9D4E3E-4AD1-4982-AE15-701A2223CCB1}"/>
    <cellStyle name="20% - Accent6 3" xfId="46" xr:uid="{00000000-0005-0000-0000-000072030000}"/>
    <cellStyle name="20% - Accent6 3 10" xfId="9658" xr:uid="{1E79F37D-7099-4001-A79F-F707650360B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435" xr:uid="{D9963296-E9FF-455F-A759-459356271CA9}"/>
    <cellStyle name="20% - Accent6 3 2 2 2 3" xfId="12218" xr:uid="{2E9FE9D4-BB7D-434A-A133-112F9A84A4E5}"/>
    <cellStyle name="20% - Accent6 3 2 2 3" xfId="4964" xr:uid="{00000000-0005-0000-0000-000077030000}"/>
    <cellStyle name="20% - Accent6 3 2 2 3 2" xfId="14290" xr:uid="{19D333C3-17B2-4B20-B3DE-A1FD9B557387}"/>
    <cellStyle name="20% - Accent6 3 2 2 4" xfId="9503" xr:uid="{A5A3EDF8-16EA-4A86-8795-C3BA46FE244A}"/>
    <cellStyle name="20% - Accent6 3 2 2 4 2" xfId="18818" xr:uid="{D49BE207-A00A-4627-A202-C9D4736EA2E3}"/>
    <cellStyle name="20% - Accent6 3 2 2 5" xfId="10073" xr:uid="{9EA4AFE1-C008-478D-BF29-1B7E2298D26D}"/>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48" xr:uid="{EBCE769D-A94E-40AE-99AC-3870FDEF56BD}"/>
    <cellStyle name="20% - Accent6 3 2 3 2 3" xfId="12631" xr:uid="{3C999A19-DF8F-4378-B5B3-174DE7A66CEC}"/>
    <cellStyle name="20% - Accent6 3 2 3 3" xfId="5377" xr:uid="{00000000-0005-0000-0000-00007B030000}"/>
    <cellStyle name="20% - Accent6 3 2 3 3 2" xfId="14703" xr:uid="{B3E0AF9A-50B9-47FD-8338-E4AB7E80D22F}"/>
    <cellStyle name="20% - Accent6 3 2 3 4" xfId="10486" xr:uid="{0043E907-3E96-46A2-9399-83815C01F4BB}"/>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61" xr:uid="{4786993E-3C39-49D2-BA38-14F3299ADD16}"/>
    <cellStyle name="20% - Accent6 3 2 4 2 3" xfId="13044" xr:uid="{3DFB0A01-A63C-4F2D-928E-D1967EBEB388}"/>
    <cellStyle name="20% - Accent6 3 2 4 3" xfId="5790" xr:uid="{00000000-0005-0000-0000-00007F030000}"/>
    <cellStyle name="20% - Accent6 3 2 4 3 2" xfId="15116" xr:uid="{7382789E-9848-40D8-BAB0-A559155FFC7B}"/>
    <cellStyle name="20% - Accent6 3 2 4 4" xfId="10899" xr:uid="{F23AEB2F-7CCB-46BB-8598-F9237E91C7D9}"/>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74" xr:uid="{7853ED20-9464-497E-A6B4-DF236565DF54}"/>
    <cellStyle name="20% - Accent6 3 2 5 2 3" xfId="13457" xr:uid="{2354DA4D-EB2A-40F1-B131-FB7F32A74952}"/>
    <cellStyle name="20% - Accent6 3 2 5 3" xfId="6203" xr:uid="{00000000-0005-0000-0000-000083030000}"/>
    <cellStyle name="20% - Accent6 3 2 5 3 2" xfId="15529" xr:uid="{0D1913D3-FF3C-4DAD-A870-42E119436BC7}"/>
    <cellStyle name="20% - Accent6 3 2 5 4" xfId="11312" xr:uid="{0A1B583A-04D0-4977-A451-603B8E9DFFF7}"/>
    <cellStyle name="20% - Accent6 3 2 6" xfId="2310" xr:uid="{00000000-0005-0000-0000-000084030000}"/>
    <cellStyle name="20% - Accent6 3 2 6 2" xfId="6616" xr:uid="{00000000-0005-0000-0000-000085030000}"/>
    <cellStyle name="20% - Accent6 3 2 6 2 2" xfId="15942" xr:uid="{FC8CF879-0568-4ACE-B684-134B60F6E164}"/>
    <cellStyle name="20% - Accent6 3 2 6 3" xfId="11725" xr:uid="{AE1E0339-8D5F-43D4-A2A6-FC4CFD20EEAB}"/>
    <cellStyle name="20% - Accent6 3 2 7" xfId="4550" xr:uid="{00000000-0005-0000-0000-000086030000}"/>
    <cellStyle name="20% - Accent6 3 2 7 2" xfId="13876" xr:uid="{53C1ED22-37FF-4A1F-AAE6-84288E92FAA0}"/>
    <cellStyle name="20% - Accent6 3 2 8" xfId="9078" xr:uid="{55C63253-C10A-44F0-A9A1-D3E9AD1B1E77}"/>
    <cellStyle name="20% - Accent6 3 2 8 2" xfId="18402" xr:uid="{69F312B8-17AE-4729-8E1F-C5629F228C5D}"/>
    <cellStyle name="20% - Accent6 3 2 9" xfId="9659" xr:uid="{FDA5C71A-754A-4038-AE19-D78D2A5B87B1}"/>
    <cellStyle name="20% - Accent6 3 3" xfId="615" xr:uid="{00000000-0005-0000-0000-000087030000}"/>
    <cellStyle name="20% - Accent6 3 3 2" xfId="2886" xr:uid="{00000000-0005-0000-0000-000088030000}"/>
    <cellStyle name="20% - Accent6 3 3 2 2" xfId="7108" xr:uid="{00000000-0005-0000-0000-000089030000}"/>
    <cellStyle name="20% - Accent6 3 3 2 2 2" xfId="16434" xr:uid="{E9EB3CCD-8BEE-4454-8C99-64A59831FCF1}"/>
    <cellStyle name="20% - Accent6 3 3 2 3" xfId="12217" xr:uid="{D8B8C25B-2340-4461-99C7-324CBCACB49E}"/>
    <cellStyle name="20% - Accent6 3 3 3" xfId="4963" xr:uid="{00000000-0005-0000-0000-00008A030000}"/>
    <cellStyle name="20% - Accent6 3 3 3 2" xfId="14289" xr:uid="{8649610E-DE1C-4F3F-88E8-450637BBD5B2}"/>
    <cellStyle name="20% - Accent6 3 3 4" xfId="9296" xr:uid="{68DBDAD1-945F-459A-93CE-56D312D1EDE4}"/>
    <cellStyle name="20% - Accent6 3 3 4 2" xfId="18611" xr:uid="{3CA91825-7C45-43BA-A749-9EC57DB1C7B4}"/>
    <cellStyle name="20% - Accent6 3 3 5" xfId="10072" xr:uid="{C5496CE9-F0D7-4330-9B9E-ECB99A3C6E23}"/>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47" xr:uid="{6550C13F-8AF2-4362-A55C-CC30270D878E}"/>
    <cellStyle name="20% - Accent6 3 4 2 3" xfId="12630" xr:uid="{6F8EDA99-ABD3-4AE6-B89C-3AF76C28BE15}"/>
    <cellStyle name="20% - Accent6 3 4 3" xfId="5376" xr:uid="{00000000-0005-0000-0000-00008E030000}"/>
    <cellStyle name="20% - Accent6 3 4 3 2" xfId="14702" xr:uid="{DD4BC246-8380-435D-BE30-A99AC4C89DDF}"/>
    <cellStyle name="20% - Accent6 3 4 4" xfId="10485" xr:uid="{51D35A9B-F668-47B4-8AC4-1D75B28EDE16}"/>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60" xr:uid="{4C31158B-B6CD-4F27-9C35-33F2BF0394FE}"/>
    <cellStyle name="20% - Accent6 3 5 2 3" xfId="13043" xr:uid="{74DB811C-1ED5-408B-9D5C-618CC8362A61}"/>
    <cellStyle name="20% - Accent6 3 5 3" xfId="5789" xr:uid="{00000000-0005-0000-0000-000092030000}"/>
    <cellStyle name="20% - Accent6 3 5 3 2" xfId="15115" xr:uid="{EE1F5580-646B-4AE9-B268-DE0C664393ED}"/>
    <cellStyle name="20% - Accent6 3 5 4" xfId="10898" xr:uid="{8119EAD5-5A09-49D4-9B25-404C1F17EDCE}"/>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73" xr:uid="{1851F47F-B63A-4609-9017-7939807908E4}"/>
    <cellStyle name="20% - Accent6 3 6 2 3" xfId="13456" xr:uid="{66CA49F9-5EEC-496B-9CCE-4BEEEEEDD289}"/>
    <cellStyle name="20% - Accent6 3 6 3" xfId="6202" xr:uid="{00000000-0005-0000-0000-000096030000}"/>
    <cellStyle name="20% - Accent6 3 6 3 2" xfId="15528" xr:uid="{99DF616F-2086-40D4-87AC-40D9F7D36359}"/>
    <cellStyle name="20% - Accent6 3 6 4" xfId="11311" xr:uid="{63B2EF72-1F2D-406D-9F16-1B705439ADD0}"/>
    <cellStyle name="20% - Accent6 3 7" xfId="2309" xr:uid="{00000000-0005-0000-0000-000097030000}"/>
    <cellStyle name="20% - Accent6 3 7 2" xfId="6615" xr:uid="{00000000-0005-0000-0000-000098030000}"/>
    <cellStyle name="20% - Accent6 3 7 2 2" xfId="15941" xr:uid="{80474630-CE17-47F7-BAC9-56C73BD7CDA9}"/>
    <cellStyle name="20% - Accent6 3 7 3" xfId="11724" xr:uid="{F123A8B7-E9FB-40B7-AE4B-1E569354FF17}"/>
    <cellStyle name="20% - Accent6 3 8" xfId="4549" xr:uid="{00000000-0005-0000-0000-000099030000}"/>
    <cellStyle name="20% - Accent6 3 8 2" xfId="13875" xr:uid="{88E19844-C2B3-4076-8694-2FCBDA049F81}"/>
    <cellStyle name="20% - Accent6 3 9" xfId="8871" xr:uid="{6A653046-C3D6-46DC-9DAA-DA1241CBE9F0}"/>
    <cellStyle name="20% - Accent6 3 9 2" xfId="18195" xr:uid="{D86CEA38-DDBD-4CF6-A4A0-D44C3D00F14C}"/>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6436" xr:uid="{4DBB18B7-5A9A-40D5-8439-9C765B04EE07}"/>
    <cellStyle name="20% - Accent6 4 2 2 3" xfId="12219" xr:uid="{6EAEA6AD-EE0C-4C8A-A741-A2B0FC6C3D0D}"/>
    <cellStyle name="20% - Accent6 4 2 3" xfId="4965" xr:uid="{00000000-0005-0000-0000-00009E030000}"/>
    <cellStyle name="20% - Accent6 4 2 3 2" xfId="14291" xr:uid="{B18FF5C9-53A5-4D3D-980C-2153DB8BC561}"/>
    <cellStyle name="20% - Accent6 4 2 4" xfId="9382" xr:uid="{704ED43C-A59A-4E80-A03F-B933767E3A55}"/>
    <cellStyle name="20% - Accent6 4 2 4 2" xfId="18697" xr:uid="{0DC9172B-6384-4651-A3A2-BF436F930688}"/>
    <cellStyle name="20% - Accent6 4 2 5" xfId="10074" xr:uid="{06D0581F-6191-4A52-927F-58330E28CEB6}"/>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49" xr:uid="{E07E0E68-21C6-4DCC-8A97-986B718AC620}"/>
    <cellStyle name="20% - Accent6 4 3 2 3" xfId="12632" xr:uid="{0206364C-0EA6-41FA-AAE3-E1F43BF25F70}"/>
    <cellStyle name="20% - Accent6 4 3 3" xfId="5378" xr:uid="{00000000-0005-0000-0000-0000A2030000}"/>
    <cellStyle name="20% - Accent6 4 3 3 2" xfId="14704" xr:uid="{C0C98B6B-4AAE-4DCE-84F1-E14686145A23}"/>
    <cellStyle name="20% - Accent6 4 3 4" xfId="10487" xr:uid="{56ABE0E1-4DF1-4968-88F9-8805FC2C027E}"/>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62" xr:uid="{5D3139F9-EB55-400F-BABB-CC77EA655118}"/>
    <cellStyle name="20% - Accent6 4 4 2 3" xfId="13045" xr:uid="{5AEC3DE4-C69A-4344-A894-F6D9D71D0E1D}"/>
    <cellStyle name="20% - Accent6 4 4 3" xfId="5791" xr:uid="{00000000-0005-0000-0000-0000A6030000}"/>
    <cellStyle name="20% - Accent6 4 4 3 2" xfId="15117" xr:uid="{9A1FE69F-F2E8-4D95-9329-96D912EF926B}"/>
    <cellStyle name="20% - Accent6 4 4 4" xfId="10900" xr:uid="{AE95C59F-2026-4630-8117-8E444277A7A7}"/>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75" xr:uid="{E30DEF44-0237-46AC-AF81-BAB33F955E6B}"/>
    <cellStyle name="20% - Accent6 4 5 2 3" xfId="13458" xr:uid="{B01A7AA7-A7D7-4FDF-8DD6-C0DD54FAE806}"/>
    <cellStyle name="20% - Accent6 4 5 3" xfId="6204" xr:uid="{00000000-0005-0000-0000-0000AA030000}"/>
    <cellStyle name="20% - Accent6 4 5 3 2" xfId="15530" xr:uid="{08A3F6E7-4C87-4B51-A5E8-16EF341EF71B}"/>
    <cellStyle name="20% - Accent6 4 5 4" xfId="11313" xr:uid="{CD46D1AB-CD92-4DA6-8DCB-20F37B5F7A34}"/>
    <cellStyle name="20% - Accent6 4 6" xfId="2311" xr:uid="{00000000-0005-0000-0000-0000AB030000}"/>
    <cellStyle name="20% - Accent6 4 6 2" xfId="6617" xr:uid="{00000000-0005-0000-0000-0000AC030000}"/>
    <cellStyle name="20% - Accent6 4 6 2 2" xfId="15943" xr:uid="{BEFC4757-BCEB-4C52-AF37-C084D93FB844}"/>
    <cellStyle name="20% - Accent6 4 6 3" xfId="11726" xr:uid="{173538F3-3575-48DF-A526-1423796F6F9D}"/>
    <cellStyle name="20% - Accent6 4 7" xfId="4551" xr:uid="{00000000-0005-0000-0000-0000AD030000}"/>
    <cellStyle name="20% - Accent6 4 7 2" xfId="13877" xr:uid="{19F05100-BD90-415D-BF31-527EB1F19F33}"/>
    <cellStyle name="20% - Accent6 4 8" xfId="8957" xr:uid="{03E1DA3A-6A3F-4C0D-9844-2D38E7BA13BC}"/>
    <cellStyle name="20% - Accent6 4 8 2" xfId="18281" xr:uid="{45353DFC-9AA5-4FDC-8156-81BF79F76091}"/>
    <cellStyle name="20% - Accent6 4 9" xfId="9660" xr:uid="{6203161B-9CC1-42D2-9C80-AB5034AA9084}"/>
    <cellStyle name="20% - Accent6 5" xfId="610" xr:uid="{00000000-0005-0000-0000-0000AE030000}"/>
    <cellStyle name="20% - Accent6 5 2" xfId="2881" xr:uid="{00000000-0005-0000-0000-0000AF030000}"/>
    <cellStyle name="20% - Accent6 5 2 2" xfId="7103" xr:uid="{00000000-0005-0000-0000-0000B0030000}"/>
    <cellStyle name="20% - Accent6 5 2 2 2" xfId="16429" xr:uid="{8DB10CBD-783D-4962-BC7F-4C53F7045429}"/>
    <cellStyle name="20% - Accent6 5 2 3" xfId="12212" xr:uid="{69A5F8B0-0697-4A49-85AF-82E7348BCBEA}"/>
    <cellStyle name="20% - Accent6 5 3" xfId="4958" xr:uid="{00000000-0005-0000-0000-0000B1030000}"/>
    <cellStyle name="20% - Accent6 5 3 2" xfId="14284" xr:uid="{AEFE68DD-C04B-40B3-AC73-7C1701C57143}"/>
    <cellStyle name="20% - Accent6 5 4" xfId="9191" xr:uid="{C812E2E5-5572-4E86-9CB6-C7C53792C044}"/>
    <cellStyle name="20% - Accent6 5 4 2" xfId="18508" xr:uid="{5E848D51-1A9D-44E4-A824-28AC1FCFB387}"/>
    <cellStyle name="20% - Accent6 5 5" xfId="10067" xr:uid="{DDEBBD9A-2024-4BAC-80D2-50C2D405622A}"/>
    <cellStyle name="20% - Accent6 6" xfId="1063" xr:uid="{00000000-0005-0000-0000-0000B2030000}"/>
    <cellStyle name="20% - Accent6 6 2" xfId="3294" xr:uid="{00000000-0005-0000-0000-0000B3030000}"/>
    <cellStyle name="20% - Accent6 6 2 2" xfId="7516" xr:uid="{00000000-0005-0000-0000-0000B4030000}"/>
    <cellStyle name="20% - Accent6 6 2 2 2" xfId="16842" xr:uid="{F3A25B3A-E6C9-4E78-8FA7-182FCA1FC4ED}"/>
    <cellStyle name="20% - Accent6 6 2 3" xfId="12625" xr:uid="{8E3EFEF9-E2B9-467A-9261-08059308D340}"/>
    <cellStyle name="20% - Accent6 6 3" xfId="5371" xr:uid="{00000000-0005-0000-0000-0000B5030000}"/>
    <cellStyle name="20% - Accent6 6 3 2" xfId="14697" xr:uid="{EAFC69F2-2598-4DBA-ABA3-C03207A32DB3}"/>
    <cellStyle name="20% - Accent6 6 4" xfId="10480" xr:uid="{3790AFD8-259C-4A4D-8C2E-F0FBBC3A8198}"/>
    <cellStyle name="20% - Accent6 7" xfId="1477" xr:uid="{00000000-0005-0000-0000-0000B6030000}"/>
    <cellStyle name="20% - Accent6 7 2" xfId="3707" xr:uid="{00000000-0005-0000-0000-0000B7030000}"/>
    <cellStyle name="20% - Accent6 7 2 2" xfId="7929" xr:uid="{00000000-0005-0000-0000-0000B8030000}"/>
    <cellStyle name="20% - Accent6 7 2 2 2" xfId="17255" xr:uid="{6E7EAD3A-DEE6-460B-B2C8-EF366AF13C82}"/>
    <cellStyle name="20% - Accent6 7 2 3" xfId="13038" xr:uid="{6457C306-3654-460B-B4E1-24067905406A}"/>
    <cellStyle name="20% - Accent6 7 3" xfId="5784" xr:uid="{00000000-0005-0000-0000-0000B9030000}"/>
    <cellStyle name="20% - Accent6 7 3 2" xfId="15110" xr:uid="{FDD6AB7C-B4CF-44A1-AA67-10AD50155419}"/>
    <cellStyle name="20% - Accent6 7 4" xfId="10893" xr:uid="{9FE1C21F-3905-44F9-AC73-F758B2110F72}"/>
    <cellStyle name="20% - Accent6 8" xfId="1891" xr:uid="{00000000-0005-0000-0000-0000BA030000}"/>
    <cellStyle name="20% - Accent6 8 2" xfId="4120" xr:uid="{00000000-0005-0000-0000-0000BB030000}"/>
    <cellStyle name="20% - Accent6 8 2 2" xfId="8342" xr:uid="{00000000-0005-0000-0000-0000BC030000}"/>
    <cellStyle name="20% - Accent6 8 2 2 2" xfId="17668" xr:uid="{58E5E07D-B545-41AB-8790-61A89BB48E42}"/>
    <cellStyle name="20% - Accent6 8 2 3" xfId="13451" xr:uid="{F7460BFE-B2B0-4590-B8B1-5234F6A6E9B1}"/>
    <cellStyle name="20% - Accent6 8 3" xfId="6197" xr:uid="{00000000-0005-0000-0000-0000BD030000}"/>
    <cellStyle name="20% - Accent6 8 3 2" xfId="15523" xr:uid="{17AAE0BC-1EDB-43BB-B315-952AD3FD898A}"/>
    <cellStyle name="20% - Accent6 8 4" xfId="11306" xr:uid="{ECD9410E-040A-4940-B626-5C0A979AE481}"/>
    <cellStyle name="20% - Accent6 9" xfId="2304" xr:uid="{00000000-0005-0000-0000-0000BE030000}"/>
    <cellStyle name="20% - Accent6 9 2" xfId="6610" xr:uid="{00000000-0005-0000-0000-0000BF030000}"/>
    <cellStyle name="20% - Accent6 9 2 2" xfId="15936" xr:uid="{7E9F43A4-2E9F-4C9B-B479-15A52FCFBC85}"/>
    <cellStyle name="20% - Accent6 9 3" xfId="11719" xr:uid="{40B48715-D5B4-4389-BB9C-9CD4EA97E4EB}"/>
    <cellStyle name="40% - Accent1" xfId="49" builtinId="31" customBuiltin="1"/>
    <cellStyle name="40% - Accent1 10" xfId="4552" xr:uid="{00000000-0005-0000-0000-0000C1030000}"/>
    <cellStyle name="40% - Accent1 10 2" xfId="13878" xr:uid="{54F6BAB6-ECA1-4097-AE77-C314E32CD274}"/>
    <cellStyle name="40% - Accent1 11" xfId="8759" xr:uid="{E0AA4078-00FF-4C00-81ED-1F048AC6C533}"/>
    <cellStyle name="40% - Accent1 11 2" xfId="18083" xr:uid="{0B19109F-A73D-4EA6-87FB-5097D30CC5EC}"/>
    <cellStyle name="40% - Accent1 12" xfId="9661" xr:uid="{CC38B800-A823-4F7A-AD92-59F4BD6C0FA3}"/>
    <cellStyle name="40% - Accent1 2" xfId="50" xr:uid="{00000000-0005-0000-0000-0000C2030000}"/>
    <cellStyle name="40% - Accent1 2 10" xfId="8798" xr:uid="{82026451-631C-40CA-BC49-BE5DA2EA921A}"/>
    <cellStyle name="40% - Accent1 2 10 2" xfId="18122" xr:uid="{116BCA76-1A14-48F8-A4F2-A578E4E554B4}"/>
    <cellStyle name="40% - Accent1 2 11" xfId="9662" xr:uid="{BD4C1301-A9D8-437E-A518-F3D3880ECA45}"/>
    <cellStyle name="40% - Accent1 2 2" xfId="51" xr:uid="{00000000-0005-0000-0000-0000C3030000}"/>
    <cellStyle name="40% - Accent1 2 2 10" xfId="9663" xr:uid="{234F42FF-DF15-45E9-AF9B-264FFC26772B}"/>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440" xr:uid="{F5519374-D02A-4062-AC9E-58C3B840DAF5}"/>
    <cellStyle name="40% - Accent1 2 2 2 2 2 3" xfId="12223" xr:uid="{9F82420E-0BEA-4F36-960C-B83484E15BC1}"/>
    <cellStyle name="40% - Accent1 2 2 2 2 3" xfId="4969" xr:uid="{00000000-0005-0000-0000-0000C8030000}"/>
    <cellStyle name="40% - Accent1 2 2 2 2 3 2" xfId="14295" xr:uid="{06C0A79B-EA48-4469-B2DF-0C970E1EA240}"/>
    <cellStyle name="40% - Accent1 2 2 2 2 4" xfId="9533" xr:uid="{757B5AC4-115E-4B90-B4EA-505C31F9B178}"/>
    <cellStyle name="40% - Accent1 2 2 2 2 4 2" xfId="18848" xr:uid="{C792CB03-A5F1-4671-A895-79D8A427B16D}"/>
    <cellStyle name="40% - Accent1 2 2 2 2 5" xfId="10078" xr:uid="{DE2B1F9F-09AE-4B1F-AC9D-DFCD72E50C73}"/>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53" xr:uid="{4240503C-C22F-40AE-A110-8D0611C11859}"/>
    <cellStyle name="40% - Accent1 2 2 2 3 2 3" xfId="12636" xr:uid="{4A192796-0634-48A3-9104-816A2DD6277D}"/>
    <cellStyle name="40% - Accent1 2 2 2 3 3" xfId="5382" xr:uid="{00000000-0005-0000-0000-0000CC030000}"/>
    <cellStyle name="40% - Accent1 2 2 2 3 3 2" xfId="14708" xr:uid="{69E5CD1A-11E1-4323-B3BD-3761FBFE6923}"/>
    <cellStyle name="40% - Accent1 2 2 2 3 4" xfId="10491" xr:uid="{E0AF1CE4-36BE-42BE-A668-1721D0D0986D}"/>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66" xr:uid="{6315B09D-5C34-4F75-9B3C-022FFBA9B44A}"/>
    <cellStyle name="40% - Accent1 2 2 2 4 2 3" xfId="13049" xr:uid="{BB5850FE-2287-4A1F-BB5B-50BF7EDD71F7}"/>
    <cellStyle name="40% - Accent1 2 2 2 4 3" xfId="5795" xr:uid="{00000000-0005-0000-0000-0000D0030000}"/>
    <cellStyle name="40% - Accent1 2 2 2 4 3 2" xfId="15121" xr:uid="{1FC38C2A-9254-4663-86AB-53ED38D873C0}"/>
    <cellStyle name="40% - Accent1 2 2 2 4 4" xfId="10904" xr:uid="{5C4574ED-CCD4-47E6-A5DF-B45282AD79A6}"/>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79" xr:uid="{EE128847-37D8-4D03-B720-204223D7B7F3}"/>
    <cellStyle name="40% - Accent1 2 2 2 5 2 3" xfId="13462" xr:uid="{718F28D6-7C87-4BD4-8530-B5847FF0C01F}"/>
    <cellStyle name="40% - Accent1 2 2 2 5 3" xfId="6208" xr:uid="{00000000-0005-0000-0000-0000D4030000}"/>
    <cellStyle name="40% - Accent1 2 2 2 5 3 2" xfId="15534" xr:uid="{B3C7D9EF-2497-483B-B12D-BE802B7676B2}"/>
    <cellStyle name="40% - Accent1 2 2 2 5 4" xfId="11317" xr:uid="{ED04B349-616C-4109-9510-E973D86FC105}"/>
    <cellStyle name="40% - Accent1 2 2 2 6" xfId="2315" xr:uid="{00000000-0005-0000-0000-0000D5030000}"/>
    <cellStyle name="40% - Accent1 2 2 2 6 2" xfId="6621" xr:uid="{00000000-0005-0000-0000-0000D6030000}"/>
    <cellStyle name="40% - Accent1 2 2 2 6 2 2" xfId="15947" xr:uid="{C63C9BFC-3976-4AFB-A0C0-072738FCFDAA}"/>
    <cellStyle name="40% - Accent1 2 2 2 6 3" xfId="11730" xr:uid="{B08B1451-F9E4-47BC-B066-BE6DA2F99EF7}"/>
    <cellStyle name="40% - Accent1 2 2 2 7" xfId="4555" xr:uid="{00000000-0005-0000-0000-0000D7030000}"/>
    <cellStyle name="40% - Accent1 2 2 2 7 2" xfId="13881" xr:uid="{FDE325AE-5144-4304-A5EC-D4354C3203F6}"/>
    <cellStyle name="40% - Accent1 2 2 2 8" xfId="9108" xr:uid="{1189B5E8-DD3C-4F9A-ACD3-DB853C0AC60B}"/>
    <cellStyle name="40% - Accent1 2 2 2 8 2" xfId="18432" xr:uid="{EC16F0F0-ED61-4D72-AD78-EFA437201F16}"/>
    <cellStyle name="40% - Accent1 2 2 2 9" xfId="9664" xr:uid="{40A2CB73-3059-4678-A99D-FB94CDB87904}"/>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439" xr:uid="{D1FF0979-89B9-4EF2-A1D0-DF99D645BC3C}"/>
    <cellStyle name="40% - Accent1 2 2 3 2 3" xfId="12222" xr:uid="{B4B5DD79-95BD-4BFB-BFF4-B744A0344540}"/>
    <cellStyle name="40% - Accent1 2 2 3 3" xfId="4968" xr:uid="{00000000-0005-0000-0000-0000DB030000}"/>
    <cellStyle name="40% - Accent1 2 2 3 3 2" xfId="14294" xr:uid="{6A356FBB-6199-4D45-BFF7-6A39C7129658}"/>
    <cellStyle name="40% - Accent1 2 2 3 4" xfId="9326" xr:uid="{6D693950-F4D3-4A82-8C01-49E2379281D4}"/>
    <cellStyle name="40% - Accent1 2 2 3 4 2" xfId="18641" xr:uid="{B9E3281F-6D8E-454E-B9C8-61CECFAE790A}"/>
    <cellStyle name="40% - Accent1 2 2 3 5" xfId="10077" xr:uid="{4E12A69E-8959-43A6-816A-772ECEA55B89}"/>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52" xr:uid="{D985EC59-F4F0-4EA1-BEC5-4A3AC5D5844F}"/>
    <cellStyle name="40% - Accent1 2 2 4 2 3" xfId="12635" xr:uid="{F0E79B9C-5BEF-456F-8658-E4D321553B99}"/>
    <cellStyle name="40% - Accent1 2 2 4 3" xfId="5381" xr:uid="{00000000-0005-0000-0000-0000DF030000}"/>
    <cellStyle name="40% - Accent1 2 2 4 3 2" xfId="14707" xr:uid="{9DF05F89-799E-415B-A8D7-1EB86B25270A}"/>
    <cellStyle name="40% - Accent1 2 2 4 4" xfId="10490" xr:uid="{D3C04660-91FD-49A5-A1A7-5F1D91D6FE54}"/>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65" xr:uid="{2F64F19C-BD32-4F1F-A5A9-282BA222468C}"/>
    <cellStyle name="40% - Accent1 2 2 5 2 3" xfId="13048" xr:uid="{EEEDC634-7513-43A6-9226-2761B9D38E7F}"/>
    <cellStyle name="40% - Accent1 2 2 5 3" xfId="5794" xr:uid="{00000000-0005-0000-0000-0000E3030000}"/>
    <cellStyle name="40% - Accent1 2 2 5 3 2" xfId="15120" xr:uid="{FCEB8857-2CA7-48CB-B539-C0E57DBCF6EE}"/>
    <cellStyle name="40% - Accent1 2 2 5 4" xfId="10903" xr:uid="{CB5FFD94-6B7F-47C4-B0AE-BC91B6FE8DBB}"/>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78" xr:uid="{0D2DA60B-81EF-4EA3-B74D-413711E295C8}"/>
    <cellStyle name="40% - Accent1 2 2 6 2 3" xfId="13461" xr:uid="{88825198-132C-4388-A628-BEC15C77C02C}"/>
    <cellStyle name="40% - Accent1 2 2 6 3" xfId="6207" xr:uid="{00000000-0005-0000-0000-0000E7030000}"/>
    <cellStyle name="40% - Accent1 2 2 6 3 2" xfId="15533" xr:uid="{A5CF191B-38D2-46C5-A8D4-03503A27DEE5}"/>
    <cellStyle name="40% - Accent1 2 2 6 4" xfId="11316" xr:uid="{E1E7941E-AF47-43C8-A0EA-B9A00E34D5F1}"/>
    <cellStyle name="40% - Accent1 2 2 7" xfId="2314" xr:uid="{00000000-0005-0000-0000-0000E8030000}"/>
    <cellStyle name="40% - Accent1 2 2 7 2" xfId="6620" xr:uid="{00000000-0005-0000-0000-0000E9030000}"/>
    <cellStyle name="40% - Accent1 2 2 7 2 2" xfId="15946" xr:uid="{A797E613-99B7-4EE7-931D-7216BB9C59B7}"/>
    <cellStyle name="40% - Accent1 2 2 7 3" xfId="11729" xr:uid="{A95E14DF-CAB1-4EF2-947D-2BCE622AF6C4}"/>
    <cellStyle name="40% - Accent1 2 2 8" xfId="4554" xr:uid="{00000000-0005-0000-0000-0000EA030000}"/>
    <cellStyle name="40% - Accent1 2 2 8 2" xfId="13880" xr:uid="{9306DEE4-3F38-40E1-8301-5ACCB4C5893F}"/>
    <cellStyle name="40% - Accent1 2 2 9" xfId="8901" xr:uid="{10130317-AF31-4351-8201-FD8BD447EA3C}"/>
    <cellStyle name="40% - Accent1 2 2 9 2" xfId="18225" xr:uid="{9406C780-8EF7-47CE-8BBD-10B90BF5A8CF}"/>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441" xr:uid="{06B0E902-BF7F-4C85-969D-7DC7B77F4852}"/>
    <cellStyle name="40% - Accent1 2 3 2 2 3" xfId="12224" xr:uid="{C9232C13-6CD0-4CA2-B674-073A930D300F}"/>
    <cellStyle name="40% - Accent1 2 3 2 3" xfId="4970" xr:uid="{00000000-0005-0000-0000-0000EF030000}"/>
    <cellStyle name="40% - Accent1 2 3 2 3 2" xfId="14296" xr:uid="{6C605684-33AC-4671-8849-0AABBCB1A567}"/>
    <cellStyle name="40% - Accent1 2 3 2 4" xfId="9430" xr:uid="{C79D1FB2-141C-4301-8F37-B3B9643C0550}"/>
    <cellStyle name="40% - Accent1 2 3 2 4 2" xfId="18745" xr:uid="{7F57CC8E-553F-4D7F-8D4F-F561218A9F46}"/>
    <cellStyle name="40% - Accent1 2 3 2 5" xfId="10079" xr:uid="{C852AF3D-D0A4-43DF-A3E2-3EF0D526CB84}"/>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54" xr:uid="{9F50541A-9880-4197-B8BC-8A161E9D5BCD}"/>
    <cellStyle name="40% - Accent1 2 3 3 2 3" xfId="12637" xr:uid="{F0E0F1F9-CEA7-46C3-8A51-1BB04E339C71}"/>
    <cellStyle name="40% - Accent1 2 3 3 3" xfId="5383" xr:uid="{00000000-0005-0000-0000-0000F3030000}"/>
    <cellStyle name="40% - Accent1 2 3 3 3 2" xfId="14709" xr:uid="{A0041814-87C0-4B71-B71A-1B883F3DAE76}"/>
    <cellStyle name="40% - Accent1 2 3 3 4" xfId="10492" xr:uid="{91BA185D-7638-4A14-B1F8-C820F38B1848}"/>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67" xr:uid="{A9466A2E-3A09-4925-94C0-3D7B39BEA13A}"/>
    <cellStyle name="40% - Accent1 2 3 4 2 3" xfId="13050" xr:uid="{9A8DB7B8-4598-4C31-B8CC-BC919BAD1A1E}"/>
    <cellStyle name="40% - Accent1 2 3 4 3" xfId="5796" xr:uid="{00000000-0005-0000-0000-0000F7030000}"/>
    <cellStyle name="40% - Accent1 2 3 4 3 2" xfId="15122" xr:uid="{8C049B8C-DC35-4E17-B389-0C21C10F7352}"/>
    <cellStyle name="40% - Accent1 2 3 4 4" xfId="10905" xr:uid="{78FB1252-1FD6-4008-A978-B312C62E9CA2}"/>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80" xr:uid="{04127762-A1A7-4BB5-842A-41AF0BAB22DA}"/>
    <cellStyle name="40% - Accent1 2 3 5 2 3" xfId="13463" xr:uid="{AEA664D4-1FCA-48DA-8AEE-EA2C5A9F9FAD}"/>
    <cellStyle name="40% - Accent1 2 3 5 3" xfId="6209" xr:uid="{00000000-0005-0000-0000-0000FB030000}"/>
    <cellStyle name="40% - Accent1 2 3 5 3 2" xfId="15535" xr:uid="{4D74627F-B616-45E6-B1A3-C8DB5BCC5C76}"/>
    <cellStyle name="40% - Accent1 2 3 5 4" xfId="11318" xr:uid="{400A46B7-279E-4640-BE14-1F502A6B5DB1}"/>
    <cellStyle name="40% - Accent1 2 3 6" xfId="2316" xr:uid="{00000000-0005-0000-0000-0000FC030000}"/>
    <cellStyle name="40% - Accent1 2 3 6 2" xfId="6622" xr:uid="{00000000-0005-0000-0000-0000FD030000}"/>
    <cellStyle name="40% - Accent1 2 3 6 2 2" xfId="15948" xr:uid="{59811656-4E6B-4C00-B3DF-BB6BE14B5BFF}"/>
    <cellStyle name="40% - Accent1 2 3 6 3" xfId="11731" xr:uid="{95082A38-35E6-42E4-B5FB-36BF54384D23}"/>
    <cellStyle name="40% - Accent1 2 3 7" xfId="4556" xr:uid="{00000000-0005-0000-0000-0000FE030000}"/>
    <cellStyle name="40% - Accent1 2 3 7 2" xfId="13882" xr:uid="{44A431CA-1500-4BB1-AEC4-1357683A75BD}"/>
    <cellStyle name="40% - Accent1 2 3 8" xfId="9005" xr:uid="{83AF69B9-664F-4E19-B721-7989C2FEBC0C}"/>
    <cellStyle name="40% - Accent1 2 3 8 2" xfId="18329" xr:uid="{2B6472D0-2A01-4511-935C-CF5618424891}"/>
    <cellStyle name="40% - Accent1 2 3 9" xfId="9665" xr:uid="{534F41EA-29FB-4286-B684-E42AC50DDA0D}"/>
    <cellStyle name="40% - Accent1 2 4" xfId="619" xr:uid="{00000000-0005-0000-0000-0000FF030000}"/>
    <cellStyle name="40% - Accent1 2 4 2" xfId="2890" xr:uid="{00000000-0005-0000-0000-000000040000}"/>
    <cellStyle name="40% - Accent1 2 4 2 2" xfId="7112" xr:uid="{00000000-0005-0000-0000-000001040000}"/>
    <cellStyle name="40% - Accent1 2 4 2 2 2" xfId="16438" xr:uid="{73C827D2-08F7-408E-B1B4-623A56BEE973}"/>
    <cellStyle name="40% - Accent1 2 4 2 3" xfId="12221" xr:uid="{ED64FC21-6640-40DF-AA34-7BF22DFE049F}"/>
    <cellStyle name="40% - Accent1 2 4 3" xfId="4967" xr:uid="{00000000-0005-0000-0000-000002040000}"/>
    <cellStyle name="40% - Accent1 2 4 3 2" xfId="14293" xr:uid="{DC27439F-70CE-403F-80DD-7874C8058091}"/>
    <cellStyle name="40% - Accent1 2 4 4" xfId="9222" xr:uid="{A6B83122-AC98-4E58-AA4D-EC5ECC38FC6B}"/>
    <cellStyle name="40% - Accent1 2 4 4 2" xfId="18538" xr:uid="{6015ADAF-C89B-416B-B318-7ACB4B09997C}"/>
    <cellStyle name="40% - Accent1 2 4 5" xfId="10076" xr:uid="{057FF023-A1A0-475A-96BD-7B233965F267}"/>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51" xr:uid="{EBEE5316-ABA6-4363-B233-9BB11C769CAE}"/>
    <cellStyle name="40% - Accent1 2 5 2 3" xfId="12634" xr:uid="{EE81D23E-4769-4E5B-B39B-7DC6259FB9DF}"/>
    <cellStyle name="40% - Accent1 2 5 3" xfId="5380" xr:uid="{00000000-0005-0000-0000-000006040000}"/>
    <cellStyle name="40% - Accent1 2 5 3 2" xfId="14706" xr:uid="{ED8EED5A-D13D-42B6-88B4-637F68C5E256}"/>
    <cellStyle name="40% - Accent1 2 5 4" xfId="10489" xr:uid="{4CBF98F1-E61D-4E25-A6A7-01EB4246D9E9}"/>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64" xr:uid="{996B613C-6962-4389-A5DE-FCA72D16EF71}"/>
    <cellStyle name="40% - Accent1 2 6 2 3" xfId="13047" xr:uid="{5564533E-F041-4290-A545-0D0F9EEDD3B2}"/>
    <cellStyle name="40% - Accent1 2 6 3" xfId="5793" xr:uid="{00000000-0005-0000-0000-00000A040000}"/>
    <cellStyle name="40% - Accent1 2 6 3 2" xfId="15119" xr:uid="{C2D99749-AAE6-4649-B6F8-D11117918FE2}"/>
    <cellStyle name="40% - Accent1 2 6 4" xfId="10902" xr:uid="{286D65B9-44A8-49AC-BC10-325488CA0A00}"/>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77" xr:uid="{97167C5B-4383-4AA0-99D8-C0DDC0048BEA}"/>
    <cellStyle name="40% - Accent1 2 7 2 3" xfId="13460" xr:uid="{A098D16E-487E-4DD0-A6BF-ECEC284A533D}"/>
    <cellStyle name="40% - Accent1 2 7 3" xfId="6206" xr:uid="{00000000-0005-0000-0000-00000E040000}"/>
    <cellStyle name="40% - Accent1 2 7 3 2" xfId="15532" xr:uid="{7436A8B3-9853-41AA-8246-37034EA3E84D}"/>
    <cellStyle name="40% - Accent1 2 7 4" xfId="11315" xr:uid="{C2CD4A1B-F27B-4906-8AD8-17083F8BB885}"/>
    <cellStyle name="40% - Accent1 2 8" xfId="2313" xr:uid="{00000000-0005-0000-0000-00000F040000}"/>
    <cellStyle name="40% - Accent1 2 8 2" xfId="6619" xr:uid="{00000000-0005-0000-0000-000010040000}"/>
    <cellStyle name="40% - Accent1 2 8 2 2" xfId="15945" xr:uid="{A2B8EAC0-85A9-4E67-9C42-FFD89AB49F60}"/>
    <cellStyle name="40% - Accent1 2 8 3" xfId="11728" xr:uid="{3619969B-8004-4703-BEED-EA551EDD8955}"/>
    <cellStyle name="40% - Accent1 2 9" xfId="4553" xr:uid="{00000000-0005-0000-0000-000011040000}"/>
    <cellStyle name="40% - Accent1 2 9 2" xfId="13879" xr:uid="{32A9EC12-9516-4670-A731-7F125974CEB4}"/>
    <cellStyle name="40% - Accent1 3" xfId="54" xr:uid="{00000000-0005-0000-0000-000012040000}"/>
    <cellStyle name="40% - Accent1 3 10" xfId="9666" xr:uid="{1128C217-4B40-4FAF-9009-40151347397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443" xr:uid="{B9A9C23C-5BE6-4A74-A1E3-1CEAFFE82AC5}"/>
    <cellStyle name="40% - Accent1 3 2 2 2 3" xfId="12226" xr:uid="{791B5E6D-530B-4433-B55B-394F581C7EF3}"/>
    <cellStyle name="40% - Accent1 3 2 2 3" xfId="4972" xr:uid="{00000000-0005-0000-0000-000017040000}"/>
    <cellStyle name="40% - Accent1 3 2 2 3 2" xfId="14298" xr:uid="{CA2C26BF-3968-4A37-A455-0900F7AACC2C}"/>
    <cellStyle name="40% - Accent1 3 2 2 4" xfId="9494" xr:uid="{49092FA9-F337-44E8-98C8-15711B1C1558}"/>
    <cellStyle name="40% - Accent1 3 2 2 4 2" xfId="18809" xr:uid="{7A6F923B-ABFC-41B2-B046-AEA5590D3E9C}"/>
    <cellStyle name="40% - Accent1 3 2 2 5" xfId="10081" xr:uid="{DB283A88-B0D9-4953-ABC6-5393555743CC}"/>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56" xr:uid="{0D098217-8443-44FD-AF21-8E2FB4BDE16A}"/>
    <cellStyle name="40% - Accent1 3 2 3 2 3" xfId="12639" xr:uid="{2ED11A11-557A-4B8B-9B13-4539A0663E9F}"/>
    <cellStyle name="40% - Accent1 3 2 3 3" xfId="5385" xr:uid="{00000000-0005-0000-0000-00001B040000}"/>
    <cellStyle name="40% - Accent1 3 2 3 3 2" xfId="14711" xr:uid="{D7FDE478-2E96-4453-A3CF-E5C4C8D6150D}"/>
    <cellStyle name="40% - Accent1 3 2 3 4" xfId="10494" xr:uid="{ED1AC332-D8EB-4089-9EF8-3DC40ED8FDE5}"/>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69" xr:uid="{A292968F-6BCD-4DD4-86D3-CAD4F6ECE50A}"/>
    <cellStyle name="40% - Accent1 3 2 4 2 3" xfId="13052" xr:uid="{CAE9160D-12A9-46A9-BE93-0AEA4725A86C}"/>
    <cellStyle name="40% - Accent1 3 2 4 3" xfId="5798" xr:uid="{00000000-0005-0000-0000-00001F040000}"/>
    <cellStyle name="40% - Accent1 3 2 4 3 2" xfId="15124" xr:uid="{83C19BD7-0004-44DF-916D-84D08DED7D01}"/>
    <cellStyle name="40% - Accent1 3 2 4 4" xfId="10907" xr:uid="{F24D710A-5A8E-4D5F-8BB8-B86B2C5A2E42}"/>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82" xr:uid="{906742A0-4856-4119-897C-9159BE2CCDFE}"/>
    <cellStyle name="40% - Accent1 3 2 5 2 3" xfId="13465" xr:uid="{A132B423-96A4-4511-9A79-5DFD41837460}"/>
    <cellStyle name="40% - Accent1 3 2 5 3" xfId="6211" xr:uid="{00000000-0005-0000-0000-000023040000}"/>
    <cellStyle name="40% - Accent1 3 2 5 3 2" xfId="15537" xr:uid="{E6CACB7A-A868-441D-A54D-2AB0B5F26A67}"/>
    <cellStyle name="40% - Accent1 3 2 5 4" xfId="11320" xr:uid="{622DDB50-E94E-4AE8-9C90-70710C12EEE0}"/>
    <cellStyle name="40% - Accent1 3 2 6" xfId="2318" xr:uid="{00000000-0005-0000-0000-000024040000}"/>
    <cellStyle name="40% - Accent1 3 2 6 2" xfId="6624" xr:uid="{00000000-0005-0000-0000-000025040000}"/>
    <cellStyle name="40% - Accent1 3 2 6 2 2" xfId="15950" xr:uid="{F296F947-ED90-40FC-B015-4EB042E9603D}"/>
    <cellStyle name="40% - Accent1 3 2 6 3" xfId="11733" xr:uid="{D100F202-3E3C-4521-B3C5-4AAF9CDB075D}"/>
    <cellStyle name="40% - Accent1 3 2 7" xfId="4558" xr:uid="{00000000-0005-0000-0000-000026040000}"/>
    <cellStyle name="40% - Accent1 3 2 7 2" xfId="13884" xr:uid="{4B641E6E-1EF1-4EFE-BAC4-F715B840D587}"/>
    <cellStyle name="40% - Accent1 3 2 8" xfId="9069" xr:uid="{F3D9FD63-8946-4492-B81A-42936E8B246D}"/>
    <cellStyle name="40% - Accent1 3 2 8 2" xfId="18393" xr:uid="{C7BFE86D-9BA3-46BE-A7AE-4F4108AF48C1}"/>
    <cellStyle name="40% - Accent1 3 2 9" xfId="9667" xr:uid="{10E7E609-C3AF-4C94-A0C2-44908D4AE636}"/>
    <cellStyle name="40% - Accent1 3 3" xfId="623" xr:uid="{00000000-0005-0000-0000-000027040000}"/>
    <cellStyle name="40% - Accent1 3 3 2" xfId="2894" xr:uid="{00000000-0005-0000-0000-000028040000}"/>
    <cellStyle name="40% - Accent1 3 3 2 2" xfId="7116" xr:uid="{00000000-0005-0000-0000-000029040000}"/>
    <cellStyle name="40% - Accent1 3 3 2 2 2" xfId="16442" xr:uid="{2E0F0E20-ACF1-45CC-9276-9F2684B64CED}"/>
    <cellStyle name="40% - Accent1 3 3 2 3" xfId="12225" xr:uid="{81827727-A5A5-4C93-891E-95B0265F454A}"/>
    <cellStyle name="40% - Accent1 3 3 3" xfId="4971" xr:uid="{00000000-0005-0000-0000-00002A040000}"/>
    <cellStyle name="40% - Accent1 3 3 3 2" xfId="14297" xr:uid="{5068D731-021D-4D19-9BD3-DDABC4F334B5}"/>
    <cellStyle name="40% - Accent1 3 3 4" xfId="9287" xr:uid="{8C21B573-3D31-49DA-ACD8-D3EC7CC3A858}"/>
    <cellStyle name="40% - Accent1 3 3 4 2" xfId="18602" xr:uid="{C6FF758C-3605-4484-BFD2-8CDEDE88CE0D}"/>
    <cellStyle name="40% - Accent1 3 3 5" xfId="10080" xr:uid="{BB213C95-6353-473F-8701-652F85470853}"/>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55" xr:uid="{265AB29E-63DD-4580-ACDA-41DACA87546D}"/>
    <cellStyle name="40% - Accent1 3 4 2 3" xfId="12638" xr:uid="{01C7348D-ED2C-46F7-8D63-BFF9F268C2EF}"/>
    <cellStyle name="40% - Accent1 3 4 3" xfId="5384" xr:uid="{00000000-0005-0000-0000-00002E040000}"/>
    <cellStyle name="40% - Accent1 3 4 3 2" xfId="14710" xr:uid="{9331E789-E3EE-485F-9553-CCC26E9436AC}"/>
    <cellStyle name="40% - Accent1 3 4 4" xfId="10493" xr:uid="{11F11EF3-5C15-41DE-BE8A-947F0F9ED9BA}"/>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68" xr:uid="{3923800C-368E-485C-BB67-06D42ECAD230}"/>
    <cellStyle name="40% - Accent1 3 5 2 3" xfId="13051" xr:uid="{AD9D0644-3D64-4213-92E8-BF2A1F0B9707}"/>
    <cellStyle name="40% - Accent1 3 5 3" xfId="5797" xr:uid="{00000000-0005-0000-0000-000032040000}"/>
    <cellStyle name="40% - Accent1 3 5 3 2" xfId="15123" xr:uid="{8FB53195-3EA7-4672-B965-BE020BE47CFF}"/>
    <cellStyle name="40% - Accent1 3 5 4" xfId="10906" xr:uid="{226744DB-1D0D-47B4-8D7E-74DE97A8106B}"/>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81" xr:uid="{9E0CB42C-E8EE-4421-909E-F7F054297212}"/>
    <cellStyle name="40% - Accent1 3 6 2 3" xfId="13464" xr:uid="{7DCD219D-E4FF-4E33-A75E-B2E767E05511}"/>
    <cellStyle name="40% - Accent1 3 6 3" xfId="6210" xr:uid="{00000000-0005-0000-0000-000036040000}"/>
    <cellStyle name="40% - Accent1 3 6 3 2" xfId="15536" xr:uid="{78B35682-15C6-418D-8CBA-EFD3FED0A3E0}"/>
    <cellStyle name="40% - Accent1 3 6 4" xfId="11319" xr:uid="{B530B302-BEA7-4427-BFE3-42841723D263}"/>
    <cellStyle name="40% - Accent1 3 7" xfId="2317" xr:uid="{00000000-0005-0000-0000-000037040000}"/>
    <cellStyle name="40% - Accent1 3 7 2" xfId="6623" xr:uid="{00000000-0005-0000-0000-000038040000}"/>
    <cellStyle name="40% - Accent1 3 7 2 2" xfId="15949" xr:uid="{71B695D6-04F4-444A-ADF2-2193149C0821}"/>
    <cellStyle name="40% - Accent1 3 7 3" xfId="11732" xr:uid="{61A21D1F-3D91-43EB-AF30-7F4B3FAC3BB5}"/>
    <cellStyle name="40% - Accent1 3 8" xfId="4557" xr:uid="{00000000-0005-0000-0000-000039040000}"/>
    <cellStyle name="40% - Accent1 3 8 2" xfId="13883" xr:uid="{753997BE-C44A-452C-B94A-4177C15FB5B1}"/>
    <cellStyle name="40% - Accent1 3 9" xfId="8862" xr:uid="{2CC30516-31CA-485E-88BE-FCC7F9756A95}"/>
    <cellStyle name="40% - Accent1 3 9 2" xfId="18186" xr:uid="{6539BCB0-B88C-4A11-AF12-B96C81AE24CF}"/>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44" xr:uid="{AAFED657-6C56-4E4B-AEE1-B0B4EEF0221E}"/>
    <cellStyle name="40% - Accent1 4 2 2 3" xfId="12227" xr:uid="{0587617A-A4B2-4442-847E-BB24D09B9648}"/>
    <cellStyle name="40% - Accent1 4 2 3" xfId="4973" xr:uid="{00000000-0005-0000-0000-00003E040000}"/>
    <cellStyle name="40% - Accent1 4 2 3 2" xfId="14299" xr:uid="{5E34AD79-4731-4214-99EB-9FB8A47B9DE5}"/>
    <cellStyle name="40% - Accent1 4 2 4" xfId="9373" xr:uid="{3BC949C7-8F86-44EA-9F10-CF277586B131}"/>
    <cellStyle name="40% - Accent1 4 2 4 2" xfId="18688" xr:uid="{4947DDAB-E449-4641-87EF-AAD5B446D7EA}"/>
    <cellStyle name="40% - Accent1 4 2 5" xfId="10082" xr:uid="{EC477BAC-A901-48D4-96DC-B9097711A49C}"/>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57" xr:uid="{0433DBF1-7DFD-4EB0-8500-5D9F5328342A}"/>
    <cellStyle name="40% - Accent1 4 3 2 3" xfId="12640" xr:uid="{6E43D37A-D448-41E9-A993-712ED4B54EA5}"/>
    <cellStyle name="40% - Accent1 4 3 3" xfId="5386" xr:uid="{00000000-0005-0000-0000-000042040000}"/>
    <cellStyle name="40% - Accent1 4 3 3 2" xfId="14712" xr:uid="{34A9A2E3-1A8F-4139-95F5-3048CD8EC12E}"/>
    <cellStyle name="40% - Accent1 4 3 4" xfId="10495" xr:uid="{94BB93D3-EF7F-4EF8-BAA6-A25DFE5420C3}"/>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70" xr:uid="{3B0072B5-5E2E-46C3-B7C4-DFBE5E12934C}"/>
    <cellStyle name="40% - Accent1 4 4 2 3" xfId="13053" xr:uid="{4AAD9060-B1A4-4B89-8B5D-B0795DE056F7}"/>
    <cellStyle name="40% - Accent1 4 4 3" xfId="5799" xr:uid="{00000000-0005-0000-0000-000046040000}"/>
    <cellStyle name="40% - Accent1 4 4 3 2" xfId="15125" xr:uid="{C2E3A9B4-46DF-455D-833D-3DA67BA70CD7}"/>
    <cellStyle name="40% - Accent1 4 4 4" xfId="10908" xr:uid="{C5971BB2-9BB2-4484-B2F3-E7589A3FFADE}"/>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83" xr:uid="{11466EE6-2EDC-44C6-849D-FE64C3B681B5}"/>
    <cellStyle name="40% - Accent1 4 5 2 3" xfId="13466" xr:uid="{A1F77E7E-5F5A-4D02-9469-8E06794FDBC3}"/>
    <cellStyle name="40% - Accent1 4 5 3" xfId="6212" xr:uid="{00000000-0005-0000-0000-00004A040000}"/>
    <cellStyle name="40% - Accent1 4 5 3 2" xfId="15538" xr:uid="{AF3DFD98-E6A2-445C-9427-25C44CEF119C}"/>
    <cellStyle name="40% - Accent1 4 5 4" xfId="11321" xr:uid="{0FE0D757-D64E-4166-9B86-E79F2098F9FF}"/>
    <cellStyle name="40% - Accent1 4 6" xfId="2319" xr:uid="{00000000-0005-0000-0000-00004B040000}"/>
    <cellStyle name="40% - Accent1 4 6 2" xfId="6625" xr:uid="{00000000-0005-0000-0000-00004C040000}"/>
    <cellStyle name="40% - Accent1 4 6 2 2" xfId="15951" xr:uid="{0FDFC5BC-6D46-4952-A220-2C9269259DD3}"/>
    <cellStyle name="40% - Accent1 4 6 3" xfId="11734" xr:uid="{0CEF88E3-585B-44E0-BE59-1BECD6F186A0}"/>
    <cellStyle name="40% - Accent1 4 7" xfId="4559" xr:uid="{00000000-0005-0000-0000-00004D040000}"/>
    <cellStyle name="40% - Accent1 4 7 2" xfId="13885" xr:uid="{015AA39F-0F61-42A5-912C-6B325A846AB5}"/>
    <cellStyle name="40% - Accent1 4 8" xfId="8948" xr:uid="{7BCBB449-71B8-4468-A700-0125C7659C3D}"/>
    <cellStyle name="40% - Accent1 4 8 2" xfId="18272" xr:uid="{F25099F7-7138-40B1-A4AC-AA594FC67C00}"/>
    <cellStyle name="40% - Accent1 4 9" xfId="9668" xr:uid="{404B1C0E-7C57-48A0-9FD9-33CE9D9EDF84}"/>
    <cellStyle name="40% - Accent1 5" xfId="618" xr:uid="{00000000-0005-0000-0000-00004E040000}"/>
    <cellStyle name="40% - Accent1 5 2" xfId="2889" xr:uid="{00000000-0005-0000-0000-00004F040000}"/>
    <cellStyle name="40% - Accent1 5 2 2" xfId="7111" xr:uid="{00000000-0005-0000-0000-000050040000}"/>
    <cellStyle name="40% - Accent1 5 2 2 2" xfId="16437" xr:uid="{C0736D77-CD8A-4B02-AC38-461652BE5C9E}"/>
    <cellStyle name="40% - Accent1 5 2 3" xfId="12220" xr:uid="{97BC222D-0121-462B-B932-C344CE37B3FA}"/>
    <cellStyle name="40% - Accent1 5 3" xfId="4966" xr:uid="{00000000-0005-0000-0000-000051040000}"/>
    <cellStyle name="40% - Accent1 5 3 2" xfId="14292" xr:uid="{EC38AD83-1993-4CF8-8734-6209A75CAE00}"/>
    <cellStyle name="40% - Accent1 5 4" xfId="9181" xr:uid="{332DA761-F1AA-4FF3-9BBB-9ECEE19D2DFF}"/>
    <cellStyle name="40% - Accent1 5 4 2" xfId="18499" xr:uid="{22216CBE-F1FD-49F9-8858-7D23B19A3C2B}"/>
    <cellStyle name="40% - Accent1 5 5" xfId="10075" xr:uid="{20CE1273-58AD-48BB-B7FF-4D0B8149520D}"/>
    <cellStyle name="40% - Accent1 6" xfId="1071" xr:uid="{00000000-0005-0000-0000-000052040000}"/>
    <cellStyle name="40% - Accent1 6 2" xfId="3302" xr:uid="{00000000-0005-0000-0000-000053040000}"/>
    <cellStyle name="40% - Accent1 6 2 2" xfId="7524" xr:uid="{00000000-0005-0000-0000-000054040000}"/>
    <cellStyle name="40% - Accent1 6 2 2 2" xfId="16850" xr:uid="{EFA6AE7E-F13A-4151-A14C-FEEF2926546A}"/>
    <cellStyle name="40% - Accent1 6 2 3" xfId="12633" xr:uid="{798AB5F3-0D25-482A-92CD-8F649EE582C5}"/>
    <cellStyle name="40% - Accent1 6 3" xfId="5379" xr:uid="{00000000-0005-0000-0000-000055040000}"/>
    <cellStyle name="40% - Accent1 6 3 2" xfId="14705" xr:uid="{3E69C6AD-4E67-456C-B006-D587FA1951C0}"/>
    <cellStyle name="40% - Accent1 6 4" xfId="10488" xr:uid="{A6814F02-CE8C-47AC-88F2-48390F4B4100}"/>
    <cellStyle name="40% - Accent1 7" xfId="1485" xr:uid="{00000000-0005-0000-0000-000056040000}"/>
    <cellStyle name="40% - Accent1 7 2" xfId="3715" xr:uid="{00000000-0005-0000-0000-000057040000}"/>
    <cellStyle name="40% - Accent1 7 2 2" xfId="7937" xr:uid="{00000000-0005-0000-0000-000058040000}"/>
    <cellStyle name="40% - Accent1 7 2 2 2" xfId="17263" xr:uid="{29C5A7C8-C8B3-4B58-A62A-A5FC8AB71307}"/>
    <cellStyle name="40% - Accent1 7 2 3" xfId="13046" xr:uid="{7F392166-9D5C-45C2-A9C5-3C5ABA8529EF}"/>
    <cellStyle name="40% - Accent1 7 3" xfId="5792" xr:uid="{00000000-0005-0000-0000-000059040000}"/>
    <cellStyle name="40% - Accent1 7 3 2" xfId="15118" xr:uid="{D384E0EE-0C8E-497F-BE83-76103C2EA1F1}"/>
    <cellStyle name="40% - Accent1 7 4" xfId="10901" xr:uid="{B2CF131E-E874-4327-90EB-2193B7FC1DF5}"/>
    <cellStyle name="40% - Accent1 8" xfId="1899" xr:uid="{00000000-0005-0000-0000-00005A040000}"/>
    <cellStyle name="40% - Accent1 8 2" xfId="4128" xr:uid="{00000000-0005-0000-0000-00005B040000}"/>
    <cellStyle name="40% - Accent1 8 2 2" xfId="8350" xr:uid="{00000000-0005-0000-0000-00005C040000}"/>
    <cellStyle name="40% - Accent1 8 2 2 2" xfId="17676" xr:uid="{7AA92B48-4081-4168-9E79-0CF3579E2839}"/>
    <cellStyle name="40% - Accent1 8 2 3" xfId="13459" xr:uid="{6B138E84-CBBD-4E91-BEF2-D8B81B109D72}"/>
    <cellStyle name="40% - Accent1 8 3" xfId="6205" xr:uid="{00000000-0005-0000-0000-00005D040000}"/>
    <cellStyle name="40% - Accent1 8 3 2" xfId="15531" xr:uid="{160C6B97-D072-49BC-A254-F1512A23A3A7}"/>
    <cellStyle name="40% - Accent1 8 4" xfId="11314" xr:uid="{1F8027B9-259B-41FF-8113-9196B2A5F34F}"/>
    <cellStyle name="40% - Accent1 9" xfId="2312" xr:uid="{00000000-0005-0000-0000-00005E040000}"/>
    <cellStyle name="40% - Accent1 9 2" xfId="6618" xr:uid="{00000000-0005-0000-0000-00005F040000}"/>
    <cellStyle name="40% - Accent1 9 2 2" xfId="15944" xr:uid="{35A87296-982E-45E9-B582-4FCC972B10F0}"/>
    <cellStyle name="40% - Accent1 9 3" xfId="11727" xr:uid="{06416C7A-B18C-4E16-9654-7F2DB981E7DD}"/>
    <cellStyle name="40% - Accent2" xfId="57" builtinId="35" customBuiltin="1"/>
    <cellStyle name="40% - Accent2 10" xfId="4560" xr:uid="{00000000-0005-0000-0000-000061040000}"/>
    <cellStyle name="40% - Accent2 10 2" xfId="13886" xr:uid="{584B3567-CF83-49AE-A602-0318C05347F4}"/>
    <cellStyle name="40% - Accent2 11" xfId="8761" xr:uid="{8631D9D1-53DA-4958-8F7C-AD68B7B91D61}"/>
    <cellStyle name="40% - Accent2 11 2" xfId="18085" xr:uid="{DCF2A5A3-479B-45B6-8501-432809AEAF0C}"/>
    <cellStyle name="40% - Accent2 12" xfId="9669" xr:uid="{5DD48CE0-9268-459C-9DDD-27BEAF7EBB13}"/>
    <cellStyle name="40% - Accent2 2" xfId="58" xr:uid="{00000000-0005-0000-0000-000062040000}"/>
    <cellStyle name="40% - Accent2 2 10" xfId="8799" xr:uid="{E3EEC046-6E76-44A5-8D1B-64621A8F0AC5}"/>
    <cellStyle name="40% - Accent2 2 10 2" xfId="18123" xr:uid="{2F41CBAA-739E-4400-845A-BEEB0C8907F8}"/>
    <cellStyle name="40% - Accent2 2 11" xfId="9670" xr:uid="{EFC95691-3E6C-426F-A8B3-C7A3C6D7E607}"/>
    <cellStyle name="40% - Accent2 2 2" xfId="59" xr:uid="{00000000-0005-0000-0000-000063040000}"/>
    <cellStyle name="40% - Accent2 2 2 10" xfId="9671" xr:uid="{B0CDEAF7-BBA0-441A-84CF-D64087C143D2}"/>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48" xr:uid="{5D246B18-3FC1-44EA-A53F-C4930AFD98D1}"/>
    <cellStyle name="40% - Accent2 2 2 2 2 2 3" xfId="12231" xr:uid="{E020A57A-57E2-46F8-B1C5-858E08EE8E1F}"/>
    <cellStyle name="40% - Accent2 2 2 2 2 3" xfId="4977" xr:uid="{00000000-0005-0000-0000-000068040000}"/>
    <cellStyle name="40% - Accent2 2 2 2 2 3 2" xfId="14303" xr:uid="{CDD13B31-4797-4AF7-96DF-7E85A9519CD1}"/>
    <cellStyle name="40% - Accent2 2 2 2 2 4" xfId="9534" xr:uid="{9F53A086-33FC-422E-9DFF-72D04AC43949}"/>
    <cellStyle name="40% - Accent2 2 2 2 2 4 2" xfId="18849" xr:uid="{89C9F0D7-4847-4DEC-9E41-E3627A17EAF4}"/>
    <cellStyle name="40% - Accent2 2 2 2 2 5" xfId="10086" xr:uid="{6FD5330A-1D0A-44B1-BD09-63E1269B1705}"/>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61" xr:uid="{E4E451CC-2E05-4726-BC22-B2FA44E03D01}"/>
    <cellStyle name="40% - Accent2 2 2 2 3 2 3" xfId="12644" xr:uid="{8318AE08-D8D7-4CB8-B8B0-934ADC1EC3CD}"/>
    <cellStyle name="40% - Accent2 2 2 2 3 3" xfId="5390" xr:uid="{00000000-0005-0000-0000-00006C040000}"/>
    <cellStyle name="40% - Accent2 2 2 2 3 3 2" xfId="14716" xr:uid="{1F6B2A29-F37C-455B-A4E9-68A0823240B4}"/>
    <cellStyle name="40% - Accent2 2 2 2 3 4" xfId="10499" xr:uid="{A79C6678-8D51-4A10-AC2E-83B5CCBA6251}"/>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74" xr:uid="{B00744DE-2FE0-483C-BC57-8BFE6D3DF143}"/>
    <cellStyle name="40% - Accent2 2 2 2 4 2 3" xfId="13057" xr:uid="{5D755D43-776F-400F-8B30-41FB82901F71}"/>
    <cellStyle name="40% - Accent2 2 2 2 4 3" xfId="5803" xr:uid="{00000000-0005-0000-0000-000070040000}"/>
    <cellStyle name="40% - Accent2 2 2 2 4 3 2" xfId="15129" xr:uid="{02880E59-F9A7-4984-90E1-72CA01E24C7A}"/>
    <cellStyle name="40% - Accent2 2 2 2 4 4" xfId="10912" xr:uid="{A9D6F0F4-C618-433B-BDDB-A3FF991F0DD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87" xr:uid="{A2F94914-9A7E-49FA-8781-79673B5BE16D}"/>
    <cellStyle name="40% - Accent2 2 2 2 5 2 3" xfId="13470" xr:uid="{59B0F153-66D8-4772-A600-464B49393924}"/>
    <cellStyle name="40% - Accent2 2 2 2 5 3" xfId="6216" xr:uid="{00000000-0005-0000-0000-000074040000}"/>
    <cellStyle name="40% - Accent2 2 2 2 5 3 2" xfId="15542" xr:uid="{89FD2DE2-DC29-4C8F-9144-E4366053F1F2}"/>
    <cellStyle name="40% - Accent2 2 2 2 5 4" xfId="11325" xr:uid="{781A0FDB-7297-43B6-97A4-5D2B5A15C9BC}"/>
    <cellStyle name="40% - Accent2 2 2 2 6" xfId="2323" xr:uid="{00000000-0005-0000-0000-000075040000}"/>
    <cellStyle name="40% - Accent2 2 2 2 6 2" xfId="6629" xr:uid="{00000000-0005-0000-0000-000076040000}"/>
    <cellStyle name="40% - Accent2 2 2 2 6 2 2" xfId="15955" xr:uid="{181C386D-05FA-4ECF-83CE-7084E3E392DE}"/>
    <cellStyle name="40% - Accent2 2 2 2 6 3" xfId="11738" xr:uid="{23387EAE-7695-4F8A-88AC-2F7843656CA6}"/>
    <cellStyle name="40% - Accent2 2 2 2 7" xfId="4563" xr:uid="{00000000-0005-0000-0000-000077040000}"/>
    <cellStyle name="40% - Accent2 2 2 2 7 2" xfId="13889" xr:uid="{CD677E3F-1F90-4D1B-8A68-DC40408E8DE2}"/>
    <cellStyle name="40% - Accent2 2 2 2 8" xfId="9109" xr:uid="{73F0012D-4386-4224-BFB0-7DB1C0E98822}"/>
    <cellStyle name="40% - Accent2 2 2 2 8 2" xfId="18433" xr:uid="{1C1C806F-FBAD-45A7-A859-1785A4C1472F}"/>
    <cellStyle name="40% - Accent2 2 2 2 9" xfId="9672" xr:uid="{B1875E1F-467A-497D-88DD-7FB17D726387}"/>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47" xr:uid="{EEFF4C8F-008A-49ED-9964-5167A301D183}"/>
    <cellStyle name="40% - Accent2 2 2 3 2 3" xfId="12230" xr:uid="{C08A1FED-7110-4071-8A9B-F6743479D9F7}"/>
    <cellStyle name="40% - Accent2 2 2 3 3" xfId="4976" xr:uid="{00000000-0005-0000-0000-00007B040000}"/>
    <cellStyle name="40% - Accent2 2 2 3 3 2" xfId="14302" xr:uid="{13D779C5-E171-48CB-825F-D5E6D1FF1191}"/>
    <cellStyle name="40% - Accent2 2 2 3 4" xfId="9327" xr:uid="{F2BC9A12-B689-4B73-B71E-77A9F0BC7FE4}"/>
    <cellStyle name="40% - Accent2 2 2 3 4 2" xfId="18642" xr:uid="{1092538C-C544-40B7-8112-B8580B671E70}"/>
    <cellStyle name="40% - Accent2 2 2 3 5" xfId="10085" xr:uid="{EC3E72B9-15AB-4852-81E0-1B043F333C26}"/>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60" xr:uid="{479288DA-DFB1-4246-BD44-FE9F83C170F9}"/>
    <cellStyle name="40% - Accent2 2 2 4 2 3" xfId="12643" xr:uid="{6001A2A9-392C-4253-91D9-3E40309CF351}"/>
    <cellStyle name="40% - Accent2 2 2 4 3" xfId="5389" xr:uid="{00000000-0005-0000-0000-00007F040000}"/>
    <cellStyle name="40% - Accent2 2 2 4 3 2" xfId="14715" xr:uid="{9CCD9203-1AC9-4174-A0AC-2DE7397C2748}"/>
    <cellStyle name="40% - Accent2 2 2 4 4" xfId="10498" xr:uid="{646C9AF6-6AE5-4B24-908A-4714479175EC}"/>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73" xr:uid="{3EA7EA73-8063-477D-B512-34FE39766FDF}"/>
    <cellStyle name="40% - Accent2 2 2 5 2 3" xfId="13056" xr:uid="{069CA9E4-6BA0-46ED-B230-772AA313FB0B}"/>
    <cellStyle name="40% - Accent2 2 2 5 3" xfId="5802" xr:uid="{00000000-0005-0000-0000-000083040000}"/>
    <cellStyle name="40% - Accent2 2 2 5 3 2" xfId="15128" xr:uid="{8CD9E0C9-8277-4B61-9F72-0A9D0326ADAB}"/>
    <cellStyle name="40% - Accent2 2 2 5 4" xfId="10911" xr:uid="{BDA6F312-617D-4CE2-BFC1-53D9503BD7B2}"/>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86" xr:uid="{960BB72F-3305-4021-98BE-8625180E1C58}"/>
    <cellStyle name="40% - Accent2 2 2 6 2 3" xfId="13469" xr:uid="{A8675FEC-557E-4D39-BA9F-15A97CF87B3E}"/>
    <cellStyle name="40% - Accent2 2 2 6 3" xfId="6215" xr:uid="{00000000-0005-0000-0000-000087040000}"/>
    <cellStyle name="40% - Accent2 2 2 6 3 2" xfId="15541" xr:uid="{8417DDA3-ECB5-4CE7-A138-17FE345CA137}"/>
    <cellStyle name="40% - Accent2 2 2 6 4" xfId="11324" xr:uid="{F6C97732-5A71-4E7D-84D3-89E9E36ADB66}"/>
    <cellStyle name="40% - Accent2 2 2 7" xfId="2322" xr:uid="{00000000-0005-0000-0000-000088040000}"/>
    <cellStyle name="40% - Accent2 2 2 7 2" xfId="6628" xr:uid="{00000000-0005-0000-0000-000089040000}"/>
    <cellStyle name="40% - Accent2 2 2 7 2 2" xfId="15954" xr:uid="{2AB81147-C545-4A0D-804C-07CF6F9C8F95}"/>
    <cellStyle name="40% - Accent2 2 2 7 3" xfId="11737" xr:uid="{723A2A7C-197A-4DD3-851F-4E46CEC1A102}"/>
    <cellStyle name="40% - Accent2 2 2 8" xfId="4562" xr:uid="{00000000-0005-0000-0000-00008A040000}"/>
    <cellStyle name="40% - Accent2 2 2 8 2" xfId="13888" xr:uid="{AE74A96F-5284-44F6-9C45-8DFA76462526}"/>
    <cellStyle name="40% - Accent2 2 2 9" xfId="8902" xr:uid="{5D0C2022-B7A4-4DE2-895F-9E4BE510A7B9}"/>
    <cellStyle name="40% - Accent2 2 2 9 2" xfId="18226" xr:uid="{0D73F401-373E-45BF-B40E-116D75963DDF}"/>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49" xr:uid="{52385117-C899-4C6E-A2D1-D73D4792A4FA}"/>
    <cellStyle name="40% - Accent2 2 3 2 2 3" xfId="12232" xr:uid="{EE89A2D7-4E19-4183-A2B7-15D156AAA5D1}"/>
    <cellStyle name="40% - Accent2 2 3 2 3" xfId="4978" xr:uid="{00000000-0005-0000-0000-00008F040000}"/>
    <cellStyle name="40% - Accent2 2 3 2 3 2" xfId="14304" xr:uid="{E7C9816C-FF5D-4BEC-AF72-A2C2D22B4BE1}"/>
    <cellStyle name="40% - Accent2 2 3 2 4" xfId="9431" xr:uid="{BD4E3561-302E-4359-AAF3-4F2E007BC697}"/>
    <cellStyle name="40% - Accent2 2 3 2 4 2" xfId="18746" xr:uid="{95057F26-6348-4F97-9EAC-973CF33ADD47}"/>
    <cellStyle name="40% - Accent2 2 3 2 5" xfId="10087" xr:uid="{190C5B3C-9AD9-4799-846B-2F9BFCCF00FB}"/>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62" xr:uid="{71A2CB3B-83F6-4CC1-AA9E-F5A52A3787FD}"/>
    <cellStyle name="40% - Accent2 2 3 3 2 3" xfId="12645" xr:uid="{6545B8DA-7A01-43EC-B0B6-E985F9CEDD55}"/>
    <cellStyle name="40% - Accent2 2 3 3 3" xfId="5391" xr:uid="{00000000-0005-0000-0000-000093040000}"/>
    <cellStyle name="40% - Accent2 2 3 3 3 2" xfId="14717" xr:uid="{68AFBC06-0A81-43EE-8ABC-ADF031EB51AF}"/>
    <cellStyle name="40% - Accent2 2 3 3 4" xfId="10500" xr:uid="{1192644D-4C3E-408B-8205-A110A074B2AC}"/>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75" xr:uid="{F0791650-5543-4F44-ABC2-4362D58A527B}"/>
    <cellStyle name="40% - Accent2 2 3 4 2 3" xfId="13058" xr:uid="{151810FA-3E7B-426F-8556-373FCF2574F6}"/>
    <cellStyle name="40% - Accent2 2 3 4 3" xfId="5804" xr:uid="{00000000-0005-0000-0000-000097040000}"/>
    <cellStyle name="40% - Accent2 2 3 4 3 2" xfId="15130" xr:uid="{022985C8-AF77-474F-BDD4-A6431C21E40A}"/>
    <cellStyle name="40% - Accent2 2 3 4 4" xfId="10913" xr:uid="{638BCEC2-D9BF-4DE6-AB83-E3F074D5CA60}"/>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88" xr:uid="{11843B2B-DFE3-49A6-A941-ADF73A05562D}"/>
    <cellStyle name="40% - Accent2 2 3 5 2 3" xfId="13471" xr:uid="{F513AC77-A05E-444C-8864-C484F69ADDFA}"/>
    <cellStyle name="40% - Accent2 2 3 5 3" xfId="6217" xr:uid="{00000000-0005-0000-0000-00009B040000}"/>
    <cellStyle name="40% - Accent2 2 3 5 3 2" xfId="15543" xr:uid="{4B0D1AA9-BB1B-4BC2-9DC2-2E6089BA9668}"/>
    <cellStyle name="40% - Accent2 2 3 5 4" xfId="11326" xr:uid="{F941DAB6-99F7-4EC7-AD5D-229517EC7E0C}"/>
    <cellStyle name="40% - Accent2 2 3 6" xfId="2324" xr:uid="{00000000-0005-0000-0000-00009C040000}"/>
    <cellStyle name="40% - Accent2 2 3 6 2" xfId="6630" xr:uid="{00000000-0005-0000-0000-00009D040000}"/>
    <cellStyle name="40% - Accent2 2 3 6 2 2" xfId="15956" xr:uid="{9222B229-BFE3-47ED-A58A-6EE4401E06E7}"/>
    <cellStyle name="40% - Accent2 2 3 6 3" xfId="11739" xr:uid="{5FB8DCDD-3C05-4D1B-A8F3-52DE3BD7709B}"/>
    <cellStyle name="40% - Accent2 2 3 7" xfId="4564" xr:uid="{00000000-0005-0000-0000-00009E040000}"/>
    <cellStyle name="40% - Accent2 2 3 7 2" xfId="13890" xr:uid="{235B7FFA-FFF8-4F02-9981-4C7A353D28B1}"/>
    <cellStyle name="40% - Accent2 2 3 8" xfId="9006" xr:uid="{E6E89EA5-B76F-4FCC-89B9-DD4135B6364B}"/>
    <cellStyle name="40% - Accent2 2 3 8 2" xfId="18330" xr:uid="{7405A7B6-44D1-4BA8-A62C-ADF184997240}"/>
    <cellStyle name="40% - Accent2 2 3 9" xfId="9673" xr:uid="{A6A5D147-8A9F-4AA9-B5AD-0A7878E19FEF}"/>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46" xr:uid="{CE37E344-ABBE-49E0-8163-97D02A8A26B6}"/>
    <cellStyle name="40% - Accent2 2 4 2 3" xfId="12229" xr:uid="{5EB32E7B-B390-451B-BE64-9E39CF261622}"/>
    <cellStyle name="40% - Accent2 2 4 3" xfId="4975" xr:uid="{00000000-0005-0000-0000-0000A2040000}"/>
    <cellStyle name="40% - Accent2 2 4 3 2" xfId="14301" xr:uid="{DCF0557F-CD17-468B-ACE5-F77E4B47DA51}"/>
    <cellStyle name="40% - Accent2 2 4 4" xfId="9223" xr:uid="{FA9890B4-781A-4E4C-81EE-BC7448559828}"/>
    <cellStyle name="40% - Accent2 2 4 4 2" xfId="18539" xr:uid="{A83A22CD-4093-4CA0-8E0C-D0F0F65A2CEF}"/>
    <cellStyle name="40% - Accent2 2 4 5" xfId="10084" xr:uid="{2CA230A7-1487-45F0-AD29-EC3F53B14AF6}"/>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59" xr:uid="{E1311898-BEAA-4FF8-82BA-DEF144EA4D61}"/>
    <cellStyle name="40% - Accent2 2 5 2 3" xfId="12642" xr:uid="{6B2E933E-0898-47A1-99A7-A4E8DA19E1DD}"/>
    <cellStyle name="40% - Accent2 2 5 3" xfId="5388" xr:uid="{00000000-0005-0000-0000-0000A6040000}"/>
    <cellStyle name="40% - Accent2 2 5 3 2" xfId="14714" xr:uid="{0976B73F-D333-4EC5-8D80-4816E440E72F}"/>
    <cellStyle name="40% - Accent2 2 5 4" xfId="10497" xr:uid="{D2315222-47E5-4242-A5E4-A7A777072F05}"/>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72" xr:uid="{C2216AA9-1F2C-48F8-AD9A-AE17D1B17826}"/>
    <cellStyle name="40% - Accent2 2 6 2 3" xfId="13055" xr:uid="{E5B0537D-509F-4C8F-A73D-4F4EE8D868C4}"/>
    <cellStyle name="40% - Accent2 2 6 3" xfId="5801" xr:uid="{00000000-0005-0000-0000-0000AA040000}"/>
    <cellStyle name="40% - Accent2 2 6 3 2" xfId="15127" xr:uid="{89049936-B825-47FA-A04A-43078AF29640}"/>
    <cellStyle name="40% - Accent2 2 6 4" xfId="10910" xr:uid="{7A1E52DA-91E0-479F-9995-33CBCE49FEB1}"/>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85" xr:uid="{BCBBD4E3-776B-4ECB-83B0-4C4ACD5E2E64}"/>
    <cellStyle name="40% - Accent2 2 7 2 3" xfId="13468" xr:uid="{7665A9A6-54D6-4D33-BC07-0AD308C2C0A4}"/>
    <cellStyle name="40% - Accent2 2 7 3" xfId="6214" xr:uid="{00000000-0005-0000-0000-0000AE040000}"/>
    <cellStyle name="40% - Accent2 2 7 3 2" xfId="15540" xr:uid="{4C4B6766-2DE5-4C40-8A02-D24253616872}"/>
    <cellStyle name="40% - Accent2 2 7 4" xfId="11323" xr:uid="{899C3BAC-56AE-4A22-8096-B431BFB46942}"/>
    <cellStyle name="40% - Accent2 2 8" xfId="2321" xr:uid="{00000000-0005-0000-0000-0000AF040000}"/>
    <cellStyle name="40% - Accent2 2 8 2" xfId="6627" xr:uid="{00000000-0005-0000-0000-0000B0040000}"/>
    <cellStyle name="40% - Accent2 2 8 2 2" xfId="15953" xr:uid="{C4817116-23F6-42B8-B026-F5C5938FF9C6}"/>
    <cellStyle name="40% - Accent2 2 8 3" xfId="11736" xr:uid="{63A571B0-D0D6-437D-A7F0-C7997A50B530}"/>
    <cellStyle name="40% - Accent2 2 9" xfId="4561" xr:uid="{00000000-0005-0000-0000-0000B1040000}"/>
    <cellStyle name="40% - Accent2 2 9 2" xfId="13887" xr:uid="{30D5566E-A267-45B2-A963-0E6FDB00D092}"/>
    <cellStyle name="40% - Accent2 3" xfId="62" xr:uid="{00000000-0005-0000-0000-0000B2040000}"/>
    <cellStyle name="40% - Accent2 3 10" xfId="9674" xr:uid="{C0FA85A6-B4A9-4EDD-884F-C6FDA11DAB5B}"/>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51" xr:uid="{911DF7C1-F90B-49B4-B8B8-12BB67FCA8F8}"/>
    <cellStyle name="40% - Accent2 3 2 2 2 3" xfId="12234" xr:uid="{73E52632-1F31-4C92-AE0F-7B9CD1FF744B}"/>
    <cellStyle name="40% - Accent2 3 2 2 3" xfId="4980" xr:uid="{00000000-0005-0000-0000-0000B7040000}"/>
    <cellStyle name="40% - Accent2 3 2 2 3 2" xfId="14306" xr:uid="{5B3FCEDD-B3EA-4A9F-BD3F-CBAA1CF851D0}"/>
    <cellStyle name="40% - Accent2 3 2 2 4" xfId="9496" xr:uid="{700FA1AF-D943-4FDB-BFB1-F903AD1F731A}"/>
    <cellStyle name="40% - Accent2 3 2 2 4 2" xfId="18811" xr:uid="{69B2C778-6A91-4FD4-9F03-1DAD299DDADB}"/>
    <cellStyle name="40% - Accent2 3 2 2 5" xfId="10089" xr:uid="{47528DBC-E2CD-41F3-83CD-DBB5A521237A}"/>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64" xr:uid="{ABA47329-3933-47D4-BD85-1CA8CC804EE7}"/>
    <cellStyle name="40% - Accent2 3 2 3 2 3" xfId="12647" xr:uid="{273203EC-779C-4B58-A2E4-44F6A9EEE24B}"/>
    <cellStyle name="40% - Accent2 3 2 3 3" xfId="5393" xr:uid="{00000000-0005-0000-0000-0000BB040000}"/>
    <cellStyle name="40% - Accent2 3 2 3 3 2" xfId="14719" xr:uid="{063AAB98-2832-4811-9423-EF49A74DFCFE}"/>
    <cellStyle name="40% - Accent2 3 2 3 4" xfId="10502" xr:uid="{A2524521-3418-4737-98E5-48A3E989E9C3}"/>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77" xr:uid="{3FC621E1-4D2A-49F7-AFB0-BE9737B60685}"/>
    <cellStyle name="40% - Accent2 3 2 4 2 3" xfId="13060" xr:uid="{67992EDF-2AB7-40A1-A61C-17F2CE4EE864}"/>
    <cellStyle name="40% - Accent2 3 2 4 3" xfId="5806" xr:uid="{00000000-0005-0000-0000-0000BF040000}"/>
    <cellStyle name="40% - Accent2 3 2 4 3 2" xfId="15132" xr:uid="{2550DCBD-7759-4573-96EC-29F0F4AA54B7}"/>
    <cellStyle name="40% - Accent2 3 2 4 4" xfId="10915" xr:uid="{3DDE579F-5506-4E26-B463-683D5182CF22}"/>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90" xr:uid="{05B9840A-938D-4DC8-B188-06EE74C4A23C}"/>
    <cellStyle name="40% - Accent2 3 2 5 2 3" xfId="13473" xr:uid="{62A25308-8D99-49D1-829E-E9C9A6F5CBE1}"/>
    <cellStyle name="40% - Accent2 3 2 5 3" xfId="6219" xr:uid="{00000000-0005-0000-0000-0000C3040000}"/>
    <cellStyle name="40% - Accent2 3 2 5 3 2" xfId="15545" xr:uid="{5746BCA4-C509-4CF1-832E-F8C60B33AA72}"/>
    <cellStyle name="40% - Accent2 3 2 5 4" xfId="11328" xr:uid="{623971A3-7D0F-432D-B0D4-073754053B43}"/>
    <cellStyle name="40% - Accent2 3 2 6" xfId="2326" xr:uid="{00000000-0005-0000-0000-0000C4040000}"/>
    <cellStyle name="40% - Accent2 3 2 6 2" xfId="6632" xr:uid="{00000000-0005-0000-0000-0000C5040000}"/>
    <cellStyle name="40% - Accent2 3 2 6 2 2" xfId="15958" xr:uid="{8C35E5C8-3882-4BED-AF14-81E59CA0FB01}"/>
    <cellStyle name="40% - Accent2 3 2 6 3" xfId="11741" xr:uid="{96274373-B258-44B7-9870-24D04D28B93A}"/>
    <cellStyle name="40% - Accent2 3 2 7" xfId="4566" xr:uid="{00000000-0005-0000-0000-0000C6040000}"/>
    <cellStyle name="40% - Accent2 3 2 7 2" xfId="13892" xr:uid="{A8F87FAA-04DE-4EB0-AEEA-A5F07B92FED5}"/>
    <cellStyle name="40% - Accent2 3 2 8" xfId="9071" xr:uid="{B5463F05-11FC-4377-B380-DDB549C63AA9}"/>
    <cellStyle name="40% - Accent2 3 2 8 2" xfId="18395" xr:uid="{E481F65F-3A8C-4604-B799-CD055EA8E9EA}"/>
    <cellStyle name="40% - Accent2 3 2 9" xfId="9675" xr:uid="{89CE5ED6-A8A5-4C43-8DD8-CE4D57801640}"/>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50" xr:uid="{6D2976C3-615F-422A-8AFD-AC54C777945B}"/>
    <cellStyle name="40% - Accent2 3 3 2 3" xfId="12233" xr:uid="{0BA3A4B2-D649-4C03-A54E-54B7D4D45BA3}"/>
    <cellStyle name="40% - Accent2 3 3 3" xfId="4979" xr:uid="{00000000-0005-0000-0000-0000CA040000}"/>
    <cellStyle name="40% - Accent2 3 3 3 2" xfId="14305" xr:uid="{3E49A75F-4387-4E8E-9805-39641459F1CF}"/>
    <cellStyle name="40% - Accent2 3 3 4" xfId="9289" xr:uid="{B234EB9F-4AFE-41A2-A17D-ABC1D0F80875}"/>
    <cellStyle name="40% - Accent2 3 3 4 2" xfId="18604" xr:uid="{642E48B3-EEAF-4B13-9F8D-15B0EE3085CD}"/>
    <cellStyle name="40% - Accent2 3 3 5" xfId="10088" xr:uid="{AF55B58F-D769-49CD-A773-7507A11B7C75}"/>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63" xr:uid="{411A61AB-CEC1-4658-8B71-A161B10C026C}"/>
    <cellStyle name="40% - Accent2 3 4 2 3" xfId="12646" xr:uid="{D51DE1AC-ACF6-4880-A6C2-741D92710CE0}"/>
    <cellStyle name="40% - Accent2 3 4 3" xfId="5392" xr:uid="{00000000-0005-0000-0000-0000CE040000}"/>
    <cellStyle name="40% - Accent2 3 4 3 2" xfId="14718" xr:uid="{5016FBA6-F792-4958-BC1D-E7D9505D2F04}"/>
    <cellStyle name="40% - Accent2 3 4 4" xfId="10501" xr:uid="{29F8C5AD-B4B6-4BE8-9D78-977F50406496}"/>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76" xr:uid="{5CC0C517-8415-443E-923B-00E9046AE8DC}"/>
    <cellStyle name="40% - Accent2 3 5 2 3" xfId="13059" xr:uid="{1ACBEF3D-0BE4-4450-BD06-662C3FDC4A83}"/>
    <cellStyle name="40% - Accent2 3 5 3" xfId="5805" xr:uid="{00000000-0005-0000-0000-0000D2040000}"/>
    <cellStyle name="40% - Accent2 3 5 3 2" xfId="15131" xr:uid="{CF804F08-901B-4D7A-9BFC-DFE0FCEEC5ED}"/>
    <cellStyle name="40% - Accent2 3 5 4" xfId="10914" xr:uid="{41E813C8-9220-41F9-B7D1-A7612FA24EDE}"/>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89" xr:uid="{92442696-3202-4353-925F-2C98C6A93C5C}"/>
    <cellStyle name="40% - Accent2 3 6 2 3" xfId="13472" xr:uid="{B19BC3FA-5633-4464-9B1A-6842E14B0E12}"/>
    <cellStyle name="40% - Accent2 3 6 3" xfId="6218" xr:uid="{00000000-0005-0000-0000-0000D6040000}"/>
    <cellStyle name="40% - Accent2 3 6 3 2" xfId="15544" xr:uid="{E949A50A-6BCA-467D-956E-2DEA3EAEC82B}"/>
    <cellStyle name="40% - Accent2 3 6 4" xfId="11327" xr:uid="{0A3F80A0-9759-441F-9531-E43BAFA9BAB9}"/>
    <cellStyle name="40% - Accent2 3 7" xfId="2325" xr:uid="{00000000-0005-0000-0000-0000D7040000}"/>
    <cellStyle name="40% - Accent2 3 7 2" xfId="6631" xr:uid="{00000000-0005-0000-0000-0000D8040000}"/>
    <cellStyle name="40% - Accent2 3 7 2 2" xfId="15957" xr:uid="{544425FE-F500-481B-8875-BED321E79C45}"/>
    <cellStyle name="40% - Accent2 3 7 3" xfId="11740" xr:uid="{6E31131D-DA01-4571-91C9-6BCF49FBE74E}"/>
    <cellStyle name="40% - Accent2 3 8" xfId="4565" xr:uid="{00000000-0005-0000-0000-0000D9040000}"/>
    <cellStyle name="40% - Accent2 3 8 2" xfId="13891" xr:uid="{0D0BA3E7-0024-4EDA-8E23-8C29A533F57A}"/>
    <cellStyle name="40% - Accent2 3 9" xfId="8864" xr:uid="{311EF031-8CA9-4ACC-8705-6D408E1B50DB}"/>
    <cellStyle name="40% - Accent2 3 9 2" xfId="18188" xr:uid="{B5184503-2CF8-4612-ACCC-A201C06FC23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52" xr:uid="{6F76B3CC-6097-4C35-A87B-82AFC9A13193}"/>
    <cellStyle name="40% - Accent2 4 2 2 3" xfId="12235" xr:uid="{01754810-F0D1-4DA4-90DA-1EAB31676BB4}"/>
    <cellStyle name="40% - Accent2 4 2 3" xfId="4981" xr:uid="{00000000-0005-0000-0000-0000DE040000}"/>
    <cellStyle name="40% - Accent2 4 2 3 2" xfId="14307" xr:uid="{0C57BB32-45DF-4328-8BF7-594F1B8ACCD6}"/>
    <cellStyle name="40% - Accent2 4 2 4" xfId="9375" xr:uid="{E0F8B4F7-419E-40A5-89E1-F3F0DF6ADFF8}"/>
    <cellStyle name="40% - Accent2 4 2 4 2" xfId="18690" xr:uid="{BC62C419-9324-4D21-9BF3-A68934F99F04}"/>
    <cellStyle name="40% - Accent2 4 2 5" xfId="10090" xr:uid="{AEA284A8-4914-4A3B-90B0-77C5C4AD6610}"/>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65" xr:uid="{FD43E2E8-3627-4F72-A2DD-A07C63FB0F62}"/>
    <cellStyle name="40% - Accent2 4 3 2 3" xfId="12648" xr:uid="{C421F8EF-E443-4FF4-8A98-7E7917A63E50}"/>
    <cellStyle name="40% - Accent2 4 3 3" xfId="5394" xr:uid="{00000000-0005-0000-0000-0000E2040000}"/>
    <cellStyle name="40% - Accent2 4 3 3 2" xfId="14720" xr:uid="{72FB1B47-092A-4079-B646-1705B656D52B}"/>
    <cellStyle name="40% - Accent2 4 3 4" xfId="10503" xr:uid="{29B6F67C-C0B5-49D7-8ECF-817931CEDEBE}"/>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78" xr:uid="{8FE4B660-3E54-4A3B-987E-E6296ADD423C}"/>
    <cellStyle name="40% - Accent2 4 4 2 3" xfId="13061" xr:uid="{56308DCD-6604-4AEF-B14D-25471ED3759C}"/>
    <cellStyle name="40% - Accent2 4 4 3" xfId="5807" xr:uid="{00000000-0005-0000-0000-0000E6040000}"/>
    <cellStyle name="40% - Accent2 4 4 3 2" xfId="15133" xr:uid="{32BCD8B4-7E42-4ADF-91D3-977FFAAF9EA0}"/>
    <cellStyle name="40% - Accent2 4 4 4" xfId="10916" xr:uid="{E06DA92A-E462-4F1E-895F-5B28364BF4F8}"/>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91" xr:uid="{9809FC24-DB3B-468D-A686-CCDCCC3BA168}"/>
    <cellStyle name="40% - Accent2 4 5 2 3" xfId="13474" xr:uid="{B95C284E-85D0-46AB-9EEC-06652116825B}"/>
    <cellStyle name="40% - Accent2 4 5 3" xfId="6220" xr:uid="{00000000-0005-0000-0000-0000EA040000}"/>
    <cellStyle name="40% - Accent2 4 5 3 2" xfId="15546" xr:uid="{A0A8CA28-CD8B-4AAF-ACCE-1DAEB156F660}"/>
    <cellStyle name="40% - Accent2 4 5 4" xfId="11329" xr:uid="{923FDA60-7791-4643-AFFE-49A52582F431}"/>
    <cellStyle name="40% - Accent2 4 6" xfId="2327" xr:uid="{00000000-0005-0000-0000-0000EB040000}"/>
    <cellStyle name="40% - Accent2 4 6 2" xfId="6633" xr:uid="{00000000-0005-0000-0000-0000EC040000}"/>
    <cellStyle name="40% - Accent2 4 6 2 2" xfId="15959" xr:uid="{3BAE6495-E5C9-4E3E-ADC8-A8E16E021032}"/>
    <cellStyle name="40% - Accent2 4 6 3" xfId="11742" xr:uid="{831A1816-0F21-4F9F-938D-CD38F158E890}"/>
    <cellStyle name="40% - Accent2 4 7" xfId="4567" xr:uid="{00000000-0005-0000-0000-0000ED040000}"/>
    <cellStyle name="40% - Accent2 4 7 2" xfId="13893" xr:uid="{6D6EBAF5-A6E7-43F0-8C11-F5454E800BAF}"/>
    <cellStyle name="40% - Accent2 4 8" xfId="8950" xr:uid="{02FCA414-0598-4779-8636-7B176A3552C0}"/>
    <cellStyle name="40% - Accent2 4 8 2" xfId="18274" xr:uid="{E30C81FF-0B8D-4D4A-B309-E6CA31589E56}"/>
    <cellStyle name="40% - Accent2 4 9" xfId="9676" xr:uid="{6ED89C5A-B593-48FA-B579-4FF151E2711A}"/>
    <cellStyle name="40% - Accent2 5" xfId="626" xr:uid="{00000000-0005-0000-0000-0000EE040000}"/>
    <cellStyle name="40% - Accent2 5 2" xfId="2897" xr:uid="{00000000-0005-0000-0000-0000EF040000}"/>
    <cellStyle name="40% - Accent2 5 2 2" xfId="7119" xr:uid="{00000000-0005-0000-0000-0000F0040000}"/>
    <cellStyle name="40% - Accent2 5 2 2 2" xfId="16445" xr:uid="{2E460307-C83F-4508-84D9-6D9EFF6B8D2C}"/>
    <cellStyle name="40% - Accent2 5 2 3" xfId="12228" xr:uid="{46D717AE-0CA1-458A-B325-360943BA7CD5}"/>
    <cellStyle name="40% - Accent2 5 3" xfId="4974" xr:uid="{00000000-0005-0000-0000-0000F1040000}"/>
    <cellStyle name="40% - Accent2 5 3 2" xfId="14300" xr:uid="{96F67B73-028D-48E0-A192-2E06AB5CE596}"/>
    <cellStyle name="40% - Accent2 5 4" xfId="9183" xr:uid="{071EDB8E-9FD1-4063-BCEF-70B734E5ECF1}"/>
    <cellStyle name="40% - Accent2 5 4 2" xfId="18501" xr:uid="{BA7C1420-A1F9-40EE-ABD8-8AF236CCDED4}"/>
    <cellStyle name="40% - Accent2 5 5" xfId="10083" xr:uid="{FBA05177-94DC-4387-9DCA-3518AB1E34F3}"/>
    <cellStyle name="40% - Accent2 6" xfId="1079" xr:uid="{00000000-0005-0000-0000-0000F2040000}"/>
    <cellStyle name="40% - Accent2 6 2" xfId="3310" xr:uid="{00000000-0005-0000-0000-0000F3040000}"/>
    <cellStyle name="40% - Accent2 6 2 2" xfId="7532" xr:uid="{00000000-0005-0000-0000-0000F4040000}"/>
    <cellStyle name="40% - Accent2 6 2 2 2" xfId="16858" xr:uid="{434D2B0D-5E74-417A-8455-80FCF939C00F}"/>
    <cellStyle name="40% - Accent2 6 2 3" xfId="12641" xr:uid="{67F44C99-8058-476F-ADB2-75B6F4F05362}"/>
    <cellStyle name="40% - Accent2 6 3" xfId="5387" xr:uid="{00000000-0005-0000-0000-0000F5040000}"/>
    <cellStyle name="40% - Accent2 6 3 2" xfId="14713" xr:uid="{D2EC456B-5250-4B95-9A38-5468735860A7}"/>
    <cellStyle name="40% - Accent2 6 4" xfId="10496" xr:uid="{F8E8B760-E5D2-4B5D-8C2A-A7D4B34BFAD6}"/>
    <cellStyle name="40% - Accent2 7" xfId="1493" xr:uid="{00000000-0005-0000-0000-0000F6040000}"/>
    <cellStyle name="40% - Accent2 7 2" xfId="3723" xr:uid="{00000000-0005-0000-0000-0000F7040000}"/>
    <cellStyle name="40% - Accent2 7 2 2" xfId="7945" xr:uid="{00000000-0005-0000-0000-0000F8040000}"/>
    <cellStyle name="40% - Accent2 7 2 2 2" xfId="17271" xr:uid="{B85F78BC-31F7-4DE8-82A6-2F52BCC1FEFA}"/>
    <cellStyle name="40% - Accent2 7 2 3" xfId="13054" xr:uid="{AD9A99F5-B166-4867-B61F-0FBD865C4D5D}"/>
    <cellStyle name="40% - Accent2 7 3" xfId="5800" xr:uid="{00000000-0005-0000-0000-0000F9040000}"/>
    <cellStyle name="40% - Accent2 7 3 2" xfId="15126" xr:uid="{E4BEF690-084A-4BF1-95D0-AEFC022744C4}"/>
    <cellStyle name="40% - Accent2 7 4" xfId="10909" xr:uid="{45A26487-6EA1-41AE-9CAC-EBD677E93BE2}"/>
    <cellStyle name="40% - Accent2 8" xfId="1907" xr:uid="{00000000-0005-0000-0000-0000FA040000}"/>
    <cellStyle name="40% - Accent2 8 2" xfId="4136" xr:uid="{00000000-0005-0000-0000-0000FB040000}"/>
    <cellStyle name="40% - Accent2 8 2 2" xfId="8358" xr:uid="{00000000-0005-0000-0000-0000FC040000}"/>
    <cellStyle name="40% - Accent2 8 2 2 2" xfId="17684" xr:uid="{501F6D9F-3D56-4953-AE00-BE36E88EAC78}"/>
    <cellStyle name="40% - Accent2 8 2 3" xfId="13467" xr:uid="{FFCE63C0-6FF9-4329-8C41-01A42CC80088}"/>
    <cellStyle name="40% - Accent2 8 3" xfId="6213" xr:uid="{00000000-0005-0000-0000-0000FD040000}"/>
    <cellStyle name="40% - Accent2 8 3 2" xfId="15539" xr:uid="{28AD841B-C0F0-43F0-B015-92546E65281C}"/>
    <cellStyle name="40% - Accent2 8 4" xfId="11322" xr:uid="{F5A03B35-244B-4CC3-B683-601DFD0A6C34}"/>
    <cellStyle name="40% - Accent2 9" xfId="2320" xr:uid="{00000000-0005-0000-0000-0000FE040000}"/>
    <cellStyle name="40% - Accent2 9 2" xfId="6626" xr:uid="{00000000-0005-0000-0000-0000FF040000}"/>
    <cellStyle name="40% - Accent2 9 2 2" xfId="15952" xr:uid="{64E5E7B1-EEBC-40E5-B36B-619AB0D739A4}"/>
    <cellStyle name="40% - Accent2 9 3" xfId="11735" xr:uid="{29357CDE-6316-4DD0-959D-00DDE039864C}"/>
    <cellStyle name="40% - Accent3" xfId="65" builtinId="39" customBuiltin="1"/>
    <cellStyle name="40% - Accent3 10" xfId="4568" xr:uid="{00000000-0005-0000-0000-000001050000}"/>
    <cellStyle name="40% - Accent3 10 2" xfId="13894" xr:uid="{D6A7F7CA-247D-4C9F-B6E2-0F933E680BEF}"/>
    <cellStyle name="40% - Accent3 11" xfId="8763" xr:uid="{CEFBFA85-5B68-4AEB-BF0D-8E604938B05F}"/>
    <cellStyle name="40% - Accent3 11 2" xfId="18087" xr:uid="{F082FBFC-0E66-4083-B916-80FBF31825A8}"/>
    <cellStyle name="40% - Accent3 12" xfId="9677" xr:uid="{4C774D3D-4A75-4A58-8186-F1083B92EFE9}"/>
    <cellStyle name="40% - Accent3 2" xfId="66" xr:uid="{00000000-0005-0000-0000-000002050000}"/>
    <cellStyle name="40% - Accent3 2 10" xfId="8800" xr:uid="{00FF2AAD-7D96-45B5-8981-0BB923A3505B}"/>
    <cellStyle name="40% - Accent3 2 10 2" xfId="18124" xr:uid="{D8C9E6A6-E8F2-4D21-B6A1-7498D19250F5}"/>
    <cellStyle name="40% - Accent3 2 11" xfId="9678" xr:uid="{45563F9F-D425-4279-A0BA-96D9ADE319E0}"/>
    <cellStyle name="40% - Accent3 2 2" xfId="67" xr:uid="{00000000-0005-0000-0000-000003050000}"/>
    <cellStyle name="40% - Accent3 2 2 10" xfId="9679" xr:uid="{678ADC06-C873-450A-84B8-36701DF10D9D}"/>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56" xr:uid="{F7BFCA65-0E93-4CD8-B454-7A476A8C0209}"/>
    <cellStyle name="40% - Accent3 2 2 2 2 2 3" xfId="12239" xr:uid="{FE51D597-6C44-44A0-9854-E563337AE532}"/>
    <cellStyle name="40% - Accent3 2 2 2 2 3" xfId="4985" xr:uid="{00000000-0005-0000-0000-000008050000}"/>
    <cellStyle name="40% - Accent3 2 2 2 2 3 2" xfId="14311" xr:uid="{B9BB38F1-7572-48DF-95D9-1926A1DBC7F3}"/>
    <cellStyle name="40% - Accent3 2 2 2 2 4" xfId="9535" xr:uid="{3AC66435-D4C7-42EF-A799-3DC81A57BDF4}"/>
    <cellStyle name="40% - Accent3 2 2 2 2 4 2" xfId="18850" xr:uid="{68597B41-E05E-4A01-80D7-020BECAEF3EC}"/>
    <cellStyle name="40% - Accent3 2 2 2 2 5" xfId="10094" xr:uid="{8D6E1E7B-C547-44C4-921B-9C31E7569656}"/>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69" xr:uid="{E5B1AD01-1A6C-4C29-90A0-4ECADD832656}"/>
    <cellStyle name="40% - Accent3 2 2 2 3 2 3" xfId="12652" xr:uid="{AB5162C7-5506-47A3-8F7F-8D50615F5F2B}"/>
    <cellStyle name="40% - Accent3 2 2 2 3 3" xfId="5398" xr:uid="{00000000-0005-0000-0000-00000C050000}"/>
    <cellStyle name="40% - Accent3 2 2 2 3 3 2" xfId="14724" xr:uid="{567A275D-023C-4A83-B59B-7AFC0D2C4D1D}"/>
    <cellStyle name="40% - Accent3 2 2 2 3 4" xfId="10507" xr:uid="{D6D480C7-03E8-41CB-B629-9157E1D7670A}"/>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82" xr:uid="{FC7447DE-A7C9-4B17-A2AA-DB753C130CAE}"/>
    <cellStyle name="40% - Accent3 2 2 2 4 2 3" xfId="13065" xr:uid="{60684EF0-9B04-4527-BABE-CCE6C519D505}"/>
    <cellStyle name="40% - Accent3 2 2 2 4 3" xfId="5811" xr:uid="{00000000-0005-0000-0000-000010050000}"/>
    <cellStyle name="40% - Accent3 2 2 2 4 3 2" xfId="15137" xr:uid="{63E07196-1597-42B6-8E96-C08492068541}"/>
    <cellStyle name="40% - Accent3 2 2 2 4 4" xfId="10920" xr:uid="{29365B55-E43D-404B-9611-D4680ADFC526}"/>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95" xr:uid="{851B382B-31BC-4D4C-B1B4-C8CAC3B9BA60}"/>
    <cellStyle name="40% - Accent3 2 2 2 5 2 3" xfId="13478" xr:uid="{C011EECF-2E60-4EC0-8DCB-C61BB648CBA9}"/>
    <cellStyle name="40% - Accent3 2 2 2 5 3" xfId="6224" xr:uid="{00000000-0005-0000-0000-000014050000}"/>
    <cellStyle name="40% - Accent3 2 2 2 5 3 2" xfId="15550" xr:uid="{8758F067-061B-4A04-A22D-4AA471A22A38}"/>
    <cellStyle name="40% - Accent3 2 2 2 5 4" xfId="11333" xr:uid="{4B63E17A-9247-4D9B-88DA-9792F77634FE}"/>
    <cellStyle name="40% - Accent3 2 2 2 6" xfId="2331" xr:uid="{00000000-0005-0000-0000-000015050000}"/>
    <cellStyle name="40% - Accent3 2 2 2 6 2" xfId="6637" xr:uid="{00000000-0005-0000-0000-000016050000}"/>
    <cellStyle name="40% - Accent3 2 2 2 6 2 2" xfId="15963" xr:uid="{85A370E3-65CC-45AB-B143-0C99FCFDE7E8}"/>
    <cellStyle name="40% - Accent3 2 2 2 6 3" xfId="11746" xr:uid="{BFDCFF44-9B02-48D6-8705-94085D404241}"/>
    <cellStyle name="40% - Accent3 2 2 2 7" xfId="4571" xr:uid="{00000000-0005-0000-0000-000017050000}"/>
    <cellStyle name="40% - Accent3 2 2 2 7 2" xfId="13897" xr:uid="{56C4B538-F503-4696-A8BB-7733DFF7A80A}"/>
    <cellStyle name="40% - Accent3 2 2 2 8" xfId="9110" xr:uid="{E41CBEF9-86F8-44B9-895F-532A7BDC9A2A}"/>
    <cellStyle name="40% - Accent3 2 2 2 8 2" xfId="18434" xr:uid="{B67862C3-2A79-4318-A84D-EFA2CE0644BC}"/>
    <cellStyle name="40% - Accent3 2 2 2 9" xfId="9680" xr:uid="{A87756CA-E4D1-422C-A156-70EE7967E05F}"/>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55" xr:uid="{16CC9CD0-5301-41A6-9A11-F028DC0BD5DF}"/>
    <cellStyle name="40% - Accent3 2 2 3 2 3" xfId="12238" xr:uid="{7035AA68-35F4-471A-AF9D-E7BEA6B629D8}"/>
    <cellStyle name="40% - Accent3 2 2 3 3" xfId="4984" xr:uid="{00000000-0005-0000-0000-00001B050000}"/>
    <cellStyle name="40% - Accent3 2 2 3 3 2" xfId="14310" xr:uid="{76B505AC-975F-48B2-A692-C16E95521273}"/>
    <cellStyle name="40% - Accent3 2 2 3 4" xfId="9328" xr:uid="{1DAEB9B9-01CE-426D-A8F1-CE08999D7264}"/>
    <cellStyle name="40% - Accent3 2 2 3 4 2" xfId="18643" xr:uid="{D94E6D2C-5C82-4E41-ACA9-20AEA33018CE}"/>
    <cellStyle name="40% - Accent3 2 2 3 5" xfId="10093" xr:uid="{6826D99B-5634-4A18-8C1E-E3736FB346D1}"/>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68" xr:uid="{8EB9BC7A-57E6-4C32-BA56-CB4958C5F928}"/>
    <cellStyle name="40% - Accent3 2 2 4 2 3" xfId="12651" xr:uid="{4F883756-FFEA-4F98-BA64-16F87C66F2B8}"/>
    <cellStyle name="40% - Accent3 2 2 4 3" xfId="5397" xr:uid="{00000000-0005-0000-0000-00001F050000}"/>
    <cellStyle name="40% - Accent3 2 2 4 3 2" xfId="14723" xr:uid="{C5F74FF5-825B-4780-B517-79262A2B3676}"/>
    <cellStyle name="40% - Accent3 2 2 4 4" xfId="10506" xr:uid="{67B6C23C-3415-48FC-83DA-33415535997B}"/>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81" xr:uid="{A892004A-4D0F-4B21-93CC-E1AEAB0C14C6}"/>
    <cellStyle name="40% - Accent3 2 2 5 2 3" xfId="13064" xr:uid="{F13579A2-1B65-478D-87A2-92C43C45ED56}"/>
    <cellStyle name="40% - Accent3 2 2 5 3" xfId="5810" xr:uid="{00000000-0005-0000-0000-000023050000}"/>
    <cellStyle name="40% - Accent3 2 2 5 3 2" xfId="15136" xr:uid="{6070C444-F2B7-4B9D-9C8E-313A6C41B863}"/>
    <cellStyle name="40% - Accent3 2 2 5 4" xfId="10919" xr:uid="{146CA1E0-F370-42E0-AEDB-C88EB2EB9B96}"/>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94" xr:uid="{E47256D1-9835-4960-B7A1-950AEBC2DEB5}"/>
    <cellStyle name="40% - Accent3 2 2 6 2 3" xfId="13477" xr:uid="{75773784-D2FF-40AA-8CD8-D23D60531DB4}"/>
    <cellStyle name="40% - Accent3 2 2 6 3" xfId="6223" xr:uid="{00000000-0005-0000-0000-000027050000}"/>
    <cellStyle name="40% - Accent3 2 2 6 3 2" xfId="15549" xr:uid="{9FC36D09-827D-4818-A88F-DED62AF57BBE}"/>
    <cellStyle name="40% - Accent3 2 2 6 4" xfId="11332" xr:uid="{F3DA4F93-1765-4346-97FA-D306147E05BB}"/>
    <cellStyle name="40% - Accent3 2 2 7" xfId="2330" xr:uid="{00000000-0005-0000-0000-000028050000}"/>
    <cellStyle name="40% - Accent3 2 2 7 2" xfId="6636" xr:uid="{00000000-0005-0000-0000-000029050000}"/>
    <cellStyle name="40% - Accent3 2 2 7 2 2" xfId="15962" xr:uid="{BBC00961-AE6F-44CE-AFF4-A0B8D50B6C3A}"/>
    <cellStyle name="40% - Accent3 2 2 7 3" xfId="11745" xr:uid="{04A51B31-8772-4FC8-93A1-5FAA90ECD66B}"/>
    <cellStyle name="40% - Accent3 2 2 8" xfId="4570" xr:uid="{00000000-0005-0000-0000-00002A050000}"/>
    <cellStyle name="40% - Accent3 2 2 8 2" xfId="13896" xr:uid="{7D08F413-963C-45E3-93DE-2E2824E65136}"/>
    <cellStyle name="40% - Accent3 2 2 9" xfId="8903" xr:uid="{D9C85917-26AE-466C-8B98-905BCDA9E329}"/>
    <cellStyle name="40% - Accent3 2 2 9 2" xfId="18227" xr:uid="{7049B8CC-8A1D-4838-9E1B-D59E72140F2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57" xr:uid="{C758BA1F-9F47-4BA8-AF43-580EB4EB94EF}"/>
    <cellStyle name="40% - Accent3 2 3 2 2 3" xfId="12240" xr:uid="{2EC6E1F4-76C4-458C-93BC-1626AC52047E}"/>
    <cellStyle name="40% - Accent3 2 3 2 3" xfId="4986" xr:uid="{00000000-0005-0000-0000-00002F050000}"/>
    <cellStyle name="40% - Accent3 2 3 2 3 2" xfId="14312" xr:uid="{4DF8B9A6-9E5C-4B4E-AFB2-6BF5945C1979}"/>
    <cellStyle name="40% - Accent3 2 3 2 4" xfId="9432" xr:uid="{54D6848B-0200-4F42-820D-262A8F9A2C0F}"/>
    <cellStyle name="40% - Accent3 2 3 2 4 2" xfId="18747" xr:uid="{950D494F-3379-43B5-B1DA-40EF4042E4FD}"/>
    <cellStyle name="40% - Accent3 2 3 2 5" xfId="10095" xr:uid="{5A7D1437-63E7-4E17-A9D8-372539BE5C27}"/>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70" xr:uid="{AA9AE03E-767A-44BC-8373-4CF30494F81E}"/>
    <cellStyle name="40% - Accent3 2 3 3 2 3" xfId="12653" xr:uid="{B4578685-643C-49D1-8ED6-6DECE5BE5241}"/>
    <cellStyle name="40% - Accent3 2 3 3 3" xfId="5399" xr:uid="{00000000-0005-0000-0000-000033050000}"/>
    <cellStyle name="40% - Accent3 2 3 3 3 2" xfId="14725" xr:uid="{ADAD9B95-7860-4E38-B1FB-330D21631226}"/>
    <cellStyle name="40% - Accent3 2 3 3 4" xfId="10508" xr:uid="{362617C8-B8CA-45AC-B775-91B5519026E2}"/>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83" xr:uid="{0FDCDEC6-D241-4D87-9859-0B4843DFFC0A}"/>
    <cellStyle name="40% - Accent3 2 3 4 2 3" xfId="13066" xr:uid="{D8AE6FEE-A7F0-4291-91E8-5A4AF7319AAE}"/>
    <cellStyle name="40% - Accent3 2 3 4 3" xfId="5812" xr:uid="{00000000-0005-0000-0000-000037050000}"/>
    <cellStyle name="40% - Accent3 2 3 4 3 2" xfId="15138" xr:uid="{7FCF95C2-D2E3-49DF-82D4-4464A8216467}"/>
    <cellStyle name="40% - Accent3 2 3 4 4" xfId="10921" xr:uid="{3A010470-E4B3-4071-93DA-E79AD4E2A936}"/>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96" xr:uid="{0E190B00-B220-49E3-ACF2-27419F97D327}"/>
    <cellStyle name="40% - Accent3 2 3 5 2 3" xfId="13479" xr:uid="{44C3EE68-E088-464A-A39D-5E6713D5F460}"/>
    <cellStyle name="40% - Accent3 2 3 5 3" xfId="6225" xr:uid="{00000000-0005-0000-0000-00003B050000}"/>
    <cellStyle name="40% - Accent3 2 3 5 3 2" xfId="15551" xr:uid="{6983EDCB-1ABD-4870-8E11-A70430AD1C67}"/>
    <cellStyle name="40% - Accent3 2 3 5 4" xfId="11334" xr:uid="{5210F52D-78E2-4E8A-A12D-6B8D20C54731}"/>
    <cellStyle name="40% - Accent3 2 3 6" xfId="2332" xr:uid="{00000000-0005-0000-0000-00003C050000}"/>
    <cellStyle name="40% - Accent3 2 3 6 2" xfId="6638" xr:uid="{00000000-0005-0000-0000-00003D050000}"/>
    <cellStyle name="40% - Accent3 2 3 6 2 2" xfId="15964" xr:uid="{CBD73C3F-E80B-4421-BE07-B81CF0231ED8}"/>
    <cellStyle name="40% - Accent3 2 3 6 3" xfId="11747" xr:uid="{52E1CA9E-68A5-4CFE-80F2-C06D0C5E508C}"/>
    <cellStyle name="40% - Accent3 2 3 7" xfId="4572" xr:uid="{00000000-0005-0000-0000-00003E050000}"/>
    <cellStyle name="40% - Accent3 2 3 7 2" xfId="13898" xr:uid="{99DF4449-2A90-45F3-B632-59952EB55BE3}"/>
    <cellStyle name="40% - Accent3 2 3 8" xfId="9007" xr:uid="{2DEFD82C-2A62-4C1E-AA8D-7F2606BD9091}"/>
    <cellStyle name="40% - Accent3 2 3 8 2" xfId="18331" xr:uid="{AB939E9C-7780-464F-A16A-D3FB8AB47B84}"/>
    <cellStyle name="40% - Accent3 2 3 9" xfId="9681" xr:uid="{411EC57D-FAA2-49A9-91A8-6F2074B8FCA7}"/>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54" xr:uid="{443FAF82-69AD-4C9C-83FE-20ED1A570CD2}"/>
    <cellStyle name="40% - Accent3 2 4 2 3" xfId="12237" xr:uid="{559F971C-DF9C-4BC9-B67C-F3053C4AD074}"/>
    <cellStyle name="40% - Accent3 2 4 3" xfId="4983" xr:uid="{00000000-0005-0000-0000-000042050000}"/>
    <cellStyle name="40% - Accent3 2 4 3 2" xfId="14309" xr:uid="{AB30F97F-1AEE-4E64-83DF-157C3838EB76}"/>
    <cellStyle name="40% - Accent3 2 4 4" xfId="9224" xr:uid="{6B91012A-BFF2-4F1F-901C-A91F06F80031}"/>
    <cellStyle name="40% - Accent3 2 4 4 2" xfId="18540" xr:uid="{6A530808-D8D0-4599-A866-B77EFA60A3A5}"/>
    <cellStyle name="40% - Accent3 2 4 5" xfId="10092" xr:uid="{DE80BEA4-602A-4151-BBB6-9008933BCC94}"/>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67" xr:uid="{D3D550ED-2F86-42AB-AFCE-B590824E42B2}"/>
    <cellStyle name="40% - Accent3 2 5 2 3" xfId="12650" xr:uid="{64F7787F-C586-4D76-980A-21D79107329C}"/>
    <cellStyle name="40% - Accent3 2 5 3" xfId="5396" xr:uid="{00000000-0005-0000-0000-000046050000}"/>
    <cellStyle name="40% - Accent3 2 5 3 2" xfId="14722" xr:uid="{58031DF2-7E9A-43C4-8521-A356081E5BF7}"/>
    <cellStyle name="40% - Accent3 2 5 4" xfId="10505" xr:uid="{0DF8AA6A-7C25-40E4-B045-BB944F4382C6}"/>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80" xr:uid="{CA39FE58-D60A-4BA9-B824-1E4690D3A8A0}"/>
    <cellStyle name="40% - Accent3 2 6 2 3" xfId="13063" xr:uid="{BC6B8395-D03F-4A99-97A5-AB4122102C91}"/>
    <cellStyle name="40% - Accent3 2 6 3" xfId="5809" xr:uid="{00000000-0005-0000-0000-00004A050000}"/>
    <cellStyle name="40% - Accent3 2 6 3 2" xfId="15135" xr:uid="{0EC1B557-7320-490B-BB83-1DF0B368B192}"/>
    <cellStyle name="40% - Accent3 2 6 4" xfId="10918" xr:uid="{3C2929B0-2826-45EA-B68A-5ED82D94CA53}"/>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93" xr:uid="{70F47250-BBD6-4FFE-8D1B-455FFF3AAF04}"/>
    <cellStyle name="40% - Accent3 2 7 2 3" xfId="13476" xr:uid="{A1B14212-37E6-4244-A222-0CDDE5F7F5D2}"/>
    <cellStyle name="40% - Accent3 2 7 3" xfId="6222" xr:uid="{00000000-0005-0000-0000-00004E050000}"/>
    <cellStyle name="40% - Accent3 2 7 3 2" xfId="15548" xr:uid="{1AD316F4-E512-4CE4-AEF0-585FE757CE37}"/>
    <cellStyle name="40% - Accent3 2 7 4" xfId="11331" xr:uid="{E3E7B94D-FAA2-4A9A-99E1-CF3E5602CEB2}"/>
    <cellStyle name="40% - Accent3 2 8" xfId="2329" xr:uid="{00000000-0005-0000-0000-00004F050000}"/>
    <cellStyle name="40% - Accent3 2 8 2" xfId="6635" xr:uid="{00000000-0005-0000-0000-000050050000}"/>
    <cellStyle name="40% - Accent3 2 8 2 2" xfId="15961" xr:uid="{7513E5A7-7687-4454-B072-5732B8D48372}"/>
    <cellStyle name="40% - Accent3 2 8 3" xfId="11744" xr:uid="{DC98BB4B-05E9-4905-8CC0-4D82D7054C47}"/>
    <cellStyle name="40% - Accent3 2 9" xfId="4569" xr:uid="{00000000-0005-0000-0000-000051050000}"/>
    <cellStyle name="40% - Accent3 2 9 2" xfId="13895" xr:uid="{1BBFD0E2-9628-4C3C-B7B7-A0DFE14AC6B0}"/>
    <cellStyle name="40% - Accent3 3" xfId="70" xr:uid="{00000000-0005-0000-0000-000052050000}"/>
    <cellStyle name="40% - Accent3 3 10" xfId="9682" xr:uid="{01C6457F-9861-42BC-85DE-DE0B6C3DEF26}"/>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59" xr:uid="{3CD617C3-38E8-4027-B916-370E327D7F03}"/>
    <cellStyle name="40% - Accent3 3 2 2 2 3" xfId="12242" xr:uid="{72B82C19-8895-4DD6-B2BC-23BB808320ED}"/>
    <cellStyle name="40% - Accent3 3 2 2 3" xfId="4988" xr:uid="{00000000-0005-0000-0000-000057050000}"/>
    <cellStyle name="40% - Accent3 3 2 2 3 2" xfId="14314" xr:uid="{4C27F728-3EFE-4124-867A-C09E8D05C1CF}"/>
    <cellStyle name="40% - Accent3 3 2 2 4" xfId="9498" xr:uid="{7C43CF58-5AE0-4BAA-9D2B-CAB92F3612F1}"/>
    <cellStyle name="40% - Accent3 3 2 2 4 2" xfId="18813" xr:uid="{B7EB8EDB-D4AD-4BCB-B307-DA0CD200BB89}"/>
    <cellStyle name="40% - Accent3 3 2 2 5" xfId="10097" xr:uid="{DCC18EB5-3A70-41A4-8ABE-EC974E2711B4}"/>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72" xr:uid="{0A4D34F3-90A2-43B3-BA27-7374B02D1006}"/>
    <cellStyle name="40% - Accent3 3 2 3 2 3" xfId="12655" xr:uid="{2C8668D2-4C3F-44DF-9542-61DB3F253C81}"/>
    <cellStyle name="40% - Accent3 3 2 3 3" xfId="5401" xr:uid="{00000000-0005-0000-0000-00005B050000}"/>
    <cellStyle name="40% - Accent3 3 2 3 3 2" xfId="14727" xr:uid="{5EF002D4-F5D8-4903-A847-BD95B4AFB77D}"/>
    <cellStyle name="40% - Accent3 3 2 3 4" xfId="10510" xr:uid="{F75B2416-1280-4BA4-93E4-89033245B83C}"/>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85" xr:uid="{D6CB75C3-8E83-4F7D-9505-FEE88FB4373E}"/>
    <cellStyle name="40% - Accent3 3 2 4 2 3" xfId="13068" xr:uid="{86E52FB1-F3AF-4187-B966-D50385C8FB9D}"/>
    <cellStyle name="40% - Accent3 3 2 4 3" xfId="5814" xr:uid="{00000000-0005-0000-0000-00005F050000}"/>
    <cellStyle name="40% - Accent3 3 2 4 3 2" xfId="15140" xr:uid="{3D0275C8-530E-4AC5-959D-42D00A99D717}"/>
    <cellStyle name="40% - Accent3 3 2 4 4" xfId="10923" xr:uid="{8A9DAACF-54C7-45DB-9468-5EAEB0675E30}"/>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98" xr:uid="{B5C3E162-3FBA-4359-AA73-E7B7F7FB5D37}"/>
    <cellStyle name="40% - Accent3 3 2 5 2 3" xfId="13481" xr:uid="{0B77D2C6-C320-497D-9B01-05E6F49AFC66}"/>
    <cellStyle name="40% - Accent3 3 2 5 3" xfId="6227" xr:uid="{00000000-0005-0000-0000-000063050000}"/>
    <cellStyle name="40% - Accent3 3 2 5 3 2" xfId="15553" xr:uid="{75DB4890-9F70-4F49-9F5D-D929C366FBA0}"/>
    <cellStyle name="40% - Accent3 3 2 5 4" xfId="11336" xr:uid="{3CEEB9CF-08CB-4B3F-9C0E-F9F651350FCA}"/>
    <cellStyle name="40% - Accent3 3 2 6" xfId="2334" xr:uid="{00000000-0005-0000-0000-000064050000}"/>
    <cellStyle name="40% - Accent3 3 2 6 2" xfId="6640" xr:uid="{00000000-0005-0000-0000-000065050000}"/>
    <cellStyle name="40% - Accent3 3 2 6 2 2" xfId="15966" xr:uid="{9BE66EB2-3713-4716-88AC-65BD0BF7A293}"/>
    <cellStyle name="40% - Accent3 3 2 6 3" xfId="11749" xr:uid="{D05D18DC-1C49-46F1-9698-D9FDA344760C}"/>
    <cellStyle name="40% - Accent3 3 2 7" xfId="4574" xr:uid="{00000000-0005-0000-0000-000066050000}"/>
    <cellStyle name="40% - Accent3 3 2 7 2" xfId="13900" xr:uid="{DEC8443E-4E1F-4FCC-A894-6AB431ECD366}"/>
    <cellStyle name="40% - Accent3 3 2 8" xfId="9073" xr:uid="{0E71C752-2CF0-411D-A05E-4DA4A73CFC34}"/>
    <cellStyle name="40% - Accent3 3 2 8 2" xfId="18397" xr:uid="{4FA8B166-F744-4A33-9EC8-3DCE08A964D3}"/>
    <cellStyle name="40% - Accent3 3 2 9" xfId="9683" xr:uid="{5407DDA0-45DC-4AA8-B4EE-FAD0F84F63FB}"/>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58" xr:uid="{13444285-A426-4217-8703-9D0B054E4AF5}"/>
    <cellStyle name="40% - Accent3 3 3 2 3" xfId="12241" xr:uid="{81645BF5-BF9A-4676-AF67-EC5DC8ED1061}"/>
    <cellStyle name="40% - Accent3 3 3 3" xfId="4987" xr:uid="{00000000-0005-0000-0000-00006A050000}"/>
    <cellStyle name="40% - Accent3 3 3 3 2" xfId="14313" xr:uid="{6DE80069-E7A2-4B3E-802D-9272A52C332A}"/>
    <cellStyle name="40% - Accent3 3 3 4" xfId="9291" xr:uid="{59AB3F6D-A8C6-4A37-A8E3-967850079A77}"/>
    <cellStyle name="40% - Accent3 3 3 4 2" xfId="18606" xr:uid="{A9243AF4-4C52-4D58-BCBA-787E46BC8982}"/>
    <cellStyle name="40% - Accent3 3 3 5" xfId="10096" xr:uid="{10C4E056-E4DE-43EE-B4B0-BA80F0F5BBA6}"/>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71" xr:uid="{77BEB3F0-EDF8-447A-922B-CAF27B5C948C}"/>
    <cellStyle name="40% - Accent3 3 4 2 3" xfId="12654" xr:uid="{E309A3D5-65A5-46F0-803D-4459CCC906AF}"/>
    <cellStyle name="40% - Accent3 3 4 3" xfId="5400" xr:uid="{00000000-0005-0000-0000-00006E050000}"/>
    <cellStyle name="40% - Accent3 3 4 3 2" xfId="14726" xr:uid="{DBB5DD09-1E85-47B6-9633-28625DC42B7C}"/>
    <cellStyle name="40% - Accent3 3 4 4" xfId="10509" xr:uid="{AC8095AA-5EB4-4A48-811F-025A86292EA1}"/>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84" xr:uid="{01348D2E-24EC-4666-94D4-58CFE63CD2CE}"/>
    <cellStyle name="40% - Accent3 3 5 2 3" xfId="13067" xr:uid="{9E603EDB-E756-4B7F-AC79-DD01C032A146}"/>
    <cellStyle name="40% - Accent3 3 5 3" xfId="5813" xr:uid="{00000000-0005-0000-0000-000072050000}"/>
    <cellStyle name="40% - Accent3 3 5 3 2" xfId="15139" xr:uid="{C04D6496-FA80-4731-96D9-0FF5104E992E}"/>
    <cellStyle name="40% - Accent3 3 5 4" xfId="10922" xr:uid="{13F44F30-D005-4F7B-A574-C58169AC6333}"/>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97" xr:uid="{FD83DED2-D009-4276-B169-C1EFC5B901D3}"/>
    <cellStyle name="40% - Accent3 3 6 2 3" xfId="13480" xr:uid="{BA335A80-1F48-4EE7-B7CC-F94DC9F31F12}"/>
    <cellStyle name="40% - Accent3 3 6 3" xfId="6226" xr:uid="{00000000-0005-0000-0000-000076050000}"/>
    <cellStyle name="40% - Accent3 3 6 3 2" xfId="15552" xr:uid="{BF3C985C-2F08-4299-95A4-BC8A171D5C4F}"/>
    <cellStyle name="40% - Accent3 3 6 4" xfId="11335" xr:uid="{2E9D9B54-2247-4FA4-97A4-78B83CB71F78}"/>
    <cellStyle name="40% - Accent3 3 7" xfId="2333" xr:uid="{00000000-0005-0000-0000-000077050000}"/>
    <cellStyle name="40% - Accent3 3 7 2" xfId="6639" xr:uid="{00000000-0005-0000-0000-000078050000}"/>
    <cellStyle name="40% - Accent3 3 7 2 2" xfId="15965" xr:uid="{E889AE57-4A75-48C6-9054-30425C04667E}"/>
    <cellStyle name="40% - Accent3 3 7 3" xfId="11748" xr:uid="{173AB012-C720-4E39-81AC-8F1C036BA55B}"/>
    <cellStyle name="40% - Accent3 3 8" xfId="4573" xr:uid="{00000000-0005-0000-0000-000079050000}"/>
    <cellStyle name="40% - Accent3 3 8 2" xfId="13899" xr:uid="{4E691A1A-FAF1-4356-847F-85A14D22F798}"/>
    <cellStyle name="40% - Accent3 3 9" xfId="8866" xr:uid="{1A1EF43E-4A2B-42A8-98A3-CEC34DD3B00D}"/>
    <cellStyle name="40% - Accent3 3 9 2" xfId="18190" xr:uid="{1655172E-C10B-4890-8115-FE8EE5D7B12B}"/>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60" xr:uid="{19BE8FC9-6F59-422D-B033-F5E4F7EDDF0D}"/>
    <cellStyle name="40% - Accent3 4 2 2 3" xfId="12243" xr:uid="{7518E276-4BA2-4A89-9E1E-002373B9D15A}"/>
    <cellStyle name="40% - Accent3 4 2 3" xfId="4989" xr:uid="{00000000-0005-0000-0000-00007E050000}"/>
    <cellStyle name="40% - Accent3 4 2 3 2" xfId="14315" xr:uid="{A8FA4102-3B36-4942-9B9A-B071AB25998F}"/>
    <cellStyle name="40% - Accent3 4 2 4" xfId="9377" xr:uid="{F4393833-4E73-4685-9332-CF918D5239A9}"/>
    <cellStyle name="40% - Accent3 4 2 4 2" xfId="18692" xr:uid="{6B99F292-2FC1-4DA6-8C7E-2BDC958CEBBC}"/>
    <cellStyle name="40% - Accent3 4 2 5" xfId="10098" xr:uid="{7C26F2F8-06B3-4C20-AAA9-607C40F04CB7}"/>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73" xr:uid="{EF443B98-0B21-4EDE-9426-ED188D320AF8}"/>
    <cellStyle name="40% - Accent3 4 3 2 3" xfId="12656" xr:uid="{01F9184A-2E43-418F-9DD8-7164E283EC0C}"/>
    <cellStyle name="40% - Accent3 4 3 3" xfId="5402" xr:uid="{00000000-0005-0000-0000-000082050000}"/>
    <cellStyle name="40% - Accent3 4 3 3 2" xfId="14728" xr:uid="{2945D768-BC54-4973-89FC-94E5429549B8}"/>
    <cellStyle name="40% - Accent3 4 3 4" xfId="10511" xr:uid="{FF9F5339-871F-407E-832D-EE702417555C}"/>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86" xr:uid="{99785BF2-82B0-41E2-A957-C303D7ECD621}"/>
    <cellStyle name="40% - Accent3 4 4 2 3" xfId="13069" xr:uid="{2F5D5387-E686-4819-9E90-44031B45A8CC}"/>
    <cellStyle name="40% - Accent3 4 4 3" xfId="5815" xr:uid="{00000000-0005-0000-0000-000086050000}"/>
    <cellStyle name="40% - Accent3 4 4 3 2" xfId="15141" xr:uid="{B50E2F02-2A2D-43D9-8E6C-50DD414714EF}"/>
    <cellStyle name="40% - Accent3 4 4 4" xfId="10924" xr:uid="{16795DAF-EECB-4E5B-B273-D9F896C5BB6F}"/>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99" xr:uid="{29DB09AE-729A-4A13-BEF7-6E2CA845F95C}"/>
    <cellStyle name="40% - Accent3 4 5 2 3" xfId="13482" xr:uid="{994B3AF6-2C6E-4B4A-A23A-33C62C00B2A3}"/>
    <cellStyle name="40% - Accent3 4 5 3" xfId="6228" xr:uid="{00000000-0005-0000-0000-00008A050000}"/>
    <cellStyle name="40% - Accent3 4 5 3 2" xfId="15554" xr:uid="{70265E46-0EB8-4643-A759-6ECDA2A43CDD}"/>
    <cellStyle name="40% - Accent3 4 5 4" xfId="11337" xr:uid="{40F76FA9-E96B-459D-ADA8-ED22B9D28B99}"/>
    <cellStyle name="40% - Accent3 4 6" xfId="2335" xr:uid="{00000000-0005-0000-0000-00008B050000}"/>
    <cellStyle name="40% - Accent3 4 6 2" xfId="6641" xr:uid="{00000000-0005-0000-0000-00008C050000}"/>
    <cellStyle name="40% - Accent3 4 6 2 2" xfId="15967" xr:uid="{093FA27A-F0B4-4CF7-984C-FE39286DD5E8}"/>
    <cellStyle name="40% - Accent3 4 6 3" xfId="11750" xr:uid="{93CB07D4-32F7-461D-9D22-0960500B3A81}"/>
    <cellStyle name="40% - Accent3 4 7" xfId="4575" xr:uid="{00000000-0005-0000-0000-00008D050000}"/>
    <cellStyle name="40% - Accent3 4 7 2" xfId="13901" xr:uid="{903B1546-F563-41BD-BA93-FD6D16E23F7A}"/>
    <cellStyle name="40% - Accent3 4 8" xfId="8952" xr:uid="{74BF8F1E-4A34-4787-9BA1-0B97E446635F}"/>
    <cellStyle name="40% - Accent3 4 8 2" xfId="18276" xr:uid="{3DA7AE2F-50C0-40B4-BDF5-797E79FF373C}"/>
    <cellStyle name="40% - Accent3 4 9" xfId="9684" xr:uid="{EE703208-FBAF-469A-8F23-9085762324DB}"/>
    <cellStyle name="40% - Accent3 5" xfId="634" xr:uid="{00000000-0005-0000-0000-00008E050000}"/>
    <cellStyle name="40% - Accent3 5 2" xfId="2905" xr:uid="{00000000-0005-0000-0000-00008F050000}"/>
    <cellStyle name="40% - Accent3 5 2 2" xfId="7127" xr:uid="{00000000-0005-0000-0000-000090050000}"/>
    <cellStyle name="40% - Accent3 5 2 2 2" xfId="16453" xr:uid="{2EB200DA-EFD3-41E0-985F-4D7FD38585E0}"/>
    <cellStyle name="40% - Accent3 5 2 3" xfId="12236" xr:uid="{7973184F-9072-4192-BE75-9AD17A532A19}"/>
    <cellStyle name="40% - Accent3 5 3" xfId="4982" xr:uid="{00000000-0005-0000-0000-000091050000}"/>
    <cellStyle name="40% - Accent3 5 3 2" xfId="14308" xr:uid="{0A97F2B2-426F-4722-B204-A1E636ACAFEC}"/>
    <cellStyle name="40% - Accent3 5 4" xfId="9185" xr:uid="{526F025D-EBF7-4976-9E38-4C0631A2843B}"/>
    <cellStyle name="40% - Accent3 5 4 2" xfId="18503" xr:uid="{F5AB1A2C-9DA5-4D9A-8A97-AAD9CC217680}"/>
    <cellStyle name="40% - Accent3 5 5" xfId="10091" xr:uid="{2C84190B-FC05-4AA7-A77B-B7C35D76BCC7}"/>
    <cellStyle name="40% - Accent3 6" xfId="1087" xr:uid="{00000000-0005-0000-0000-000092050000}"/>
    <cellStyle name="40% - Accent3 6 2" xfId="3318" xr:uid="{00000000-0005-0000-0000-000093050000}"/>
    <cellStyle name="40% - Accent3 6 2 2" xfId="7540" xr:uid="{00000000-0005-0000-0000-000094050000}"/>
    <cellStyle name="40% - Accent3 6 2 2 2" xfId="16866" xr:uid="{38227F7E-85DB-4380-9CF2-57E4FB3AC19B}"/>
    <cellStyle name="40% - Accent3 6 2 3" xfId="12649" xr:uid="{0C42EAEB-450F-4315-9CEE-D78C70CD9CD0}"/>
    <cellStyle name="40% - Accent3 6 3" xfId="5395" xr:uid="{00000000-0005-0000-0000-000095050000}"/>
    <cellStyle name="40% - Accent3 6 3 2" xfId="14721" xr:uid="{D7536FC8-AC2A-4ACA-ABA5-752824F261D3}"/>
    <cellStyle name="40% - Accent3 6 4" xfId="10504" xr:uid="{E7950F1A-804B-47C2-96F8-9CE9DC8CE72A}"/>
    <cellStyle name="40% - Accent3 7" xfId="1501" xr:uid="{00000000-0005-0000-0000-000096050000}"/>
    <cellStyle name="40% - Accent3 7 2" xfId="3731" xr:uid="{00000000-0005-0000-0000-000097050000}"/>
    <cellStyle name="40% - Accent3 7 2 2" xfId="7953" xr:uid="{00000000-0005-0000-0000-000098050000}"/>
    <cellStyle name="40% - Accent3 7 2 2 2" xfId="17279" xr:uid="{3C5250AA-5128-4AFE-91D0-759ED4548E75}"/>
    <cellStyle name="40% - Accent3 7 2 3" xfId="13062" xr:uid="{A2EF7C55-D9F4-4D23-9D55-B866B245BAFE}"/>
    <cellStyle name="40% - Accent3 7 3" xfId="5808" xr:uid="{00000000-0005-0000-0000-000099050000}"/>
    <cellStyle name="40% - Accent3 7 3 2" xfId="15134" xr:uid="{23938F25-9095-4EC4-BCDB-064FFF1A3F7B}"/>
    <cellStyle name="40% - Accent3 7 4" xfId="10917" xr:uid="{80888CB9-68C3-4880-8B82-111FD9D4D184}"/>
    <cellStyle name="40% - Accent3 8" xfId="1915" xr:uid="{00000000-0005-0000-0000-00009A050000}"/>
    <cellStyle name="40% - Accent3 8 2" xfId="4144" xr:uid="{00000000-0005-0000-0000-00009B050000}"/>
    <cellStyle name="40% - Accent3 8 2 2" xfId="8366" xr:uid="{00000000-0005-0000-0000-00009C050000}"/>
    <cellStyle name="40% - Accent3 8 2 2 2" xfId="17692" xr:uid="{F94E8BC9-A4C0-4899-B237-B908E17D20EE}"/>
    <cellStyle name="40% - Accent3 8 2 3" xfId="13475" xr:uid="{D532C9F6-6687-49B8-986B-A6C0375C9BCC}"/>
    <cellStyle name="40% - Accent3 8 3" xfId="6221" xr:uid="{00000000-0005-0000-0000-00009D050000}"/>
    <cellStyle name="40% - Accent3 8 3 2" xfId="15547" xr:uid="{85A0EFAF-CA84-4F11-8F96-C3B7FFFF8FEB}"/>
    <cellStyle name="40% - Accent3 8 4" xfId="11330" xr:uid="{FC445A5B-EF60-4C9D-AE01-94711809F574}"/>
    <cellStyle name="40% - Accent3 9" xfId="2328" xr:uid="{00000000-0005-0000-0000-00009E050000}"/>
    <cellStyle name="40% - Accent3 9 2" xfId="6634" xr:uid="{00000000-0005-0000-0000-00009F050000}"/>
    <cellStyle name="40% - Accent3 9 2 2" xfId="15960" xr:uid="{0250FCF2-5139-4730-8D36-F92D9C8418B3}"/>
    <cellStyle name="40% - Accent3 9 3" xfId="11743" xr:uid="{1964033C-632D-4F38-901A-67CA1E7F045C}"/>
    <cellStyle name="40% - Accent4" xfId="73" builtinId="43" customBuiltin="1"/>
    <cellStyle name="40% - Accent4 10" xfId="4576" xr:uid="{00000000-0005-0000-0000-0000A1050000}"/>
    <cellStyle name="40% - Accent4 10 2" xfId="13902" xr:uid="{872431CD-CA44-4D31-AC9B-CD9D9866490D}"/>
    <cellStyle name="40% - Accent4 11" xfId="8765" xr:uid="{18B6B6D6-5043-43D1-BB02-3855BF7027C3}"/>
    <cellStyle name="40% - Accent4 11 2" xfId="18089" xr:uid="{B660A8CE-6451-47A6-A961-09796AF70EA5}"/>
    <cellStyle name="40% - Accent4 12" xfId="9685" xr:uid="{50212A7F-20F3-4407-A0BE-4D168ECCD193}"/>
    <cellStyle name="40% - Accent4 2" xfId="74" xr:uid="{00000000-0005-0000-0000-0000A2050000}"/>
    <cellStyle name="40% - Accent4 2 10" xfId="8801" xr:uid="{223FCC58-A05E-4022-8080-E75A80678FA6}"/>
    <cellStyle name="40% - Accent4 2 10 2" xfId="18125" xr:uid="{1B27FC43-8DA1-4102-9DCA-A96BBCAD43C2}"/>
    <cellStyle name="40% - Accent4 2 11" xfId="9686" xr:uid="{FCD021C7-D848-480B-A628-C87ED94ED805}"/>
    <cellStyle name="40% - Accent4 2 2" xfId="75" xr:uid="{00000000-0005-0000-0000-0000A3050000}"/>
    <cellStyle name="40% - Accent4 2 2 10" xfId="9687" xr:uid="{43E80C47-0F9A-40BE-A2B1-EA653B893106}"/>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64" xr:uid="{62733EA2-1AB3-493F-8F77-1333608279B8}"/>
    <cellStyle name="40% - Accent4 2 2 2 2 2 3" xfId="12247" xr:uid="{D5CF515B-555F-449A-B8B1-3F4895A13EEA}"/>
    <cellStyle name="40% - Accent4 2 2 2 2 3" xfId="4993" xr:uid="{00000000-0005-0000-0000-0000A8050000}"/>
    <cellStyle name="40% - Accent4 2 2 2 2 3 2" xfId="14319" xr:uid="{F7238220-BF7C-4488-9493-BE551507C9D3}"/>
    <cellStyle name="40% - Accent4 2 2 2 2 4" xfId="9536" xr:uid="{4351D24F-CE30-4CFD-968F-4B882F0FC9B5}"/>
    <cellStyle name="40% - Accent4 2 2 2 2 4 2" xfId="18851" xr:uid="{AB09DD7C-B602-410F-B4C4-C336E033A1DF}"/>
    <cellStyle name="40% - Accent4 2 2 2 2 5" xfId="10102" xr:uid="{4C433E49-6C8D-4D42-8135-2CFB4F0E93A4}"/>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77" xr:uid="{076EADF2-A46A-4224-A4CA-20864967C61F}"/>
    <cellStyle name="40% - Accent4 2 2 2 3 2 3" xfId="12660" xr:uid="{D70FFE16-2053-49C7-A058-4C29AA719559}"/>
    <cellStyle name="40% - Accent4 2 2 2 3 3" xfId="5406" xr:uid="{00000000-0005-0000-0000-0000AC050000}"/>
    <cellStyle name="40% - Accent4 2 2 2 3 3 2" xfId="14732" xr:uid="{0A6A40A1-3110-4F55-84DC-2AF9C42CABE6}"/>
    <cellStyle name="40% - Accent4 2 2 2 3 4" xfId="10515" xr:uid="{5934C0B6-454D-4B33-922A-E2ED9B2811B9}"/>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90" xr:uid="{C77FE416-83D8-4CB5-B31A-889FD72811CE}"/>
    <cellStyle name="40% - Accent4 2 2 2 4 2 3" xfId="13073" xr:uid="{8828DAC7-7571-43E1-AD43-E8A3FB9B2AA9}"/>
    <cellStyle name="40% - Accent4 2 2 2 4 3" xfId="5819" xr:uid="{00000000-0005-0000-0000-0000B0050000}"/>
    <cellStyle name="40% - Accent4 2 2 2 4 3 2" xfId="15145" xr:uid="{DB354490-ED6F-4007-80E9-4A70B9ADA541}"/>
    <cellStyle name="40% - Accent4 2 2 2 4 4" xfId="10928" xr:uid="{EF5BB32C-030D-4074-BC98-26C20581C90C}"/>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703" xr:uid="{B887E045-2646-48BB-88CC-84712F9BCFE2}"/>
    <cellStyle name="40% - Accent4 2 2 2 5 2 3" xfId="13486" xr:uid="{7556E4CE-2673-4971-8376-75339CB41243}"/>
    <cellStyle name="40% - Accent4 2 2 2 5 3" xfId="6232" xr:uid="{00000000-0005-0000-0000-0000B4050000}"/>
    <cellStyle name="40% - Accent4 2 2 2 5 3 2" xfId="15558" xr:uid="{47965449-760D-47D0-91C6-DDD7496B913D}"/>
    <cellStyle name="40% - Accent4 2 2 2 5 4" xfId="11341" xr:uid="{385F113D-F174-42CF-A2DF-918563510333}"/>
    <cellStyle name="40% - Accent4 2 2 2 6" xfId="2339" xr:uid="{00000000-0005-0000-0000-0000B5050000}"/>
    <cellStyle name="40% - Accent4 2 2 2 6 2" xfId="6645" xr:uid="{00000000-0005-0000-0000-0000B6050000}"/>
    <cellStyle name="40% - Accent4 2 2 2 6 2 2" xfId="15971" xr:uid="{06614F91-B26E-4710-9698-D8EF0F7B61E5}"/>
    <cellStyle name="40% - Accent4 2 2 2 6 3" xfId="11754" xr:uid="{013C8E29-1E0C-46E4-9021-D3A616FB0348}"/>
    <cellStyle name="40% - Accent4 2 2 2 7" xfId="4579" xr:uid="{00000000-0005-0000-0000-0000B7050000}"/>
    <cellStyle name="40% - Accent4 2 2 2 7 2" xfId="13905" xr:uid="{23999A84-FF54-4C9E-A051-CB728BFA3E12}"/>
    <cellStyle name="40% - Accent4 2 2 2 8" xfId="9111" xr:uid="{1DD86F12-0D11-497C-88D9-78D90E1EF65F}"/>
    <cellStyle name="40% - Accent4 2 2 2 8 2" xfId="18435" xr:uid="{46BCF4E4-28D6-4AA4-B679-298675258F30}"/>
    <cellStyle name="40% - Accent4 2 2 2 9" xfId="9688" xr:uid="{ED80CBA7-AF03-4B7D-993C-535D1F023955}"/>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63" xr:uid="{FE188486-5A7F-4CD0-878E-138B514B4058}"/>
    <cellStyle name="40% - Accent4 2 2 3 2 3" xfId="12246" xr:uid="{CBC2C37A-C381-47ED-9379-AE31DA082AC7}"/>
    <cellStyle name="40% - Accent4 2 2 3 3" xfId="4992" xr:uid="{00000000-0005-0000-0000-0000BB050000}"/>
    <cellStyle name="40% - Accent4 2 2 3 3 2" xfId="14318" xr:uid="{93AE8E55-1E68-495B-998F-6F28E6709BCA}"/>
    <cellStyle name="40% - Accent4 2 2 3 4" xfId="9329" xr:uid="{62CB3536-9FC4-4DBF-9121-AD0025D891C9}"/>
    <cellStyle name="40% - Accent4 2 2 3 4 2" xfId="18644" xr:uid="{B4617FEA-3772-4C6E-A5B6-36706128F2AB}"/>
    <cellStyle name="40% - Accent4 2 2 3 5" xfId="10101" xr:uid="{6A49F509-6975-43D1-AC9B-1DE262FA6B2E}"/>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76" xr:uid="{668C540A-8BBC-4903-B7AA-1BFA792309AE}"/>
    <cellStyle name="40% - Accent4 2 2 4 2 3" xfId="12659" xr:uid="{9BE7F09E-1236-428E-BED3-C6A6CCEEECAF}"/>
    <cellStyle name="40% - Accent4 2 2 4 3" xfId="5405" xr:uid="{00000000-0005-0000-0000-0000BF050000}"/>
    <cellStyle name="40% - Accent4 2 2 4 3 2" xfId="14731" xr:uid="{D8331C2E-D4E7-4876-B2D1-5F70FCF9C0C8}"/>
    <cellStyle name="40% - Accent4 2 2 4 4" xfId="10514" xr:uid="{218FA846-E525-4508-B686-5667B21BA488}"/>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89" xr:uid="{72857B67-10AE-4E8A-B41B-FF6B5C872ED2}"/>
    <cellStyle name="40% - Accent4 2 2 5 2 3" xfId="13072" xr:uid="{AD16D7A4-6BD1-426D-A1DF-8AD58A39ED7B}"/>
    <cellStyle name="40% - Accent4 2 2 5 3" xfId="5818" xr:uid="{00000000-0005-0000-0000-0000C3050000}"/>
    <cellStyle name="40% - Accent4 2 2 5 3 2" xfId="15144" xr:uid="{4927C0A7-10E0-4E10-9775-9C70FEF3617F}"/>
    <cellStyle name="40% - Accent4 2 2 5 4" xfId="10927" xr:uid="{980A754F-6444-4583-8096-7F608878D806}"/>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702" xr:uid="{EA4AB065-00AC-4E9A-AB1E-97D89F385C2A}"/>
    <cellStyle name="40% - Accent4 2 2 6 2 3" xfId="13485" xr:uid="{005AC7FE-4862-49D1-A06D-3397244BFCF1}"/>
    <cellStyle name="40% - Accent4 2 2 6 3" xfId="6231" xr:uid="{00000000-0005-0000-0000-0000C7050000}"/>
    <cellStyle name="40% - Accent4 2 2 6 3 2" xfId="15557" xr:uid="{32E935FB-1DA8-49F4-A108-4519002AF4C6}"/>
    <cellStyle name="40% - Accent4 2 2 6 4" xfId="11340" xr:uid="{DA404F2B-739D-49F6-ACE1-3BC87396A7D0}"/>
    <cellStyle name="40% - Accent4 2 2 7" xfId="2338" xr:uid="{00000000-0005-0000-0000-0000C8050000}"/>
    <cellStyle name="40% - Accent4 2 2 7 2" xfId="6644" xr:uid="{00000000-0005-0000-0000-0000C9050000}"/>
    <cellStyle name="40% - Accent4 2 2 7 2 2" xfId="15970" xr:uid="{1CA45D20-4C7C-415C-B21E-5F138722C3FB}"/>
    <cellStyle name="40% - Accent4 2 2 7 3" xfId="11753" xr:uid="{8C51C61D-B4B0-49DB-B825-453365999378}"/>
    <cellStyle name="40% - Accent4 2 2 8" xfId="4578" xr:uid="{00000000-0005-0000-0000-0000CA050000}"/>
    <cellStyle name="40% - Accent4 2 2 8 2" xfId="13904" xr:uid="{6BE88E74-CEAB-4E0C-9F06-A52BD25BD13F}"/>
    <cellStyle name="40% - Accent4 2 2 9" xfId="8904" xr:uid="{64C959C5-2FAF-462D-88B6-14B59CDC763B}"/>
    <cellStyle name="40% - Accent4 2 2 9 2" xfId="18228" xr:uid="{2F7D3F1E-884A-4A6B-B0B0-D59DAD94242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65" xr:uid="{AB69A555-7635-4518-9EDB-950E2679C59D}"/>
    <cellStyle name="40% - Accent4 2 3 2 2 3" xfId="12248" xr:uid="{D1AA9C83-C38E-4A06-AF1A-938172A09DBD}"/>
    <cellStyle name="40% - Accent4 2 3 2 3" xfId="4994" xr:uid="{00000000-0005-0000-0000-0000CF050000}"/>
    <cellStyle name="40% - Accent4 2 3 2 3 2" xfId="14320" xr:uid="{86091AE3-B689-4DC0-972A-CBBE91A774C6}"/>
    <cellStyle name="40% - Accent4 2 3 2 4" xfId="9433" xr:uid="{058786D1-7E7D-40D9-9218-B4C7219F4E53}"/>
    <cellStyle name="40% - Accent4 2 3 2 4 2" xfId="18748" xr:uid="{028B7D20-3C06-4659-A12B-13BBE089CA54}"/>
    <cellStyle name="40% - Accent4 2 3 2 5" xfId="10103" xr:uid="{988A132F-BD47-453B-966A-B75143E763BF}"/>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78" xr:uid="{05070BB9-FC36-48ED-91C8-181AD1A45218}"/>
    <cellStyle name="40% - Accent4 2 3 3 2 3" xfId="12661" xr:uid="{BF1826E0-15FD-4C08-9113-BEC6E4AEE40E}"/>
    <cellStyle name="40% - Accent4 2 3 3 3" xfId="5407" xr:uid="{00000000-0005-0000-0000-0000D3050000}"/>
    <cellStyle name="40% - Accent4 2 3 3 3 2" xfId="14733" xr:uid="{ADF4F458-2888-443C-B497-6636F2FA25B6}"/>
    <cellStyle name="40% - Accent4 2 3 3 4" xfId="10516" xr:uid="{4CD9C20B-D584-4DD3-A130-C355B0BF6D02}"/>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91" xr:uid="{05BFACE4-797C-4A76-B5DB-FC6BCEB69478}"/>
    <cellStyle name="40% - Accent4 2 3 4 2 3" xfId="13074" xr:uid="{F0FDD87F-0871-45BD-BF5E-C22DA068F843}"/>
    <cellStyle name="40% - Accent4 2 3 4 3" xfId="5820" xr:uid="{00000000-0005-0000-0000-0000D7050000}"/>
    <cellStyle name="40% - Accent4 2 3 4 3 2" xfId="15146" xr:uid="{4EFFC3D8-013D-4EA8-973A-CD3E2FB69DBC}"/>
    <cellStyle name="40% - Accent4 2 3 4 4" xfId="10929" xr:uid="{45B016E6-2E68-4FFC-BD86-8751D8836B07}"/>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704" xr:uid="{92B9BB6E-7A18-4199-AC43-6BF2A5063A26}"/>
    <cellStyle name="40% - Accent4 2 3 5 2 3" xfId="13487" xr:uid="{D714BBD1-C7BA-4B6B-B2E6-6EB6396CF2EF}"/>
    <cellStyle name="40% - Accent4 2 3 5 3" xfId="6233" xr:uid="{00000000-0005-0000-0000-0000DB050000}"/>
    <cellStyle name="40% - Accent4 2 3 5 3 2" xfId="15559" xr:uid="{72D015FB-F3D3-4E8C-929F-F366104B0561}"/>
    <cellStyle name="40% - Accent4 2 3 5 4" xfId="11342" xr:uid="{C12CDB5F-BF8B-4FF8-BAFB-7979CB4BE21D}"/>
    <cellStyle name="40% - Accent4 2 3 6" xfId="2340" xr:uid="{00000000-0005-0000-0000-0000DC050000}"/>
    <cellStyle name="40% - Accent4 2 3 6 2" xfId="6646" xr:uid="{00000000-0005-0000-0000-0000DD050000}"/>
    <cellStyle name="40% - Accent4 2 3 6 2 2" xfId="15972" xr:uid="{3C4D8DE3-A09F-4B5A-A4FD-1C818B30B122}"/>
    <cellStyle name="40% - Accent4 2 3 6 3" xfId="11755" xr:uid="{DE4497BD-BE76-44F1-A424-8C688EF668AE}"/>
    <cellStyle name="40% - Accent4 2 3 7" xfId="4580" xr:uid="{00000000-0005-0000-0000-0000DE050000}"/>
    <cellStyle name="40% - Accent4 2 3 7 2" xfId="13906" xr:uid="{7013AE19-CD9A-4186-8B91-5D0347036908}"/>
    <cellStyle name="40% - Accent4 2 3 8" xfId="9008" xr:uid="{270F4CAB-C86F-4D9D-804F-69497913908B}"/>
    <cellStyle name="40% - Accent4 2 3 8 2" xfId="18332" xr:uid="{A02F4A0F-B2D4-49F0-9115-B9ED8BAB85B4}"/>
    <cellStyle name="40% - Accent4 2 3 9" xfId="9689" xr:uid="{B3BC1733-CFD5-4054-A679-903342F79C76}"/>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62" xr:uid="{588834C0-026F-443F-B4F3-38C096570FB2}"/>
    <cellStyle name="40% - Accent4 2 4 2 3" xfId="12245" xr:uid="{06D35293-3B81-4D71-91DE-8BD45E58E43C}"/>
    <cellStyle name="40% - Accent4 2 4 3" xfId="4991" xr:uid="{00000000-0005-0000-0000-0000E2050000}"/>
    <cellStyle name="40% - Accent4 2 4 3 2" xfId="14317" xr:uid="{A087586C-A139-4713-BC4B-1FFE5B052EFC}"/>
    <cellStyle name="40% - Accent4 2 4 4" xfId="9225" xr:uid="{40EEB981-54C4-40E4-A2F9-BCD479248D23}"/>
    <cellStyle name="40% - Accent4 2 4 4 2" xfId="18541" xr:uid="{FD815379-CC6C-4C78-AB34-7AA876300F18}"/>
    <cellStyle name="40% - Accent4 2 4 5" xfId="10100" xr:uid="{F3AA8298-6A30-4EDA-856A-29183E573091}"/>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75" xr:uid="{4C39C701-4E3E-4C0B-97E8-EB3A6F3E22B1}"/>
    <cellStyle name="40% - Accent4 2 5 2 3" xfId="12658" xr:uid="{4900488C-FD74-413C-A129-7D8F9249BD95}"/>
    <cellStyle name="40% - Accent4 2 5 3" xfId="5404" xr:uid="{00000000-0005-0000-0000-0000E6050000}"/>
    <cellStyle name="40% - Accent4 2 5 3 2" xfId="14730" xr:uid="{5DFE843D-1B70-413E-BD2A-EC2B7D33580C}"/>
    <cellStyle name="40% - Accent4 2 5 4" xfId="10513" xr:uid="{25E4C426-A07C-4C75-B3D3-93B0A7C53248}"/>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88" xr:uid="{40889A8B-70B5-43D1-A172-733F1C61D7B8}"/>
    <cellStyle name="40% - Accent4 2 6 2 3" xfId="13071" xr:uid="{AEAEA0D7-3D4E-484C-B889-1361EB9F8CE1}"/>
    <cellStyle name="40% - Accent4 2 6 3" xfId="5817" xr:uid="{00000000-0005-0000-0000-0000EA050000}"/>
    <cellStyle name="40% - Accent4 2 6 3 2" xfId="15143" xr:uid="{091D8EFD-E74B-4A23-90AB-FF83F5A6752B}"/>
    <cellStyle name="40% - Accent4 2 6 4" xfId="10926" xr:uid="{13DB1235-A0B5-4930-8261-AFAA54E033DF}"/>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701" xr:uid="{FEAA9C84-309B-42AA-8630-064982C9A737}"/>
    <cellStyle name="40% - Accent4 2 7 2 3" xfId="13484" xr:uid="{1817F712-0DFB-4FC7-8276-12CF16D971D5}"/>
    <cellStyle name="40% - Accent4 2 7 3" xfId="6230" xr:uid="{00000000-0005-0000-0000-0000EE050000}"/>
    <cellStyle name="40% - Accent4 2 7 3 2" xfId="15556" xr:uid="{0D9145DA-6557-4069-A410-C74ABFB0D522}"/>
    <cellStyle name="40% - Accent4 2 7 4" xfId="11339" xr:uid="{5DA8F79E-6576-4533-85C5-44CE35094606}"/>
    <cellStyle name="40% - Accent4 2 8" xfId="2337" xr:uid="{00000000-0005-0000-0000-0000EF050000}"/>
    <cellStyle name="40% - Accent4 2 8 2" xfId="6643" xr:uid="{00000000-0005-0000-0000-0000F0050000}"/>
    <cellStyle name="40% - Accent4 2 8 2 2" xfId="15969" xr:uid="{655E0E2F-ED85-4C9B-A37A-D410431D4131}"/>
    <cellStyle name="40% - Accent4 2 8 3" xfId="11752" xr:uid="{083B2C2A-D3A6-4410-8D79-9AC0450E1FE4}"/>
    <cellStyle name="40% - Accent4 2 9" xfId="4577" xr:uid="{00000000-0005-0000-0000-0000F1050000}"/>
    <cellStyle name="40% - Accent4 2 9 2" xfId="13903" xr:uid="{14455302-3398-4125-9612-276EF133E1A4}"/>
    <cellStyle name="40% - Accent4 3" xfId="78" xr:uid="{00000000-0005-0000-0000-0000F2050000}"/>
    <cellStyle name="40% - Accent4 3 10" xfId="9690" xr:uid="{CF8049D8-9F0B-48B8-90BB-2D80D856FB7C}"/>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67" xr:uid="{AFE40187-7A5F-4094-8F20-1AC48F5FF9B8}"/>
    <cellStyle name="40% - Accent4 3 2 2 2 3" xfId="12250" xr:uid="{B686FEAA-038B-4C68-8F68-6F7FFF228629}"/>
    <cellStyle name="40% - Accent4 3 2 2 3" xfId="4996" xr:uid="{00000000-0005-0000-0000-0000F7050000}"/>
    <cellStyle name="40% - Accent4 3 2 2 3 2" xfId="14322" xr:uid="{0FB056EF-03E7-4CEC-B530-7D3B2ADB7AE3}"/>
    <cellStyle name="40% - Accent4 3 2 2 4" xfId="9500" xr:uid="{EAAAC99F-A3A1-40FB-B78D-6862EF121B7A}"/>
    <cellStyle name="40% - Accent4 3 2 2 4 2" xfId="18815" xr:uid="{8D3C8D56-AA86-448F-8C5A-BE4A1CC4F5FC}"/>
    <cellStyle name="40% - Accent4 3 2 2 5" xfId="10105" xr:uid="{3F6703A0-1744-433B-A378-84A5828F5B52}"/>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80" xr:uid="{26A5C709-375B-4207-B3C2-AFE15681FA56}"/>
    <cellStyle name="40% - Accent4 3 2 3 2 3" xfId="12663" xr:uid="{AD779B50-E371-4352-92A1-CBE47D9E6414}"/>
    <cellStyle name="40% - Accent4 3 2 3 3" xfId="5409" xr:uid="{00000000-0005-0000-0000-0000FB050000}"/>
    <cellStyle name="40% - Accent4 3 2 3 3 2" xfId="14735" xr:uid="{2129EA76-B869-4D7D-AD35-11DFA5E8A72F}"/>
    <cellStyle name="40% - Accent4 3 2 3 4" xfId="10518" xr:uid="{A7BDEA75-5479-433A-AA80-B7AFF131A033}"/>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93" xr:uid="{B766C1F0-5511-4FBA-A0C6-B3BB6CF0FA5D}"/>
    <cellStyle name="40% - Accent4 3 2 4 2 3" xfId="13076" xr:uid="{FA5A2EA6-3045-441E-81EC-58BFAA640D93}"/>
    <cellStyle name="40% - Accent4 3 2 4 3" xfId="5822" xr:uid="{00000000-0005-0000-0000-0000FF050000}"/>
    <cellStyle name="40% - Accent4 3 2 4 3 2" xfId="15148" xr:uid="{95CD97A2-0BF9-4E6A-9DC6-10EAEBF7FAFF}"/>
    <cellStyle name="40% - Accent4 3 2 4 4" xfId="10931" xr:uid="{4A713E2D-7CBA-4A64-B9CA-4765EDC66492}"/>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706" xr:uid="{9B8A3E33-2376-496D-ACA9-443C4CF4C44B}"/>
    <cellStyle name="40% - Accent4 3 2 5 2 3" xfId="13489" xr:uid="{99A76F10-A078-4E69-B0C9-987ABB554EC7}"/>
    <cellStyle name="40% - Accent4 3 2 5 3" xfId="6235" xr:uid="{00000000-0005-0000-0000-000003060000}"/>
    <cellStyle name="40% - Accent4 3 2 5 3 2" xfId="15561" xr:uid="{B683A321-F237-4333-879D-AB5C411F953E}"/>
    <cellStyle name="40% - Accent4 3 2 5 4" xfId="11344" xr:uid="{F4EBB1E3-D0BF-4146-8D22-F3BF37828449}"/>
    <cellStyle name="40% - Accent4 3 2 6" xfId="2342" xr:uid="{00000000-0005-0000-0000-000004060000}"/>
    <cellStyle name="40% - Accent4 3 2 6 2" xfId="6648" xr:uid="{00000000-0005-0000-0000-000005060000}"/>
    <cellStyle name="40% - Accent4 3 2 6 2 2" xfId="15974" xr:uid="{4A160149-A0FF-43C6-9D8B-80D103DF388A}"/>
    <cellStyle name="40% - Accent4 3 2 6 3" xfId="11757" xr:uid="{73D7157D-C356-4FE4-B21F-1F0489DB0207}"/>
    <cellStyle name="40% - Accent4 3 2 7" xfId="4582" xr:uid="{00000000-0005-0000-0000-000006060000}"/>
    <cellStyle name="40% - Accent4 3 2 7 2" xfId="13908" xr:uid="{A97E0125-9300-4262-A66F-8C6DD585475F}"/>
    <cellStyle name="40% - Accent4 3 2 8" xfId="9075" xr:uid="{6C51FF47-5618-4E1E-BC97-01FFF287A6C3}"/>
    <cellStyle name="40% - Accent4 3 2 8 2" xfId="18399" xr:uid="{229908F6-C3BE-4435-9B6A-5AFB70AB91CE}"/>
    <cellStyle name="40% - Accent4 3 2 9" xfId="9691" xr:uid="{A90D00A6-866F-40A9-BEE0-D637A11E1E93}"/>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66" xr:uid="{F0F77AF0-99D9-479C-A4AA-CED73C85887D}"/>
    <cellStyle name="40% - Accent4 3 3 2 3" xfId="12249" xr:uid="{A07BAF85-7867-4994-8A33-37C611B69516}"/>
    <cellStyle name="40% - Accent4 3 3 3" xfId="4995" xr:uid="{00000000-0005-0000-0000-00000A060000}"/>
    <cellStyle name="40% - Accent4 3 3 3 2" xfId="14321" xr:uid="{A5E28C85-B378-47AF-A1D2-8B47ABB11356}"/>
    <cellStyle name="40% - Accent4 3 3 4" xfId="9293" xr:uid="{4A28D7F5-3617-45DC-A350-6C6596CDA765}"/>
    <cellStyle name="40% - Accent4 3 3 4 2" xfId="18608" xr:uid="{AE445A2A-DED8-4B0D-8A56-0948963745F5}"/>
    <cellStyle name="40% - Accent4 3 3 5" xfId="10104" xr:uid="{B9447178-68EC-4AB0-91D3-74B38A3620F8}"/>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79" xr:uid="{185BFA4D-C1A4-41BF-A2DA-C0EB599EFFEA}"/>
    <cellStyle name="40% - Accent4 3 4 2 3" xfId="12662" xr:uid="{04ED8D1A-0234-4428-BFE3-0625C070515A}"/>
    <cellStyle name="40% - Accent4 3 4 3" xfId="5408" xr:uid="{00000000-0005-0000-0000-00000E060000}"/>
    <cellStyle name="40% - Accent4 3 4 3 2" xfId="14734" xr:uid="{73C1B314-5C28-4E99-9534-BC74BE48B522}"/>
    <cellStyle name="40% - Accent4 3 4 4" xfId="10517" xr:uid="{2DD188CD-ADFE-480C-B943-6FD140967990}"/>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92" xr:uid="{7630F3CF-BD55-4BC0-AAC5-D4A7DF94205E}"/>
    <cellStyle name="40% - Accent4 3 5 2 3" xfId="13075" xr:uid="{82CD48D1-F82B-447D-993B-B3763BD6CBAB}"/>
    <cellStyle name="40% - Accent4 3 5 3" xfId="5821" xr:uid="{00000000-0005-0000-0000-000012060000}"/>
    <cellStyle name="40% - Accent4 3 5 3 2" xfId="15147" xr:uid="{901F83FF-AAFE-49E2-AE7A-9B4F73DC733B}"/>
    <cellStyle name="40% - Accent4 3 5 4" xfId="10930" xr:uid="{961366F6-88F6-483C-B997-DC7E968A8DEA}"/>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705" xr:uid="{AA07DE00-DE76-48B1-AD91-B430A7C0234C}"/>
    <cellStyle name="40% - Accent4 3 6 2 3" xfId="13488" xr:uid="{2A5667DA-48FC-4726-9059-4EEA6B7769EF}"/>
    <cellStyle name="40% - Accent4 3 6 3" xfId="6234" xr:uid="{00000000-0005-0000-0000-000016060000}"/>
    <cellStyle name="40% - Accent4 3 6 3 2" xfId="15560" xr:uid="{A667E26F-E724-4058-A4D1-05829279773E}"/>
    <cellStyle name="40% - Accent4 3 6 4" xfId="11343" xr:uid="{12050E8C-278B-48D2-A91F-EDD5313D8F02}"/>
    <cellStyle name="40% - Accent4 3 7" xfId="2341" xr:uid="{00000000-0005-0000-0000-000017060000}"/>
    <cellStyle name="40% - Accent4 3 7 2" xfId="6647" xr:uid="{00000000-0005-0000-0000-000018060000}"/>
    <cellStyle name="40% - Accent4 3 7 2 2" xfId="15973" xr:uid="{E484EEFC-0B5F-47AB-B7F6-18E0722EDE53}"/>
    <cellStyle name="40% - Accent4 3 7 3" xfId="11756" xr:uid="{7897F5F8-5A85-4EEE-BAB1-46E0FEC90B70}"/>
    <cellStyle name="40% - Accent4 3 8" xfId="4581" xr:uid="{00000000-0005-0000-0000-000019060000}"/>
    <cellStyle name="40% - Accent4 3 8 2" xfId="13907" xr:uid="{A4E4234B-733A-4F91-BCE7-D238C7A12677}"/>
    <cellStyle name="40% - Accent4 3 9" xfId="8868" xr:uid="{538D9F50-ACCA-4DB0-A3F1-A129ACFFA0BF}"/>
    <cellStyle name="40% - Accent4 3 9 2" xfId="18192" xr:uid="{CF7BE752-610C-49CC-984C-05D83FDA8183}"/>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68" xr:uid="{1779C0B6-30D2-451F-84B8-05C757A105FB}"/>
    <cellStyle name="40% - Accent4 4 2 2 3" xfId="12251" xr:uid="{401A519D-A74A-4221-9125-20A7F2852DF5}"/>
    <cellStyle name="40% - Accent4 4 2 3" xfId="4997" xr:uid="{00000000-0005-0000-0000-00001E060000}"/>
    <cellStyle name="40% - Accent4 4 2 3 2" xfId="14323" xr:uid="{D304EDCE-0E00-4E00-9FCF-0099B95F2BFF}"/>
    <cellStyle name="40% - Accent4 4 2 4" xfId="9379" xr:uid="{EE31EAE0-1741-4D6E-B7B4-C5DB59044F55}"/>
    <cellStyle name="40% - Accent4 4 2 4 2" xfId="18694" xr:uid="{1AF2D34A-5897-45D7-A6AB-78702851B223}"/>
    <cellStyle name="40% - Accent4 4 2 5" xfId="10106" xr:uid="{12088B82-2B98-4FBD-9C50-70B2A9027E9F}"/>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81" xr:uid="{5CA2725B-21F4-4FE2-8DF0-ACEEDAF0134A}"/>
    <cellStyle name="40% - Accent4 4 3 2 3" xfId="12664" xr:uid="{6EDFBD99-EAF3-46AB-A40A-33EAE97726B1}"/>
    <cellStyle name="40% - Accent4 4 3 3" xfId="5410" xr:uid="{00000000-0005-0000-0000-000022060000}"/>
    <cellStyle name="40% - Accent4 4 3 3 2" xfId="14736" xr:uid="{2863D48F-F055-4864-B65C-61B83F3F3A86}"/>
    <cellStyle name="40% - Accent4 4 3 4" xfId="10519" xr:uid="{DF27A00C-E51E-41C9-AC75-CED2C64648EE}"/>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94" xr:uid="{ECDD43E9-B76C-4BFE-91CC-22F9668B765A}"/>
    <cellStyle name="40% - Accent4 4 4 2 3" xfId="13077" xr:uid="{306E2A31-3500-4327-B11D-E70E85430F83}"/>
    <cellStyle name="40% - Accent4 4 4 3" xfId="5823" xr:uid="{00000000-0005-0000-0000-000026060000}"/>
    <cellStyle name="40% - Accent4 4 4 3 2" xfId="15149" xr:uid="{1B2F24D0-F40A-40ED-89C4-27B749A57B99}"/>
    <cellStyle name="40% - Accent4 4 4 4" xfId="10932" xr:uid="{AF52A868-79A6-41D6-B6D3-C9F926788DF4}"/>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707" xr:uid="{6A50E670-10B3-47DB-9DEF-2A1EED4B889B}"/>
    <cellStyle name="40% - Accent4 4 5 2 3" xfId="13490" xr:uid="{E2F733E7-902C-4A47-BB57-9097285CB2E1}"/>
    <cellStyle name="40% - Accent4 4 5 3" xfId="6236" xr:uid="{00000000-0005-0000-0000-00002A060000}"/>
    <cellStyle name="40% - Accent4 4 5 3 2" xfId="15562" xr:uid="{399F7024-F1BC-497E-91BF-CADFDBC59D77}"/>
    <cellStyle name="40% - Accent4 4 5 4" xfId="11345" xr:uid="{897AA78B-56CD-415D-8F9F-D6C93FC5B555}"/>
    <cellStyle name="40% - Accent4 4 6" xfId="2343" xr:uid="{00000000-0005-0000-0000-00002B060000}"/>
    <cellStyle name="40% - Accent4 4 6 2" xfId="6649" xr:uid="{00000000-0005-0000-0000-00002C060000}"/>
    <cellStyle name="40% - Accent4 4 6 2 2" xfId="15975" xr:uid="{DE61F655-5A57-4761-8E5D-9DEC107E18EF}"/>
    <cellStyle name="40% - Accent4 4 6 3" xfId="11758" xr:uid="{32E91F8D-5F3C-4F8E-B0D0-D1EB44052F49}"/>
    <cellStyle name="40% - Accent4 4 7" xfId="4583" xr:uid="{00000000-0005-0000-0000-00002D060000}"/>
    <cellStyle name="40% - Accent4 4 7 2" xfId="13909" xr:uid="{598D990D-CFCE-4F17-9F74-875A240ED5FC}"/>
    <cellStyle name="40% - Accent4 4 8" xfId="8954" xr:uid="{2C178683-58B3-4513-85E7-15FAC3AC035D}"/>
    <cellStyle name="40% - Accent4 4 8 2" xfId="18278" xr:uid="{572044CB-4888-4292-A3CA-F5E6807B7FD9}"/>
    <cellStyle name="40% - Accent4 4 9" xfId="9692" xr:uid="{F2D91A98-2A18-4486-A0F5-7A075C10FC46}"/>
    <cellStyle name="40% - Accent4 5" xfId="642" xr:uid="{00000000-0005-0000-0000-00002E060000}"/>
    <cellStyle name="40% - Accent4 5 2" xfId="2913" xr:uid="{00000000-0005-0000-0000-00002F060000}"/>
    <cellStyle name="40% - Accent4 5 2 2" xfId="7135" xr:uid="{00000000-0005-0000-0000-000030060000}"/>
    <cellStyle name="40% - Accent4 5 2 2 2" xfId="16461" xr:uid="{DCB74134-D0D4-4412-A2CE-BC50C88DD846}"/>
    <cellStyle name="40% - Accent4 5 2 3" xfId="12244" xr:uid="{B83A7B79-8156-4CE3-9298-F6B385D0B9FD}"/>
    <cellStyle name="40% - Accent4 5 3" xfId="4990" xr:uid="{00000000-0005-0000-0000-000031060000}"/>
    <cellStyle name="40% - Accent4 5 3 2" xfId="14316" xr:uid="{17CA4786-FC95-423B-953C-B38E459C80D3}"/>
    <cellStyle name="40% - Accent4 5 4" xfId="9187" xr:uid="{33022C89-0CDD-4091-8005-358F63FF8F46}"/>
    <cellStyle name="40% - Accent4 5 4 2" xfId="18505" xr:uid="{549BD2DF-ADE7-43A1-8E18-B925DB9DC072}"/>
    <cellStyle name="40% - Accent4 5 5" xfId="10099" xr:uid="{4053EC1B-FCA2-462B-A78B-D1F59EEE65A6}"/>
    <cellStyle name="40% - Accent4 6" xfId="1095" xr:uid="{00000000-0005-0000-0000-000032060000}"/>
    <cellStyle name="40% - Accent4 6 2" xfId="3326" xr:uid="{00000000-0005-0000-0000-000033060000}"/>
    <cellStyle name="40% - Accent4 6 2 2" xfId="7548" xr:uid="{00000000-0005-0000-0000-000034060000}"/>
    <cellStyle name="40% - Accent4 6 2 2 2" xfId="16874" xr:uid="{F4C2BAE3-4A7F-4803-96F8-D7714ACFCA10}"/>
    <cellStyle name="40% - Accent4 6 2 3" xfId="12657" xr:uid="{7362C5F9-94C4-4E2E-96C5-E913058D2DA5}"/>
    <cellStyle name="40% - Accent4 6 3" xfId="5403" xr:uid="{00000000-0005-0000-0000-000035060000}"/>
    <cellStyle name="40% - Accent4 6 3 2" xfId="14729" xr:uid="{E04E2A95-755E-4D17-B7CE-8A5387D0CC36}"/>
    <cellStyle name="40% - Accent4 6 4" xfId="10512" xr:uid="{CD1F1A3D-70D7-4402-971C-6E31882449CD}"/>
    <cellStyle name="40% - Accent4 7" xfId="1509" xr:uid="{00000000-0005-0000-0000-000036060000}"/>
    <cellStyle name="40% - Accent4 7 2" xfId="3739" xr:uid="{00000000-0005-0000-0000-000037060000}"/>
    <cellStyle name="40% - Accent4 7 2 2" xfId="7961" xr:uid="{00000000-0005-0000-0000-000038060000}"/>
    <cellStyle name="40% - Accent4 7 2 2 2" xfId="17287" xr:uid="{32A95C95-D19E-4644-BA07-A8FD65C3703A}"/>
    <cellStyle name="40% - Accent4 7 2 3" xfId="13070" xr:uid="{74C54060-18FE-4AC3-9D32-8EAB1EFD0455}"/>
    <cellStyle name="40% - Accent4 7 3" xfId="5816" xr:uid="{00000000-0005-0000-0000-000039060000}"/>
    <cellStyle name="40% - Accent4 7 3 2" xfId="15142" xr:uid="{F843EE95-7BF7-4F5F-9EE3-A4B850230627}"/>
    <cellStyle name="40% - Accent4 7 4" xfId="10925" xr:uid="{B1869D9B-DDE6-40B6-B6F0-E485FB14C502}"/>
    <cellStyle name="40% - Accent4 8" xfId="1923" xr:uid="{00000000-0005-0000-0000-00003A060000}"/>
    <cellStyle name="40% - Accent4 8 2" xfId="4152" xr:uid="{00000000-0005-0000-0000-00003B060000}"/>
    <cellStyle name="40% - Accent4 8 2 2" xfId="8374" xr:uid="{00000000-0005-0000-0000-00003C060000}"/>
    <cellStyle name="40% - Accent4 8 2 2 2" xfId="17700" xr:uid="{DA54FCC7-09EC-4923-A367-94A2C3C27838}"/>
    <cellStyle name="40% - Accent4 8 2 3" xfId="13483" xr:uid="{9D0EC0B5-BB96-4B25-8F3B-5BEABE0F12C0}"/>
    <cellStyle name="40% - Accent4 8 3" xfId="6229" xr:uid="{00000000-0005-0000-0000-00003D060000}"/>
    <cellStyle name="40% - Accent4 8 3 2" xfId="15555" xr:uid="{F9E2FA1A-5CF6-408F-9FA0-FA6C79D051BF}"/>
    <cellStyle name="40% - Accent4 8 4" xfId="11338" xr:uid="{5C340EB3-28A4-41CF-A4EE-048D2AF5F9A1}"/>
    <cellStyle name="40% - Accent4 9" xfId="2336" xr:uid="{00000000-0005-0000-0000-00003E060000}"/>
    <cellStyle name="40% - Accent4 9 2" xfId="6642" xr:uid="{00000000-0005-0000-0000-00003F060000}"/>
    <cellStyle name="40% - Accent4 9 2 2" xfId="15968" xr:uid="{CC2E59D8-986A-4C7F-8FAB-195178F008C0}"/>
    <cellStyle name="40% - Accent4 9 3" xfId="11751" xr:uid="{0A100E17-9337-4102-B679-B9293134B54B}"/>
    <cellStyle name="40% - Accent5" xfId="81" builtinId="47" customBuiltin="1"/>
    <cellStyle name="40% - Accent5 10" xfId="4584" xr:uid="{00000000-0005-0000-0000-000041060000}"/>
    <cellStyle name="40% - Accent5 10 2" xfId="13910" xr:uid="{AB868117-F4A1-46EF-A4C2-01682AC86DCD}"/>
    <cellStyle name="40% - Accent5 11" xfId="8767" xr:uid="{7A46ADF8-3420-4D4A-A3FE-8E96F0FA38E7}"/>
    <cellStyle name="40% - Accent5 11 2" xfId="18091" xr:uid="{72EA928D-2F4A-4CAF-8A6D-2C05F275FDDA}"/>
    <cellStyle name="40% - Accent5 12" xfId="9693" xr:uid="{413FAA17-17A5-42A5-AF24-4D95CF6BE8FE}"/>
    <cellStyle name="40% - Accent5 2" xfId="82" xr:uid="{00000000-0005-0000-0000-000042060000}"/>
    <cellStyle name="40% - Accent5 2 10" xfId="8802" xr:uid="{CF9BFF45-99AC-47A3-8B01-051C55FBB24D}"/>
    <cellStyle name="40% - Accent5 2 10 2" xfId="18126" xr:uid="{A6DE3A58-4B9E-422D-AE0F-4FF89F9EDDB7}"/>
    <cellStyle name="40% - Accent5 2 11" xfId="9694" xr:uid="{5D9AB1CD-022D-45FB-B3E0-C9D38D94DBC2}"/>
    <cellStyle name="40% - Accent5 2 2" xfId="83" xr:uid="{00000000-0005-0000-0000-000043060000}"/>
    <cellStyle name="40% - Accent5 2 2 10" xfId="9695" xr:uid="{D5D778FA-726A-42D2-BD25-EFA10B972ECF}"/>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72" xr:uid="{7A85A3AC-CE7B-4D6A-982F-07CB0A324D49}"/>
    <cellStyle name="40% - Accent5 2 2 2 2 2 3" xfId="12255" xr:uid="{ACD0CF24-BFA1-4101-9488-1C15EBDBB3E5}"/>
    <cellStyle name="40% - Accent5 2 2 2 2 3" xfId="5001" xr:uid="{00000000-0005-0000-0000-000048060000}"/>
    <cellStyle name="40% - Accent5 2 2 2 2 3 2" xfId="14327" xr:uid="{29AAC611-D04B-4979-A110-527A10295D0D}"/>
    <cellStyle name="40% - Accent5 2 2 2 2 4" xfId="9537" xr:uid="{83834145-5D3F-4083-A609-6DB90651C4CE}"/>
    <cellStyle name="40% - Accent5 2 2 2 2 4 2" xfId="18852" xr:uid="{B1606C2B-0D31-4724-85B0-C1DA09077CA8}"/>
    <cellStyle name="40% - Accent5 2 2 2 2 5" xfId="10110" xr:uid="{25CB1D86-C1BE-4CBE-A707-E44151058727}"/>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85" xr:uid="{9CE9B360-BC18-4306-805F-9CB6AB222B00}"/>
    <cellStyle name="40% - Accent5 2 2 2 3 2 3" xfId="12668" xr:uid="{92100B65-27B2-4866-ACA0-BD8A04231B96}"/>
    <cellStyle name="40% - Accent5 2 2 2 3 3" xfId="5414" xr:uid="{00000000-0005-0000-0000-00004C060000}"/>
    <cellStyle name="40% - Accent5 2 2 2 3 3 2" xfId="14740" xr:uid="{8C382670-213A-436D-8EAC-1E997F100079}"/>
    <cellStyle name="40% - Accent5 2 2 2 3 4" xfId="10523" xr:uid="{F9CBDBCF-54FB-4BEF-86C7-C490F67654F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98" xr:uid="{11BE684B-2F1C-43D1-B25C-253F84AAEEB4}"/>
    <cellStyle name="40% - Accent5 2 2 2 4 2 3" xfId="13081" xr:uid="{84938666-A410-4429-BDD0-73C96A4C2DA7}"/>
    <cellStyle name="40% - Accent5 2 2 2 4 3" xfId="5827" xr:uid="{00000000-0005-0000-0000-000050060000}"/>
    <cellStyle name="40% - Accent5 2 2 2 4 3 2" xfId="15153" xr:uid="{0B4E4193-7527-4505-B5EB-A27F50130866}"/>
    <cellStyle name="40% - Accent5 2 2 2 4 4" xfId="10936" xr:uid="{D677CC99-3CEA-4EA0-938A-5032E1FD13B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711" xr:uid="{87BF283F-1FC7-47B9-A251-17345F139FC0}"/>
    <cellStyle name="40% - Accent5 2 2 2 5 2 3" xfId="13494" xr:uid="{3813EBB7-8C60-42CD-B101-EAC951EC7200}"/>
    <cellStyle name="40% - Accent5 2 2 2 5 3" xfId="6240" xr:uid="{00000000-0005-0000-0000-000054060000}"/>
    <cellStyle name="40% - Accent5 2 2 2 5 3 2" xfId="15566" xr:uid="{BF33BAC6-E298-4239-AF75-C8BF21525AA9}"/>
    <cellStyle name="40% - Accent5 2 2 2 5 4" xfId="11349" xr:uid="{25416C77-6E87-4C7B-BB2B-2EB607EB8FAD}"/>
    <cellStyle name="40% - Accent5 2 2 2 6" xfId="2347" xr:uid="{00000000-0005-0000-0000-000055060000}"/>
    <cellStyle name="40% - Accent5 2 2 2 6 2" xfId="6653" xr:uid="{00000000-0005-0000-0000-000056060000}"/>
    <cellStyle name="40% - Accent5 2 2 2 6 2 2" xfId="15979" xr:uid="{EC4CC968-1B20-46CC-9A96-A0B8653821F5}"/>
    <cellStyle name="40% - Accent5 2 2 2 6 3" xfId="11762" xr:uid="{C9AE6039-4E81-46B8-A2C2-43109A77098F}"/>
    <cellStyle name="40% - Accent5 2 2 2 7" xfId="4587" xr:uid="{00000000-0005-0000-0000-000057060000}"/>
    <cellStyle name="40% - Accent5 2 2 2 7 2" xfId="13913" xr:uid="{FBD715CD-FB77-43F5-BB4C-E9718C6E59E8}"/>
    <cellStyle name="40% - Accent5 2 2 2 8" xfId="9112" xr:uid="{65D0CC40-E9D0-4CE3-B684-8DE4A2C7BCD7}"/>
    <cellStyle name="40% - Accent5 2 2 2 8 2" xfId="18436" xr:uid="{1B04AEF3-599F-4101-8844-5132D517D638}"/>
    <cellStyle name="40% - Accent5 2 2 2 9" xfId="9696" xr:uid="{DB46AA47-6B69-49EB-B2EF-4338718CE1E5}"/>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71" xr:uid="{F1670740-E8A9-4D63-A587-736976F5F7FA}"/>
    <cellStyle name="40% - Accent5 2 2 3 2 3" xfId="12254" xr:uid="{8A3319ED-839A-45B1-B69C-D2D8C7CC3006}"/>
    <cellStyle name="40% - Accent5 2 2 3 3" xfId="5000" xr:uid="{00000000-0005-0000-0000-00005B060000}"/>
    <cellStyle name="40% - Accent5 2 2 3 3 2" xfId="14326" xr:uid="{653DCC80-28B2-406F-8EE5-61A444A4BF50}"/>
    <cellStyle name="40% - Accent5 2 2 3 4" xfId="9330" xr:uid="{75959B30-FD84-42A5-95AE-69048CCC8361}"/>
    <cellStyle name="40% - Accent5 2 2 3 4 2" xfId="18645" xr:uid="{0B429CA2-3462-4D48-A037-77E802A13614}"/>
    <cellStyle name="40% - Accent5 2 2 3 5" xfId="10109" xr:uid="{24E5A99F-3D66-4FEE-A03C-279D44F9C2FD}"/>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84" xr:uid="{F80BD580-E741-47C6-BEBB-7A7F4F92317B}"/>
    <cellStyle name="40% - Accent5 2 2 4 2 3" xfId="12667" xr:uid="{D5C78456-A222-4683-A52D-ED0B3D5B6F61}"/>
    <cellStyle name="40% - Accent5 2 2 4 3" xfId="5413" xr:uid="{00000000-0005-0000-0000-00005F060000}"/>
    <cellStyle name="40% - Accent5 2 2 4 3 2" xfId="14739" xr:uid="{90FC3F3D-4939-46AD-BDBD-A0B9D80D3FF5}"/>
    <cellStyle name="40% - Accent5 2 2 4 4" xfId="10522" xr:uid="{95C7E594-66AE-4FEB-8B92-16FD87F58D35}"/>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97" xr:uid="{1CDD4C57-17EC-4108-A06D-0BE01BFCD328}"/>
    <cellStyle name="40% - Accent5 2 2 5 2 3" xfId="13080" xr:uid="{E2212D4F-CC14-4960-966D-745DBAA2ED13}"/>
    <cellStyle name="40% - Accent5 2 2 5 3" xfId="5826" xr:uid="{00000000-0005-0000-0000-000063060000}"/>
    <cellStyle name="40% - Accent5 2 2 5 3 2" xfId="15152" xr:uid="{57121BFC-334F-4026-9209-836A52737F09}"/>
    <cellStyle name="40% - Accent5 2 2 5 4" xfId="10935" xr:uid="{6A45E975-F3E3-40E8-B3B5-0A667B274B54}"/>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710" xr:uid="{2673AB50-A1A1-4BB5-860A-5B03CA87A926}"/>
    <cellStyle name="40% - Accent5 2 2 6 2 3" xfId="13493" xr:uid="{B76A3B53-087E-4565-B555-5210DDF59905}"/>
    <cellStyle name="40% - Accent5 2 2 6 3" xfId="6239" xr:uid="{00000000-0005-0000-0000-000067060000}"/>
    <cellStyle name="40% - Accent5 2 2 6 3 2" xfId="15565" xr:uid="{9829B5C8-6D5D-4664-BCAE-8D190206C8F7}"/>
    <cellStyle name="40% - Accent5 2 2 6 4" xfId="11348" xr:uid="{8BC2336F-5605-44CE-8FE7-10AE06963C0F}"/>
    <cellStyle name="40% - Accent5 2 2 7" xfId="2346" xr:uid="{00000000-0005-0000-0000-000068060000}"/>
    <cellStyle name="40% - Accent5 2 2 7 2" xfId="6652" xr:uid="{00000000-0005-0000-0000-000069060000}"/>
    <cellStyle name="40% - Accent5 2 2 7 2 2" xfId="15978" xr:uid="{E0863F0C-0F88-4914-A765-236F7E7E2D74}"/>
    <cellStyle name="40% - Accent5 2 2 7 3" xfId="11761" xr:uid="{FC52FD1A-4121-44F5-A5D2-5F588A954438}"/>
    <cellStyle name="40% - Accent5 2 2 8" xfId="4586" xr:uid="{00000000-0005-0000-0000-00006A060000}"/>
    <cellStyle name="40% - Accent5 2 2 8 2" xfId="13912" xr:uid="{F30CD94F-B9EF-4045-B2E8-C928573F44E6}"/>
    <cellStyle name="40% - Accent5 2 2 9" xfId="8905" xr:uid="{3B48B2AE-2C2B-47FB-A8F4-43FECCDBCFEF}"/>
    <cellStyle name="40% - Accent5 2 2 9 2" xfId="18229" xr:uid="{D1AC8510-A1F0-4E94-B4DD-FF0F98ADC8E4}"/>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73" xr:uid="{883A6BA6-520A-4558-9F6A-1D9D763FB073}"/>
    <cellStyle name="40% - Accent5 2 3 2 2 3" xfId="12256" xr:uid="{A7D45C3D-E18D-48EE-8771-07A59B177429}"/>
    <cellStyle name="40% - Accent5 2 3 2 3" xfId="5002" xr:uid="{00000000-0005-0000-0000-00006F060000}"/>
    <cellStyle name="40% - Accent5 2 3 2 3 2" xfId="14328" xr:uid="{C26AE59C-73F1-4B89-92D5-A490DACDF1FB}"/>
    <cellStyle name="40% - Accent5 2 3 2 4" xfId="9434" xr:uid="{512EAA64-F150-4B15-8534-EB34D6D41408}"/>
    <cellStyle name="40% - Accent5 2 3 2 4 2" xfId="18749" xr:uid="{C8B8D421-6FF4-45E4-84B9-E09ACCF03D47}"/>
    <cellStyle name="40% - Accent5 2 3 2 5" xfId="10111" xr:uid="{2140B664-9875-40DB-A437-59DCE9C0ADF6}"/>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86" xr:uid="{C5FFF8B4-20FB-492D-98EE-E6775D9F1DE8}"/>
    <cellStyle name="40% - Accent5 2 3 3 2 3" xfId="12669" xr:uid="{08552E04-BCE3-4948-9739-C84EDBB0E395}"/>
    <cellStyle name="40% - Accent5 2 3 3 3" xfId="5415" xr:uid="{00000000-0005-0000-0000-000073060000}"/>
    <cellStyle name="40% - Accent5 2 3 3 3 2" xfId="14741" xr:uid="{0A2BB07D-BDA3-4E58-B5DE-239BA9B23176}"/>
    <cellStyle name="40% - Accent5 2 3 3 4" xfId="10524" xr:uid="{3BEB4936-8687-42FA-BC08-580C15F79C77}"/>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99" xr:uid="{AEFE41D1-2BF8-449A-960A-7A12E1EDBDA8}"/>
    <cellStyle name="40% - Accent5 2 3 4 2 3" xfId="13082" xr:uid="{18692C3D-D880-48A1-9C55-A4570D9999D0}"/>
    <cellStyle name="40% - Accent5 2 3 4 3" xfId="5828" xr:uid="{00000000-0005-0000-0000-000077060000}"/>
    <cellStyle name="40% - Accent5 2 3 4 3 2" xfId="15154" xr:uid="{9358E93C-F064-42DE-85E8-FDFC17DBC4E4}"/>
    <cellStyle name="40% - Accent5 2 3 4 4" xfId="10937" xr:uid="{25FFDB37-1C0F-4D62-9400-C271093A66BE}"/>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712" xr:uid="{1573731F-EA53-4E4B-B20B-26E37152E424}"/>
    <cellStyle name="40% - Accent5 2 3 5 2 3" xfId="13495" xr:uid="{4EBEEEFB-B419-4A8B-B1C6-C585F0F82D9A}"/>
    <cellStyle name="40% - Accent5 2 3 5 3" xfId="6241" xr:uid="{00000000-0005-0000-0000-00007B060000}"/>
    <cellStyle name="40% - Accent5 2 3 5 3 2" xfId="15567" xr:uid="{57C62F2B-E64A-429B-A370-DBD70BEF8331}"/>
    <cellStyle name="40% - Accent5 2 3 5 4" xfId="11350" xr:uid="{72F1C0EE-5AF3-4D69-A751-515951535CBE}"/>
    <cellStyle name="40% - Accent5 2 3 6" xfId="2348" xr:uid="{00000000-0005-0000-0000-00007C060000}"/>
    <cellStyle name="40% - Accent5 2 3 6 2" xfId="6654" xr:uid="{00000000-0005-0000-0000-00007D060000}"/>
    <cellStyle name="40% - Accent5 2 3 6 2 2" xfId="15980" xr:uid="{CDBB27D4-1CCC-4BC8-9F38-159655ECF4E2}"/>
    <cellStyle name="40% - Accent5 2 3 6 3" xfId="11763" xr:uid="{72F65237-F5F2-4DAA-AD0B-E4E8B2392259}"/>
    <cellStyle name="40% - Accent5 2 3 7" xfId="4588" xr:uid="{00000000-0005-0000-0000-00007E060000}"/>
    <cellStyle name="40% - Accent5 2 3 7 2" xfId="13914" xr:uid="{5CBD5EDD-1E5A-4B2B-80AE-E72A8BFC95AB}"/>
    <cellStyle name="40% - Accent5 2 3 8" xfId="9009" xr:uid="{DE8B6E41-761F-4ED0-BA8A-00A6A898A2FC}"/>
    <cellStyle name="40% - Accent5 2 3 8 2" xfId="18333" xr:uid="{93FF9142-E2BB-48F9-A8B6-6DED8B4931CA}"/>
    <cellStyle name="40% - Accent5 2 3 9" xfId="9697" xr:uid="{77D57329-90DE-4187-B917-0E79951EA308}"/>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70" xr:uid="{8237D0D8-1085-4290-BFF4-D36D435200D2}"/>
    <cellStyle name="40% - Accent5 2 4 2 3" xfId="12253" xr:uid="{031D0581-6279-4BD4-91F2-63F20DA4E419}"/>
    <cellStyle name="40% - Accent5 2 4 3" xfId="4999" xr:uid="{00000000-0005-0000-0000-000082060000}"/>
    <cellStyle name="40% - Accent5 2 4 3 2" xfId="14325" xr:uid="{D854DC86-655A-431B-AA8C-9D7630925FC4}"/>
    <cellStyle name="40% - Accent5 2 4 4" xfId="9226" xr:uid="{6A688709-D29B-458C-973B-231279FAFEF5}"/>
    <cellStyle name="40% - Accent5 2 4 4 2" xfId="18542" xr:uid="{906CEA68-710A-42EC-81EE-FD84C5BE87D4}"/>
    <cellStyle name="40% - Accent5 2 4 5" xfId="10108" xr:uid="{03AF9523-06B9-4BE5-9DCD-B74D1646E521}"/>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83" xr:uid="{2AF9B990-1510-43EC-B590-65DEC8064B3A}"/>
    <cellStyle name="40% - Accent5 2 5 2 3" xfId="12666" xr:uid="{FF336618-BC0C-41A9-A95F-EC8AF1F42380}"/>
    <cellStyle name="40% - Accent5 2 5 3" xfId="5412" xr:uid="{00000000-0005-0000-0000-000086060000}"/>
    <cellStyle name="40% - Accent5 2 5 3 2" xfId="14738" xr:uid="{CC2165F6-A89B-4111-B633-EF9753FDC80F}"/>
    <cellStyle name="40% - Accent5 2 5 4" xfId="10521" xr:uid="{96A8D8D9-E21F-4046-A243-769298CEE37A}"/>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96" xr:uid="{C5BBC0E0-0DD8-4BA9-9B21-65CD0DE39DE9}"/>
    <cellStyle name="40% - Accent5 2 6 2 3" xfId="13079" xr:uid="{84F470C6-CCC5-4DA3-8A08-27C13F02BB27}"/>
    <cellStyle name="40% - Accent5 2 6 3" xfId="5825" xr:uid="{00000000-0005-0000-0000-00008A060000}"/>
    <cellStyle name="40% - Accent5 2 6 3 2" xfId="15151" xr:uid="{3BB70808-7372-4303-BCA3-3CED8143356E}"/>
    <cellStyle name="40% - Accent5 2 6 4" xfId="10934" xr:uid="{B08009A3-1120-4B25-9714-E28B673A988E}"/>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709" xr:uid="{B25E8494-4597-483B-86B8-14B2F401DA1A}"/>
    <cellStyle name="40% - Accent5 2 7 2 3" xfId="13492" xr:uid="{B7C8751F-B4C3-483B-92B9-78BCBDB17187}"/>
    <cellStyle name="40% - Accent5 2 7 3" xfId="6238" xr:uid="{00000000-0005-0000-0000-00008E060000}"/>
    <cellStyle name="40% - Accent5 2 7 3 2" xfId="15564" xr:uid="{2F3E4D58-63F4-4554-A8D0-BBE1A9B959F3}"/>
    <cellStyle name="40% - Accent5 2 7 4" xfId="11347" xr:uid="{41EB942A-C0FE-4B44-B7A2-668DC73AF2A0}"/>
    <cellStyle name="40% - Accent5 2 8" xfId="2345" xr:uid="{00000000-0005-0000-0000-00008F060000}"/>
    <cellStyle name="40% - Accent5 2 8 2" xfId="6651" xr:uid="{00000000-0005-0000-0000-000090060000}"/>
    <cellStyle name="40% - Accent5 2 8 2 2" xfId="15977" xr:uid="{FD2AD171-6A88-43C4-BC24-5CF8F112E08A}"/>
    <cellStyle name="40% - Accent5 2 8 3" xfId="11760" xr:uid="{C64E7F20-70C4-4E3A-A373-6106C70C4A20}"/>
    <cellStyle name="40% - Accent5 2 9" xfId="4585" xr:uid="{00000000-0005-0000-0000-000091060000}"/>
    <cellStyle name="40% - Accent5 2 9 2" xfId="13911" xr:uid="{2D9A97AB-A1E4-46A8-9FD3-AA0203D4BC75}"/>
    <cellStyle name="40% - Accent5 3" xfId="86" xr:uid="{00000000-0005-0000-0000-000092060000}"/>
    <cellStyle name="40% - Accent5 3 10" xfId="9698" xr:uid="{18924F2B-DF55-4B97-AAA3-BCE88E09534E}"/>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75" xr:uid="{961D7011-53EB-4EAE-B386-1801CF7308D8}"/>
    <cellStyle name="40% - Accent5 3 2 2 2 3" xfId="12258" xr:uid="{EF0EB2EF-4030-4611-A45B-30B19369833B}"/>
    <cellStyle name="40% - Accent5 3 2 2 3" xfId="5004" xr:uid="{00000000-0005-0000-0000-000097060000}"/>
    <cellStyle name="40% - Accent5 3 2 2 3 2" xfId="14330" xr:uid="{01741E81-9B83-4BC0-AE35-32ABB8500B10}"/>
    <cellStyle name="40% - Accent5 3 2 2 4" xfId="9502" xr:uid="{96903B0D-DCFE-4149-8088-461BCB03A73B}"/>
    <cellStyle name="40% - Accent5 3 2 2 4 2" xfId="18817" xr:uid="{62D69CC2-A6CD-4008-8D39-7094587BE91B}"/>
    <cellStyle name="40% - Accent5 3 2 2 5" xfId="10113" xr:uid="{DB0E6581-E0E5-4C8F-8FF7-2019DE50DA6B}"/>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88" xr:uid="{79F2DA5B-EEE3-48C7-BAAB-D9ACF0B339A1}"/>
    <cellStyle name="40% - Accent5 3 2 3 2 3" xfId="12671" xr:uid="{7006A43D-BDA8-4957-AFDD-0F1C898A4A5C}"/>
    <cellStyle name="40% - Accent5 3 2 3 3" xfId="5417" xr:uid="{00000000-0005-0000-0000-00009B060000}"/>
    <cellStyle name="40% - Accent5 3 2 3 3 2" xfId="14743" xr:uid="{C388B695-3205-4890-BDC0-94E8F0791A36}"/>
    <cellStyle name="40% - Accent5 3 2 3 4" xfId="10526" xr:uid="{19313D96-DEB8-466A-8991-AFF95ACAA192}"/>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301" xr:uid="{1D3F8110-8B9A-4931-8CF1-E26888C9BD9B}"/>
    <cellStyle name="40% - Accent5 3 2 4 2 3" xfId="13084" xr:uid="{E9F2F4BC-F34E-4213-91D8-6B81F8891E8E}"/>
    <cellStyle name="40% - Accent5 3 2 4 3" xfId="5830" xr:uid="{00000000-0005-0000-0000-00009F060000}"/>
    <cellStyle name="40% - Accent5 3 2 4 3 2" xfId="15156" xr:uid="{64B6D673-B186-40C1-9529-E41F7457FFB3}"/>
    <cellStyle name="40% - Accent5 3 2 4 4" xfId="10939" xr:uid="{6DED1EDA-BF7D-41AB-8EE4-6747A72833B2}"/>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714" xr:uid="{48651000-6A7E-441D-BC25-120A6B0F1B14}"/>
    <cellStyle name="40% - Accent5 3 2 5 2 3" xfId="13497" xr:uid="{429052FD-7E42-4367-A27B-D2F33B46DC13}"/>
    <cellStyle name="40% - Accent5 3 2 5 3" xfId="6243" xr:uid="{00000000-0005-0000-0000-0000A3060000}"/>
    <cellStyle name="40% - Accent5 3 2 5 3 2" xfId="15569" xr:uid="{3B0B8901-E4BD-472C-A265-808980ACFDE7}"/>
    <cellStyle name="40% - Accent5 3 2 5 4" xfId="11352" xr:uid="{A423E61A-994A-49C5-A0B2-89531E981DC1}"/>
    <cellStyle name="40% - Accent5 3 2 6" xfId="2350" xr:uid="{00000000-0005-0000-0000-0000A4060000}"/>
    <cellStyle name="40% - Accent5 3 2 6 2" xfId="6656" xr:uid="{00000000-0005-0000-0000-0000A5060000}"/>
    <cellStyle name="40% - Accent5 3 2 6 2 2" xfId="15982" xr:uid="{B4D4E806-3D52-4AA8-B771-50CA1FFF4994}"/>
    <cellStyle name="40% - Accent5 3 2 6 3" xfId="11765" xr:uid="{0FC422B4-81E5-47AA-B905-43FC1C51DCFC}"/>
    <cellStyle name="40% - Accent5 3 2 7" xfId="4590" xr:uid="{00000000-0005-0000-0000-0000A6060000}"/>
    <cellStyle name="40% - Accent5 3 2 7 2" xfId="13916" xr:uid="{7A3CBFB6-DC81-40D1-895B-CE1A08205C47}"/>
    <cellStyle name="40% - Accent5 3 2 8" xfId="9077" xr:uid="{8842DD15-54E4-487D-B492-3A505722387C}"/>
    <cellStyle name="40% - Accent5 3 2 8 2" xfId="18401" xr:uid="{A86F248B-1ABF-45A9-8B7E-0FAA76C54631}"/>
    <cellStyle name="40% - Accent5 3 2 9" xfId="9699" xr:uid="{72E01D2D-4979-404E-A461-A3C38BE08F6B}"/>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74" xr:uid="{D195EFDD-C475-4D8F-8FB1-F9D9C6A12CD2}"/>
    <cellStyle name="40% - Accent5 3 3 2 3" xfId="12257" xr:uid="{6D3917C7-A626-4D74-98F5-1001A1E5B153}"/>
    <cellStyle name="40% - Accent5 3 3 3" xfId="5003" xr:uid="{00000000-0005-0000-0000-0000AA060000}"/>
    <cellStyle name="40% - Accent5 3 3 3 2" xfId="14329" xr:uid="{A8008030-1B51-4836-8AEA-3D82F6B83820}"/>
    <cellStyle name="40% - Accent5 3 3 4" xfId="9295" xr:uid="{0D42C89E-252E-426A-8E1F-7D3AD6B9FE55}"/>
    <cellStyle name="40% - Accent5 3 3 4 2" xfId="18610" xr:uid="{7665F0A6-7ED3-4529-A644-4CFD0F754025}"/>
    <cellStyle name="40% - Accent5 3 3 5" xfId="10112" xr:uid="{4302EE9D-FBD0-480D-BF96-5111E76C3ABC}"/>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87" xr:uid="{7BB2E536-2FA4-4915-819E-1E5D0D762F39}"/>
    <cellStyle name="40% - Accent5 3 4 2 3" xfId="12670" xr:uid="{1BB0394B-66A3-4367-84CA-A9694B24D9CD}"/>
    <cellStyle name="40% - Accent5 3 4 3" xfId="5416" xr:uid="{00000000-0005-0000-0000-0000AE060000}"/>
    <cellStyle name="40% - Accent5 3 4 3 2" xfId="14742" xr:uid="{E661F1CF-B7E6-41E5-86AC-1859E8A2F461}"/>
    <cellStyle name="40% - Accent5 3 4 4" xfId="10525" xr:uid="{916CBB72-452C-4913-8683-10121E4E59C4}"/>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300" xr:uid="{B1D61C3F-6CCA-4CE9-8F66-BF9E27CCFEF0}"/>
    <cellStyle name="40% - Accent5 3 5 2 3" xfId="13083" xr:uid="{E7C2062B-BBF2-42FF-8058-6CAB0526EAA5}"/>
    <cellStyle name="40% - Accent5 3 5 3" xfId="5829" xr:uid="{00000000-0005-0000-0000-0000B2060000}"/>
    <cellStyle name="40% - Accent5 3 5 3 2" xfId="15155" xr:uid="{42ECE096-3130-49D5-B08E-3329C5E18A08}"/>
    <cellStyle name="40% - Accent5 3 5 4" xfId="10938" xr:uid="{D66B27A4-58C7-47E8-BD27-D6717F6C8799}"/>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713" xr:uid="{1A0D5131-4305-4426-A615-F62AF4B44DF9}"/>
    <cellStyle name="40% - Accent5 3 6 2 3" xfId="13496" xr:uid="{8C47E63D-7ADB-4D1C-8F2D-BF4743B4C226}"/>
    <cellStyle name="40% - Accent5 3 6 3" xfId="6242" xr:uid="{00000000-0005-0000-0000-0000B6060000}"/>
    <cellStyle name="40% - Accent5 3 6 3 2" xfId="15568" xr:uid="{4903134D-CBEA-41BB-99ED-1FA6A881EE02}"/>
    <cellStyle name="40% - Accent5 3 6 4" xfId="11351" xr:uid="{9B378381-8957-47C4-9F7D-5A9B30860FC0}"/>
    <cellStyle name="40% - Accent5 3 7" xfId="2349" xr:uid="{00000000-0005-0000-0000-0000B7060000}"/>
    <cellStyle name="40% - Accent5 3 7 2" xfId="6655" xr:uid="{00000000-0005-0000-0000-0000B8060000}"/>
    <cellStyle name="40% - Accent5 3 7 2 2" xfId="15981" xr:uid="{54624288-F705-4F8D-8389-0DFFAEA6B779}"/>
    <cellStyle name="40% - Accent5 3 7 3" xfId="11764" xr:uid="{772D51E7-B031-4EE6-A9C9-9BD8E8F41B23}"/>
    <cellStyle name="40% - Accent5 3 8" xfId="4589" xr:uid="{00000000-0005-0000-0000-0000B9060000}"/>
    <cellStyle name="40% - Accent5 3 8 2" xfId="13915" xr:uid="{A9B092A8-C52A-41CD-8DE5-6222876A6AF7}"/>
    <cellStyle name="40% - Accent5 3 9" xfId="8870" xr:uid="{F7DB5D96-1272-4D48-B3B6-48053CFCBA44}"/>
    <cellStyle name="40% - Accent5 3 9 2" xfId="18194" xr:uid="{7970F512-EDF9-4063-89A3-5B0ADFF00B41}"/>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76" xr:uid="{16542889-9591-4ED0-B7FB-22A3583ABB36}"/>
    <cellStyle name="40% - Accent5 4 2 2 3" xfId="12259" xr:uid="{B36A63A2-2AD9-477D-A530-B6943F8FE545}"/>
    <cellStyle name="40% - Accent5 4 2 3" xfId="5005" xr:uid="{00000000-0005-0000-0000-0000BE060000}"/>
    <cellStyle name="40% - Accent5 4 2 3 2" xfId="14331" xr:uid="{A4601DAF-300A-4DEE-96F1-6C5299FB0AB4}"/>
    <cellStyle name="40% - Accent5 4 2 4" xfId="9381" xr:uid="{6D86932C-AFC4-4FF0-967D-0F56E90E02E1}"/>
    <cellStyle name="40% - Accent5 4 2 4 2" xfId="18696" xr:uid="{B659655D-8085-4A48-B5B7-A4530E062962}"/>
    <cellStyle name="40% - Accent5 4 2 5" xfId="10114" xr:uid="{8E33EB9F-E62D-4531-88C8-48BA3695EC5C}"/>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89" xr:uid="{8C56D05B-D45F-4D74-AD7C-38D222B9BD83}"/>
    <cellStyle name="40% - Accent5 4 3 2 3" xfId="12672" xr:uid="{B3D59DE2-D65A-4FF1-B6F4-E55146590558}"/>
    <cellStyle name="40% - Accent5 4 3 3" xfId="5418" xr:uid="{00000000-0005-0000-0000-0000C2060000}"/>
    <cellStyle name="40% - Accent5 4 3 3 2" xfId="14744" xr:uid="{E5D9AA73-E4A4-42AA-9B5B-489697AADF14}"/>
    <cellStyle name="40% - Accent5 4 3 4" xfId="10527" xr:uid="{85DA774A-DD4D-468F-8CED-118AEB510297}"/>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302" xr:uid="{C3A8AE1C-BE29-487A-ABD9-3CCDF9CDD28C}"/>
    <cellStyle name="40% - Accent5 4 4 2 3" xfId="13085" xr:uid="{D292CBE2-9590-4C30-ABEB-944109657F2C}"/>
    <cellStyle name="40% - Accent5 4 4 3" xfId="5831" xr:uid="{00000000-0005-0000-0000-0000C6060000}"/>
    <cellStyle name="40% - Accent5 4 4 3 2" xfId="15157" xr:uid="{141110DE-9C95-4E04-979A-7DD74F33C35A}"/>
    <cellStyle name="40% - Accent5 4 4 4" xfId="10940" xr:uid="{02519356-1101-4914-ABF5-991B0B08081F}"/>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715" xr:uid="{03F52541-A21F-4AEF-ABB8-CAE7D25D9911}"/>
    <cellStyle name="40% - Accent5 4 5 2 3" xfId="13498" xr:uid="{89D357CA-12F6-4AD2-83EF-F173ADA87025}"/>
    <cellStyle name="40% - Accent5 4 5 3" xfId="6244" xr:uid="{00000000-0005-0000-0000-0000CA060000}"/>
    <cellStyle name="40% - Accent5 4 5 3 2" xfId="15570" xr:uid="{817C48B9-D725-464C-9681-7F0B6A3E6C65}"/>
    <cellStyle name="40% - Accent5 4 5 4" xfId="11353" xr:uid="{C21D71ED-63A1-4480-B55B-E41B1A5F02E7}"/>
    <cellStyle name="40% - Accent5 4 6" xfId="2351" xr:uid="{00000000-0005-0000-0000-0000CB060000}"/>
    <cellStyle name="40% - Accent5 4 6 2" xfId="6657" xr:uid="{00000000-0005-0000-0000-0000CC060000}"/>
    <cellStyle name="40% - Accent5 4 6 2 2" xfId="15983" xr:uid="{A25C662A-1887-4349-9F6F-3AEECFA5CB30}"/>
    <cellStyle name="40% - Accent5 4 6 3" xfId="11766" xr:uid="{89709CFB-8835-4097-B5E9-9356918D9385}"/>
    <cellStyle name="40% - Accent5 4 7" xfId="4591" xr:uid="{00000000-0005-0000-0000-0000CD060000}"/>
    <cellStyle name="40% - Accent5 4 7 2" xfId="13917" xr:uid="{E1F8BF1A-0705-4626-AFE8-190D548A1E8F}"/>
    <cellStyle name="40% - Accent5 4 8" xfId="8956" xr:uid="{20EBAEFE-DF5E-4B38-878B-CDA5BD3DABC1}"/>
    <cellStyle name="40% - Accent5 4 8 2" xfId="18280" xr:uid="{75E0F768-F35E-4EA4-9F94-38315454BC29}"/>
    <cellStyle name="40% - Accent5 4 9" xfId="9700" xr:uid="{56872123-3F36-4387-97C1-75E72C68D4B2}"/>
    <cellStyle name="40% - Accent5 5" xfId="650" xr:uid="{00000000-0005-0000-0000-0000CE060000}"/>
    <cellStyle name="40% - Accent5 5 2" xfId="2921" xr:uid="{00000000-0005-0000-0000-0000CF060000}"/>
    <cellStyle name="40% - Accent5 5 2 2" xfId="7143" xr:uid="{00000000-0005-0000-0000-0000D0060000}"/>
    <cellStyle name="40% - Accent5 5 2 2 2" xfId="16469" xr:uid="{5FE4026A-441A-4785-8B07-F3D6663E6F5E}"/>
    <cellStyle name="40% - Accent5 5 2 3" xfId="12252" xr:uid="{97616D0B-77ED-4888-BA5D-1EFC22DEDEFE}"/>
    <cellStyle name="40% - Accent5 5 3" xfId="4998" xr:uid="{00000000-0005-0000-0000-0000D1060000}"/>
    <cellStyle name="40% - Accent5 5 3 2" xfId="14324" xr:uid="{790303C1-6D95-410A-96F6-174EECA082E1}"/>
    <cellStyle name="40% - Accent5 5 4" xfId="9189" xr:uid="{AE9A155E-B06B-4FF1-8984-8F7810581B15}"/>
    <cellStyle name="40% - Accent5 5 4 2" xfId="18507" xr:uid="{A6AED46E-BCA2-45FA-BC00-8414FC35A52D}"/>
    <cellStyle name="40% - Accent5 5 5" xfId="10107" xr:uid="{BA90A22D-525B-4AFE-8DDC-9D39A4D65A7C}"/>
    <cellStyle name="40% - Accent5 6" xfId="1103" xr:uid="{00000000-0005-0000-0000-0000D2060000}"/>
    <cellStyle name="40% - Accent5 6 2" xfId="3334" xr:uid="{00000000-0005-0000-0000-0000D3060000}"/>
    <cellStyle name="40% - Accent5 6 2 2" xfId="7556" xr:uid="{00000000-0005-0000-0000-0000D4060000}"/>
    <cellStyle name="40% - Accent5 6 2 2 2" xfId="16882" xr:uid="{C4E90EA9-0446-4227-AF89-FC7FB2E0D5FF}"/>
    <cellStyle name="40% - Accent5 6 2 3" xfId="12665" xr:uid="{0990E4D8-D793-42A9-B1E2-F558552D5D98}"/>
    <cellStyle name="40% - Accent5 6 3" xfId="5411" xr:uid="{00000000-0005-0000-0000-0000D5060000}"/>
    <cellStyle name="40% - Accent5 6 3 2" xfId="14737" xr:uid="{C06DA199-1D02-4F3A-B524-D65ED4FB7F16}"/>
    <cellStyle name="40% - Accent5 6 4" xfId="10520" xr:uid="{34B7BFD1-E5EA-4C2F-846F-9FA74F57A761}"/>
    <cellStyle name="40% - Accent5 7" xfId="1517" xr:uid="{00000000-0005-0000-0000-0000D6060000}"/>
    <cellStyle name="40% - Accent5 7 2" xfId="3747" xr:uid="{00000000-0005-0000-0000-0000D7060000}"/>
    <cellStyle name="40% - Accent5 7 2 2" xfId="7969" xr:uid="{00000000-0005-0000-0000-0000D8060000}"/>
    <cellStyle name="40% - Accent5 7 2 2 2" xfId="17295" xr:uid="{76D3B5C0-5E72-4CB7-944F-1577A0ED4689}"/>
    <cellStyle name="40% - Accent5 7 2 3" xfId="13078" xr:uid="{CD3C995A-AFCA-4B29-B2E6-5B4B92EF6F75}"/>
    <cellStyle name="40% - Accent5 7 3" xfId="5824" xr:uid="{00000000-0005-0000-0000-0000D9060000}"/>
    <cellStyle name="40% - Accent5 7 3 2" xfId="15150" xr:uid="{08460BB9-1447-4D24-8AA4-F59CD9778421}"/>
    <cellStyle name="40% - Accent5 7 4" xfId="10933" xr:uid="{8076ECF9-29EE-401F-AB2A-F5D5DAAAF07A}"/>
    <cellStyle name="40% - Accent5 8" xfId="1931" xr:uid="{00000000-0005-0000-0000-0000DA060000}"/>
    <cellStyle name="40% - Accent5 8 2" xfId="4160" xr:uid="{00000000-0005-0000-0000-0000DB060000}"/>
    <cellStyle name="40% - Accent5 8 2 2" xfId="8382" xr:uid="{00000000-0005-0000-0000-0000DC060000}"/>
    <cellStyle name="40% - Accent5 8 2 2 2" xfId="17708" xr:uid="{ECC3F061-F291-433C-A299-4608B4B0389E}"/>
    <cellStyle name="40% - Accent5 8 2 3" xfId="13491" xr:uid="{162C6C3E-1B66-461B-9718-97DA39AC62F3}"/>
    <cellStyle name="40% - Accent5 8 3" xfId="6237" xr:uid="{00000000-0005-0000-0000-0000DD060000}"/>
    <cellStyle name="40% - Accent5 8 3 2" xfId="15563" xr:uid="{B65DFA41-4CC1-4590-A01A-BECB9F08A92C}"/>
    <cellStyle name="40% - Accent5 8 4" xfId="11346" xr:uid="{C2179622-DCDA-4018-BBA2-5BE9920698FB}"/>
    <cellStyle name="40% - Accent5 9" xfId="2344" xr:uid="{00000000-0005-0000-0000-0000DE060000}"/>
    <cellStyle name="40% - Accent5 9 2" xfId="6650" xr:uid="{00000000-0005-0000-0000-0000DF060000}"/>
    <cellStyle name="40% - Accent5 9 2 2" xfId="15976" xr:uid="{35918846-538E-41FF-99D9-D56B5CFEEDBA}"/>
    <cellStyle name="40% - Accent5 9 3" xfId="11759" xr:uid="{3AB41C9D-811E-43CF-B398-2916DBD81BDF}"/>
    <cellStyle name="40% - Accent6" xfId="89" builtinId="51" customBuiltin="1"/>
    <cellStyle name="40% - Accent6 10" xfId="4592" xr:uid="{00000000-0005-0000-0000-0000E1060000}"/>
    <cellStyle name="40% - Accent6 10 2" xfId="13918" xr:uid="{DBF00C97-63E2-4B04-810B-DB687A75D4D8}"/>
    <cellStyle name="40% - Accent6 11" xfId="8769" xr:uid="{8369FE49-3815-490F-BF3A-3BEB88E35DFA}"/>
    <cellStyle name="40% - Accent6 11 2" xfId="18093" xr:uid="{48BCA21E-1C6C-4002-A040-B9999355A150}"/>
    <cellStyle name="40% - Accent6 12" xfId="9701" xr:uid="{98ABE850-3823-4444-A0C3-7C31BC2BEEF6}"/>
    <cellStyle name="40% - Accent6 2" xfId="90" xr:uid="{00000000-0005-0000-0000-0000E2060000}"/>
    <cellStyle name="40% - Accent6 2 10" xfId="8803" xr:uid="{3530B69D-EB1D-41EA-A6FB-440FE4FE29AB}"/>
    <cellStyle name="40% - Accent6 2 10 2" xfId="18127" xr:uid="{4ADDBEB8-03DA-4EFB-BDDF-E6AD56E9649C}"/>
    <cellStyle name="40% - Accent6 2 11" xfId="9702" xr:uid="{2976BBF4-C3D9-43BF-8638-361BF40F3D12}"/>
    <cellStyle name="40% - Accent6 2 2" xfId="91" xr:uid="{00000000-0005-0000-0000-0000E3060000}"/>
    <cellStyle name="40% - Accent6 2 2 10" xfId="9703" xr:uid="{06BC9F89-E91E-4957-A1B0-431154841FC6}"/>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80" xr:uid="{88C2D0A2-5809-4487-A340-2C1B7CDBD8AB}"/>
    <cellStyle name="40% - Accent6 2 2 2 2 2 3" xfId="12263" xr:uid="{BF499FE4-5D65-48D1-866C-6133289520C5}"/>
    <cellStyle name="40% - Accent6 2 2 2 2 3" xfId="5009" xr:uid="{00000000-0005-0000-0000-0000E8060000}"/>
    <cellStyle name="40% - Accent6 2 2 2 2 3 2" xfId="14335" xr:uid="{2435A2A0-7291-4E77-8E7E-EDADD1034242}"/>
    <cellStyle name="40% - Accent6 2 2 2 2 4" xfId="9538" xr:uid="{D1801D0B-FDF1-4C59-8DE2-DEC53081BC5D}"/>
    <cellStyle name="40% - Accent6 2 2 2 2 4 2" xfId="18853" xr:uid="{0A9C5F88-CB9A-4217-BE15-763CE4ECA3B2}"/>
    <cellStyle name="40% - Accent6 2 2 2 2 5" xfId="10118" xr:uid="{2E20BC89-5B35-40F4-9F2C-D7760EE5BB0C}"/>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93" xr:uid="{B580A4C3-C4A9-4F70-AF71-9AD3EEBBF850}"/>
    <cellStyle name="40% - Accent6 2 2 2 3 2 3" xfId="12676" xr:uid="{58D64DFF-C52F-4323-A20C-3493AFA327BE}"/>
    <cellStyle name="40% - Accent6 2 2 2 3 3" xfId="5422" xr:uid="{00000000-0005-0000-0000-0000EC060000}"/>
    <cellStyle name="40% - Accent6 2 2 2 3 3 2" xfId="14748" xr:uid="{A20BB91B-4CC6-4B93-83DC-05DED791EB91}"/>
    <cellStyle name="40% - Accent6 2 2 2 3 4" xfId="10531" xr:uid="{A3D181DE-5A7C-40C0-90D6-9FC10A646A6F}"/>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306" xr:uid="{0C811779-FA08-431D-831B-F75BF7BBD8A5}"/>
    <cellStyle name="40% - Accent6 2 2 2 4 2 3" xfId="13089" xr:uid="{05913B30-73CA-4154-9A77-FB37A883F172}"/>
    <cellStyle name="40% - Accent6 2 2 2 4 3" xfId="5835" xr:uid="{00000000-0005-0000-0000-0000F0060000}"/>
    <cellStyle name="40% - Accent6 2 2 2 4 3 2" xfId="15161" xr:uid="{8311FAA9-F3CD-4168-BC19-E2D37ECEC610}"/>
    <cellStyle name="40% - Accent6 2 2 2 4 4" xfId="10944" xr:uid="{4F49A5CE-A032-4345-832D-89267D643AB7}"/>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719" xr:uid="{E33A8C07-29F0-4117-BF6E-933895B1D4C3}"/>
    <cellStyle name="40% - Accent6 2 2 2 5 2 3" xfId="13502" xr:uid="{46470837-1C3A-4168-B518-6B42884F1736}"/>
    <cellStyle name="40% - Accent6 2 2 2 5 3" xfId="6248" xr:uid="{00000000-0005-0000-0000-0000F4060000}"/>
    <cellStyle name="40% - Accent6 2 2 2 5 3 2" xfId="15574" xr:uid="{74B5D296-E61D-49B5-97AE-B4C81356EBB3}"/>
    <cellStyle name="40% - Accent6 2 2 2 5 4" xfId="11357" xr:uid="{ABAD8FD9-9F18-40A4-8849-E8653C078FBB}"/>
    <cellStyle name="40% - Accent6 2 2 2 6" xfId="2355" xr:uid="{00000000-0005-0000-0000-0000F5060000}"/>
    <cellStyle name="40% - Accent6 2 2 2 6 2" xfId="6661" xr:uid="{00000000-0005-0000-0000-0000F6060000}"/>
    <cellStyle name="40% - Accent6 2 2 2 6 2 2" xfId="15987" xr:uid="{41797B4B-8B2B-43B9-8A37-73131E3A7B34}"/>
    <cellStyle name="40% - Accent6 2 2 2 6 3" xfId="11770" xr:uid="{4FA3CBF4-04FA-448A-B711-6A2F8B924BEA}"/>
    <cellStyle name="40% - Accent6 2 2 2 7" xfId="4595" xr:uid="{00000000-0005-0000-0000-0000F7060000}"/>
    <cellStyle name="40% - Accent6 2 2 2 7 2" xfId="13921" xr:uid="{AFDA0D06-2A79-48CC-84BB-6103E0D17C4A}"/>
    <cellStyle name="40% - Accent6 2 2 2 8" xfId="9113" xr:uid="{D9373B4A-E1DA-437A-874A-FCE4D00708EB}"/>
    <cellStyle name="40% - Accent6 2 2 2 8 2" xfId="18437" xr:uid="{3713AEF3-B13E-4877-9AD6-727EB09D3391}"/>
    <cellStyle name="40% - Accent6 2 2 2 9" xfId="9704" xr:uid="{432E1DC4-C067-4288-B24C-67034D23CF91}"/>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79" xr:uid="{49951E17-F3C4-4A02-811C-D95450D87BDF}"/>
    <cellStyle name="40% - Accent6 2 2 3 2 3" xfId="12262" xr:uid="{B7E98693-33B2-47F5-BF78-9EBEDD3480CF}"/>
    <cellStyle name="40% - Accent6 2 2 3 3" xfId="5008" xr:uid="{00000000-0005-0000-0000-0000FB060000}"/>
    <cellStyle name="40% - Accent6 2 2 3 3 2" xfId="14334" xr:uid="{38AFBAFE-FF48-4F48-85D4-C3D35D5BB3CC}"/>
    <cellStyle name="40% - Accent6 2 2 3 4" xfId="9331" xr:uid="{223B62DA-AA8A-4703-B6D5-D6AA8918B034}"/>
    <cellStyle name="40% - Accent6 2 2 3 4 2" xfId="18646" xr:uid="{0A5FF5BD-D85E-4583-8A68-E92E2C90FA0A}"/>
    <cellStyle name="40% - Accent6 2 2 3 5" xfId="10117" xr:uid="{CF94AED3-B883-458F-9836-DD3EBF65E199}"/>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92" xr:uid="{893FE24B-E1FE-49C1-BCB1-FCAD3E4BB0CC}"/>
    <cellStyle name="40% - Accent6 2 2 4 2 3" xfId="12675" xr:uid="{7BEE4410-9844-47A8-9477-464E95FFF15A}"/>
    <cellStyle name="40% - Accent6 2 2 4 3" xfId="5421" xr:uid="{00000000-0005-0000-0000-0000FF060000}"/>
    <cellStyle name="40% - Accent6 2 2 4 3 2" xfId="14747" xr:uid="{1F7126C1-BD3B-4DEA-B541-87EED06BE2F6}"/>
    <cellStyle name="40% - Accent6 2 2 4 4" xfId="10530" xr:uid="{1863C516-758A-4073-8902-D207C7C5ECF3}"/>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305" xr:uid="{C1B473F3-6DA3-4931-BFBF-BBDF0D8ED498}"/>
    <cellStyle name="40% - Accent6 2 2 5 2 3" xfId="13088" xr:uid="{C277DA64-3A5A-43EC-B988-10AF0874BDFA}"/>
    <cellStyle name="40% - Accent6 2 2 5 3" xfId="5834" xr:uid="{00000000-0005-0000-0000-000003070000}"/>
    <cellStyle name="40% - Accent6 2 2 5 3 2" xfId="15160" xr:uid="{93446FAD-BCAC-4974-AB99-8328B2BD1182}"/>
    <cellStyle name="40% - Accent6 2 2 5 4" xfId="10943" xr:uid="{9A99A240-F774-4908-9D64-80CF1778277C}"/>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718" xr:uid="{1AEB8F22-2BF1-4321-8761-961BA224D1C4}"/>
    <cellStyle name="40% - Accent6 2 2 6 2 3" xfId="13501" xr:uid="{4371DE91-EEE9-49B9-82E5-F90E633AF594}"/>
    <cellStyle name="40% - Accent6 2 2 6 3" xfId="6247" xr:uid="{00000000-0005-0000-0000-000007070000}"/>
    <cellStyle name="40% - Accent6 2 2 6 3 2" xfId="15573" xr:uid="{B073CB36-A2BF-4EB0-AEC2-35278884BD45}"/>
    <cellStyle name="40% - Accent6 2 2 6 4" xfId="11356" xr:uid="{A1FD469A-B60D-44FE-BA43-BE9FB1D592AB}"/>
    <cellStyle name="40% - Accent6 2 2 7" xfId="2354" xr:uid="{00000000-0005-0000-0000-000008070000}"/>
    <cellStyle name="40% - Accent6 2 2 7 2" xfId="6660" xr:uid="{00000000-0005-0000-0000-000009070000}"/>
    <cellStyle name="40% - Accent6 2 2 7 2 2" xfId="15986" xr:uid="{E2B35B7B-F8FD-479B-8664-3D4335BA8A9E}"/>
    <cellStyle name="40% - Accent6 2 2 7 3" xfId="11769" xr:uid="{6AB2C3E7-CBCF-4C89-B0C8-171868F063DF}"/>
    <cellStyle name="40% - Accent6 2 2 8" xfId="4594" xr:uid="{00000000-0005-0000-0000-00000A070000}"/>
    <cellStyle name="40% - Accent6 2 2 8 2" xfId="13920" xr:uid="{40ECFCBC-DB88-4E45-8975-675CAE2500FB}"/>
    <cellStyle name="40% - Accent6 2 2 9" xfId="8906" xr:uid="{C30FCA09-BA1A-4F54-9397-4FC676425C46}"/>
    <cellStyle name="40% - Accent6 2 2 9 2" xfId="18230" xr:uid="{07C22A53-5EF6-4CB9-B4F2-36AF9B33928D}"/>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81" xr:uid="{42F3E297-784D-40EA-B60B-80657D63FEDF}"/>
    <cellStyle name="40% - Accent6 2 3 2 2 3" xfId="12264" xr:uid="{F5967909-1797-469E-8812-1C6F4433D80B}"/>
    <cellStyle name="40% - Accent6 2 3 2 3" xfId="5010" xr:uid="{00000000-0005-0000-0000-00000F070000}"/>
    <cellStyle name="40% - Accent6 2 3 2 3 2" xfId="14336" xr:uid="{0292DA7C-4868-4FAE-A088-8331D551B2D9}"/>
    <cellStyle name="40% - Accent6 2 3 2 4" xfId="9435" xr:uid="{36535681-1736-4584-8CB6-F8F38C9E0E5B}"/>
    <cellStyle name="40% - Accent6 2 3 2 4 2" xfId="18750" xr:uid="{35B1D1C2-688A-4CE6-8E32-746538ECAD47}"/>
    <cellStyle name="40% - Accent6 2 3 2 5" xfId="10119" xr:uid="{F57BC4A8-3873-41D9-85C8-B8707850F2A0}"/>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94" xr:uid="{72894F56-7428-4435-ACC5-58DCDFB12AE6}"/>
    <cellStyle name="40% - Accent6 2 3 3 2 3" xfId="12677" xr:uid="{BD4BA70B-71BF-4E66-9A6B-BAFCFB1A9634}"/>
    <cellStyle name="40% - Accent6 2 3 3 3" xfId="5423" xr:uid="{00000000-0005-0000-0000-000013070000}"/>
    <cellStyle name="40% - Accent6 2 3 3 3 2" xfId="14749" xr:uid="{C002B3A5-D75B-40ED-B379-2292FAEB6E67}"/>
    <cellStyle name="40% - Accent6 2 3 3 4" xfId="10532" xr:uid="{620462A9-7254-42B2-8872-70F88CAB5D55}"/>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307" xr:uid="{455A1800-A4AB-4BCE-83C8-34443864C7B4}"/>
    <cellStyle name="40% - Accent6 2 3 4 2 3" xfId="13090" xr:uid="{C9D31850-B5B7-4081-85DA-A5BDA86E1E0E}"/>
    <cellStyle name="40% - Accent6 2 3 4 3" xfId="5836" xr:uid="{00000000-0005-0000-0000-000017070000}"/>
    <cellStyle name="40% - Accent6 2 3 4 3 2" xfId="15162" xr:uid="{5E438A17-43F6-4290-B16A-AD8BCADA798A}"/>
    <cellStyle name="40% - Accent6 2 3 4 4" xfId="10945" xr:uid="{BD74CEFA-B2AC-47FE-8935-15CEB1DA02A7}"/>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720" xr:uid="{6DCF4633-C03A-42F9-B801-0DA53743CC36}"/>
    <cellStyle name="40% - Accent6 2 3 5 2 3" xfId="13503" xr:uid="{E5FA4480-3168-4193-B3DF-8FDB0F711B9D}"/>
    <cellStyle name="40% - Accent6 2 3 5 3" xfId="6249" xr:uid="{00000000-0005-0000-0000-00001B070000}"/>
    <cellStyle name="40% - Accent6 2 3 5 3 2" xfId="15575" xr:uid="{822D6749-C29F-41C8-95FD-A7752F6E5CA3}"/>
    <cellStyle name="40% - Accent6 2 3 5 4" xfId="11358" xr:uid="{37865870-CC11-4FE0-9551-B9B3E00E80A4}"/>
    <cellStyle name="40% - Accent6 2 3 6" xfId="2356" xr:uid="{00000000-0005-0000-0000-00001C070000}"/>
    <cellStyle name="40% - Accent6 2 3 6 2" xfId="6662" xr:uid="{00000000-0005-0000-0000-00001D070000}"/>
    <cellStyle name="40% - Accent6 2 3 6 2 2" xfId="15988" xr:uid="{2435A22D-020B-474C-8B1B-59A21628FE81}"/>
    <cellStyle name="40% - Accent6 2 3 6 3" xfId="11771" xr:uid="{F19C529D-2B2C-4B47-9BE8-C8D1392697DD}"/>
    <cellStyle name="40% - Accent6 2 3 7" xfId="4596" xr:uid="{00000000-0005-0000-0000-00001E070000}"/>
    <cellStyle name="40% - Accent6 2 3 7 2" xfId="13922" xr:uid="{79D102E9-0A0F-4A76-8C78-C5EF33B53FE5}"/>
    <cellStyle name="40% - Accent6 2 3 8" xfId="9010" xr:uid="{63E1B5F8-FE5F-441F-B768-94B1D98CB2B1}"/>
    <cellStyle name="40% - Accent6 2 3 8 2" xfId="18334" xr:uid="{E7959413-C680-4D12-A608-BC675112AFBA}"/>
    <cellStyle name="40% - Accent6 2 3 9" xfId="9705" xr:uid="{E731619B-086A-4CA3-840E-49AA4A0BD913}"/>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78" xr:uid="{D4EB7281-A228-4402-A91C-7B94222C394A}"/>
    <cellStyle name="40% - Accent6 2 4 2 3" xfId="12261" xr:uid="{B6DC1921-DFF6-4008-99CE-27F1D4B22AE6}"/>
    <cellStyle name="40% - Accent6 2 4 3" xfId="5007" xr:uid="{00000000-0005-0000-0000-000022070000}"/>
    <cellStyle name="40% - Accent6 2 4 3 2" xfId="14333" xr:uid="{BFFB487C-4499-4E81-ABFC-9A69381E91EB}"/>
    <cellStyle name="40% - Accent6 2 4 4" xfId="9227" xr:uid="{61BC3AC1-FAE9-47DF-8143-7EECE05FF8D3}"/>
    <cellStyle name="40% - Accent6 2 4 4 2" xfId="18543" xr:uid="{8900EA81-6568-43FC-8037-26D6B5A64F53}"/>
    <cellStyle name="40% - Accent6 2 4 5" xfId="10116" xr:uid="{268A0CE1-D37D-4A79-BD90-521F0EFC9FA1}"/>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91" xr:uid="{F86A8270-ED8F-4CB9-8BEC-3A7542C3D59C}"/>
    <cellStyle name="40% - Accent6 2 5 2 3" xfId="12674" xr:uid="{849C65F0-0917-4336-AC66-1EAF7A52AD74}"/>
    <cellStyle name="40% - Accent6 2 5 3" xfId="5420" xr:uid="{00000000-0005-0000-0000-000026070000}"/>
    <cellStyle name="40% - Accent6 2 5 3 2" xfId="14746" xr:uid="{6F4DCBE5-B80C-430A-B623-74409CFF96FA}"/>
    <cellStyle name="40% - Accent6 2 5 4" xfId="10529" xr:uid="{052C8AEE-489C-4DA4-BA6C-7E214C2A74B5}"/>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304" xr:uid="{5D277AB5-5C00-4E86-9663-80F54FF53AA1}"/>
    <cellStyle name="40% - Accent6 2 6 2 3" xfId="13087" xr:uid="{685D529C-43B2-4C51-93FC-BB1F94D15825}"/>
    <cellStyle name="40% - Accent6 2 6 3" xfId="5833" xr:uid="{00000000-0005-0000-0000-00002A070000}"/>
    <cellStyle name="40% - Accent6 2 6 3 2" xfId="15159" xr:uid="{B1A801A9-D1D7-4450-8B23-3BEC7AED4831}"/>
    <cellStyle name="40% - Accent6 2 6 4" xfId="10942" xr:uid="{FB8A32FA-F459-4881-B580-DC02887CD22E}"/>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717" xr:uid="{7C1F6708-1CDA-435C-A9CE-18E89DE9EB47}"/>
    <cellStyle name="40% - Accent6 2 7 2 3" xfId="13500" xr:uid="{19E96EDA-E6CE-451A-9D94-E798BBE06FC0}"/>
    <cellStyle name="40% - Accent6 2 7 3" xfId="6246" xr:uid="{00000000-0005-0000-0000-00002E070000}"/>
    <cellStyle name="40% - Accent6 2 7 3 2" xfId="15572" xr:uid="{5A776803-E48E-42E8-AAFD-9F580A16B564}"/>
    <cellStyle name="40% - Accent6 2 7 4" xfId="11355" xr:uid="{D8447885-9A4C-42BA-BD52-6D1C8E728512}"/>
    <cellStyle name="40% - Accent6 2 8" xfId="2353" xr:uid="{00000000-0005-0000-0000-00002F070000}"/>
    <cellStyle name="40% - Accent6 2 8 2" xfId="6659" xr:uid="{00000000-0005-0000-0000-000030070000}"/>
    <cellStyle name="40% - Accent6 2 8 2 2" xfId="15985" xr:uid="{54903769-B8CE-4F39-8D6D-BC6086FAEBD1}"/>
    <cellStyle name="40% - Accent6 2 8 3" xfId="11768" xr:uid="{D9A0AC3E-24A7-4EDA-ABC9-A6274254C40B}"/>
    <cellStyle name="40% - Accent6 2 9" xfId="4593" xr:uid="{00000000-0005-0000-0000-000031070000}"/>
    <cellStyle name="40% - Accent6 2 9 2" xfId="13919" xr:uid="{BC2A66A6-3B19-4D9B-B748-1DFA02AC65ED}"/>
    <cellStyle name="40% - Accent6 3" xfId="94" xr:uid="{00000000-0005-0000-0000-000032070000}"/>
    <cellStyle name="40% - Accent6 3 10" xfId="9706" xr:uid="{862CA9F2-B3B7-4936-869D-56AD7AC4C4EF}"/>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83" xr:uid="{8283B4C6-D707-442B-BE21-120CD0E47202}"/>
    <cellStyle name="40% - Accent6 3 2 2 2 3" xfId="12266" xr:uid="{356E8093-F607-4851-8EEB-CF71C8CBC48A}"/>
    <cellStyle name="40% - Accent6 3 2 2 3" xfId="5012" xr:uid="{00000000-0005-0000-0000-000037070000}"/>
    <cellStyle name="40% - Accent6 3 2 2 3 2" xfId="14338" xr:uid="{A09B2A7A-CCCB-4AC2-B0E3-31BB666D320E}"/>
    <cellStyle name="40% - Accent6 3 2 2 4" xfId="9504" xr:uid="{23E46585-FD8F-4BA3-8B65-284D6884E4FD}"/>
    <cellStyle name="40% - Accent6 3 2 2 4 2" xfId="18819" xr:uid="{247AC6A5-300A-4AAC-BAE8-BAF63021045F}"/>
    <cellStyle name="40% - Accent6 3 2 2 5" xfId="10121" xr:uid="{CA222239-982C-4595-9B93-8ADA807E9B36}"/>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96" xr:uid="{BE26758E-F9A1-46E1-9D4D-09819094BBF5}"/>
    <cellStyle name="40% - Accent6 3 2 3 2 3" xfId="12679" xr:uid="{483BB7EA-B1DF-4A4E-8419-C8280871F49F}"/>
    <cellStyle name="40% - Accent6 3 2 3 3" xfId="5425" xr:uid="{00000000-0005-0000-0000-00003B070000}"/>
    <cellStyle name="40% - Accent6 3 2 3 3 2" xfId="14751" xr:uid="{406AD293-5604-4B71-97A5-1C9B18F72CDA}"/>
    <cellStyle name="40% - Accent6 3 2 3 4" xfId="10534" xr:uid="{CA9DCAD6-1C49-4F4B-B54B-B17645E44A00}"/>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309" xr:uid="{0D09173D-AF4D-48AD-9AD6-9EDF319EB4D0}"/>
    <cellStyle name="40% - Accent6 3 2 4 2 3" xfId="13092" xr:uid="{AC0C3594-EC4F-44E9-98F6-5E327BAA944A}"/>
    <cellStyle name="40% - Accent6 3 2 4 3" xfId="5838" xr:uid="{00000000-0005-0000-0000-00003F070000}"/>
    <cellStyle name="40% - Accent6 3 2 4 3 2" xfId="15164" xr:uid="{E24C94A8-A57D-44B5-B6C3-39FD917E0D2A}"/>
    <cellStyle name="40% - Accent6 3 2 4 4" xfId="10947" xr:uid="{E81E71BD-8128-449A-A1D1-5A5B100C544D}"/>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722" xr:uid="{B3B73E44-F977-4F74-85F3-5607F4C07EF5}"/>
    <cellStyle name="40% - Accent6 3 2 5 2 3" xfId="13505" xr:uid="{0E9AD905-F442-41DC-B19C-ED665D54FBA1}"/>
    <cellStyle name="40% - Accent6 3 2 5 3" xfId="6251" xr:uid="{00000000-0005-0000-0000-000043070000}"/>
    <cellStyle name="40% - Accent6 3 2 5 3 2" xfId="15577" xr:uid="{8D34756E-472E-4C08-A210-CEDB4985593E}"/>
    <cellStyle name="40% - Accent6 3 2 5 4" xfId="11360" xr:uid="{DAE408DA-28C8-460C-ADB0-9E165523616F}"/>
    <cellStyle name="40% - Accent6 3 2 6" xfId="2358" xr:uid="{00000000-0005-0000-0000-000044070000}"/>
    <cellStyle name="40% - Accent6 3 2 6 2" xfId="6664" xr:uid="{00000000-0005-0000-0000-000045070000}"/>
    <cellStyle name="40% - Accent6 3 2 6 2 2" xfId="15990" xr:uid="{5C6D6EDF-154F-4D94-ADA8-CBA21A1AAB3C}"/>
    <cellStyle name="40% - Accent6 3 2 6 3" xfId="11773" xr:uid="{C9B0D99D-3655-4E66-B183-029B2D1337E6}"/>
    <cellStyle name="40% - Accent6 3 2 7" xfId="4598" xr:uid="{00000000-0005-0000-0000-000046070000}"/>
    <cellStyle name="40% - Accent6 3 2 7 2" xfId="13924" xr:uid="{EAA34645-8328-4B48-AEA5-1F858181D3ED}"/>
    <cellStyle name="40% - Accent6 3 2 8" xfId="9079" xr:uid="{7FA93E2E-699F-4676-8533-A3CC5F80D807}"/>
    <cellStyle name="40% - Accent6 3 2 8 2" xfId="18403" xr:uid="{ADBFC6D3-C2BE-4BDC-B02A-524E1A95BCAE}"/>
    <cellStyle name="40% - Accent6 3 2 9" xfId="9707" xr:uid="{5195AB52-4645-4E26-BDFB-DF8896DA8238}"/>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82" xr:uid="{03FBC43A-A28B-46AF-8475-95D3B9BC2DC0}"/>
    <cellStyle name="40% - Accent6 3 3 2 3" xfId="12265" xr:uid="{FCD31B00-4083-400B-B44C-4B9AAED771EE}"/>
    <cellStyle name="40% - Accent6 3 3 3" xfId="5011" xr:uid="{00000000-0005-0000-0000-00004A070000}"/>
    <cellStyle name="40% - Accent6 3 3 3 2" xfId="14337" xr:uid="{3EA9BA5A-6242-41D5-937A-C0859D092C5E}"/>
    <cellStyle name="40% - Accent6 3 3 4" xfId="9297" xr:uid="{1226E28F-09E7-4580-8D19-7F14AC1CB4B3}"/>
    <cellStyle name="40% - Accent6 3 3 4 2" xfId="18612" xr:uid="{1BFCB39E-50E2-48BF-BF6B-3CB514B0896C}"/>
    <cellStyle name="40% - Accent6 3 3 5" xfId="10120" xr:uid="{C858F07F-A778-4204-94A6-C867D8F51E7F}"/>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95" xr:uid="{0FFD793F-BFBA-4D2A-9AB2-2191810F1DC3}"/>
    <cellStyle name="40% - Accent6 3 4 2 3" xfId="12678" xr:uid="{D33D792A-AE7E-4F01-95E4-557942E2B7B7}"/>
    <cellStyle name="40% - Accent6 3 4 3" xfId="5424" xr:uid="{00000000-0005-0000-0000-00004E070000}"/>
    <cellStyle name="40% - Accent6 3 4 3 2" xfId="14750" xr:uid="{60A2D0C3-61DC-4791-A885-CB4FAD6A0462}"/>
    <cellStyle name="40% - Accent6 3 4 4" xfId="10533" xr:uid="{F0557FDC-C0C8-4B7D-BA41-46D460061E6C}"/>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308" xr:uid="{4DF59CC3-F7DB-4DF1-B605-2AB9CF19A02A}"/>
    <cellStyle name="40% - Accent6 3 5 2 3" xfId="13091" xr:uid="{8FEC7C02-6BE0-4D03-97D3-1FC48CB06899}"/>
    <cellStyle name="40% - Accent6 3 5 3" xfId="5837" xr:uid="{00000000-0005-0000-0000-000052070000}"/>
    <cellStyle name="40% - Accent6 3 5 3 2" xfId="15163" xr:uid="{1EC1E26D-57E4-4989-ABB3-E4125BD74ECF}"/>
    <cellStyle name="40% - Accent6 3 5 4" xfId="10946" xr:uid="{1AFAC288-7705-4CC4-AE16-215A1AE05020}"/>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721" xr:uid="{0C882E39-0555-461B-AEC7-506247149730}"/>
    <cellStyle name="40% - Accent6 3 6 2 3" xfId="13504" xr:uid="{21ED32EA-AC20-468E-B168-6427A9A0F94D}"/>
    <cellStyle name="40% - Accent6 3 6 3" xfId="6250" xr:uid="{00000000-0005-0000-0000-000056070000}"/>
    <cellStyle name="40% - Accent6 3 6 3 2" xfId="15576" xr:uid="{160A2FF5-5C92-4CBF-9D6B-DF888C06B0EB}"/>
    <cellStyle name="40% - Accent6 3 6 4" xfId="11359" xr:uid="{09126657-444C-4F59-9412-D9AF4B510D29}"/>
    <cellStyle name="40% - Accent6 3 7" xfId="2357" xr:uid="{00000000-0005-0000-0000-000057070000}"/>
    <cellStyle name="40% - Accent6 3 7 2" xfId="6663" xr:uid="{00000000-0005-0000-0000-000058070000}"/>
    <cellStyle name="40% - Accent6 3 7 2 2" xfId="15989" xr:uid="{CE28CB9F-C9CB-4CAA-82C3-596F2877CE44}"/>
    <cellStyle name="40% - Accent6 3 7 3" xfId="11772" xr:uid="{206B092A-A89A-4F43-AF78-6557F2ED3981}"/>
    <cellStyle name="40% - Accent6 3 8" xfId="4597" xr:uid="{00000000-0005-0000-0000-000059070000}"/>
    <cellStyle name="40% - Accent6 3 8 2" xfId="13923" xr:uid="{DB8AA46E-E446-4ED4-BAE9-A5C2A8463A45}"/>
    <cellStyle name="40% - Accent6 3 9" xfId="8872" xr:uid="{E018AF0F-504E-4DED-BF70-CC97997D74E9}"/>
    <cellStyle name="40% - Accent6 3 9 2" xfId="18196" xr:uid="{B9AAEFFE-DD70-4264-B629-2482832FD85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84" xr:uid="{6AF81C23-05EB-4DD2-A59B-4D4FEEEAB036}"/>
    <cellStyle name="40% - Accent6 4 2 2 3" xfId="12267" xr:uid="{C98A9428-773E-47BA-BE4C-83B31B5C6584}"/>
    <cellStyle name="40% - Accent6 4 2 3" xfId="5013" xr:uid="{00000000-0005-0000-0000-00005E070000}"/>
    <cellStyle name="40% - Accent6 4 2 3 2" xfId="14339" xr:uid="{288B071D-494E-4E77-BD08-857C7A509CBB}"/>
    <cellStyle name="40% - Accent6 4 2 4" xfId="9383" xr:uid="{07C7426F-B517-4815-A0BF-2BAE02B26B53}"/>
    <cellStyle name="40% - Accent6 4 2 4 2" xfId="18698" xr:uid="{7C4F5A13-3D98-4684-AFCA-F2AE4B99AE2E}"/>
    <cellStyle name="40% - Accent6 4 2 5" xfId="10122" xr:uid="{ECEC8E62-7BD4-41C6-A48A-FB5A40FA730D}"/>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97" xr:uid="{83B46079-5737-43E0-8D4E-C283BCC6F8C1}"/>
    <cellStyle name="40% - Accent6 4 3 2 3" xfId="12680" xr:uid="{4A9A0454-EB70-490E-A133-10ADB4338A1C}"/>
    <cellStyle name="40% - Accent6 4 3 3" xfId="5426" xr:uid="{00000000-0005-0000-0000-000062070000}"/>
    <cellStyle name="40% - Accent6 4 3 3 2" xfId="14752" xr:uid="{93743A7C-3E81-46D7-8C93-74F0A4051AE3}"/>
    <cellStyle name="40% - Accent6 4 3 4" xfId="10535" xr:uid="{16B7EA08-A9DE-4AF4-B9E5-80D7B7E03759}"/>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310" xr:uid="{10E98A47-D755-4FE8-96CA-7656F303459D}"/>
    <cellStyle name="40% - Accent6 4 4 2 3" xfId="13093" xr:uid="{E229EC9B-6995-4173-B0F8-F52C0D80D83B}"/>
    <cellStyle name="40% - Accent6 4 4 3" xfId="5839" xr:uid="{00000000-0005-0000-0000-000066070000}"/>
    <cellStyle name="40% - Accent6 4 4 3 2" xfId="15165" xr:uid="{E25DEC01-E90D-466D-80E8-8CBEF44C1FFC}"/>
    <cellStyle name="40% - Accent6 4 4 4" xfId="10948" xr:uid="{347C56D0-857B-4216-ACB6-47A543BEC200}"/>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723" xr:uid="{34827344-07C8-431D-B5FF-47EF8CE66E18}"/>
    <cellStyle name="40% - Accent6 4 5 2 3" xfId="13506" xr:uid="{A494343F-35F6-49C7-AB97-06A5EC3A7331}"/>
    <cellStyle name="40% - Accent6 4 5 3" xfId="6252" xr:uid="{00000000-0005-0000-0000-00006A070000}"/>
    <cellStyle name="40% - Accent6 4 5 3 2" xfId="15578" xr:uid="{05643BA6-9430-49A8-B4C6-245BD600AFB6}"/>
    <cellStyle name="40% - Accent6 4 5 4" xfId="11361" xr:uid="{3013C7C2-A37B-4FAE-B606-A337FC4897DF}"/>
    <cellStyle name="40% - Accent6 4 6" xfId="2359" xr:uid="{00000000-0005-0000-0000-00006B070000}"/>
    <cellStyle name="40% - Accent6 4 6 2" xfId="6665" xr:uid="{00000000-0005-0000-0000-00006C070000}"/>
    <cellStyle name="40% - Accent6 4 6 2 2" xfId="15991" xr:uid="{0E9D1597-C214-490C-A45C-B4995F10376B}"/>
    <cellStyle name="40% - Accent6 4 6 3" xfId="11774" xr:uid="{6D854665-DFD2-4AEE-80D8-671AFA133635}"/>
    <cellStyle name="40% - Accent6 4 7" xfId="4599" xr:uid="{00000000-0005-0000-0000-00006D070000}"/>
    <cellStyle name="40% - Accent6 4 7 2" xfId="13925" xr:uid="{9FECAC37-52F8-463D-9B08-29695D0583E2}"/>
    <cellStyle name="40% - Accent6 4 8" xfId="8958" xr:uid="{058203D5-6D6D-4106-8D68-93F66B236239}"/>
    <cellStyle name="40% - Accent6 4 8 2" xfId="18282" xr:uid="{03F3F89C-4825-4F6E-878B-551A13ED4605}"/>
    <cellStyle name="40% - Accent6 4 9" xfId="9708" xr:uid="{F1CB0542-ABD4-4599-A733-65D282E278C3}"/>
    <cellStyle name="40% - Accent6 5" xfId="658" xr:uid="{00000000-0005-0000-0000-00006E070000}"/>
    <cellStyle name="40% - Accent6 5 2" xfId="2929" xr:uid="{00000000-0005-0000-0000-00006F070000}"/>
    <cellStyle name="40% - Accent6 5 2 2" xfId="7151" xr:uid="{00000000-0005-0000-0000-000070070000}"/>
    <cellStyle name="40% - Accent6 5 2 2 2" xfId="16477" xr:uid="{5A714F7C-14FD-4461-B058-3F26E93289E4}"/>
    <cellStyle name="40% - Accent6 5 2 3" xfId="12260" xr:uid="{EFC2492D-DDE5-40FB-8776-81BAB6EB5CA4}"/>
    <cellStyle name="40% - Accent6 5 3" xfId="5006" xr:uid="{00000000-0005-0000-0000-000071070000}"/>
    <cellStyle name="40% - Accent6 5 3 2" xfId="14332" xr:uid="{AC597D61-3BA5-4C14-8B75-A25BA1C9A37B}"/>
    <cellStyle name="40% - Accent6 5 4" xfId="9192" xr:uid="{19661A88-B46A-4EF9-A9F3-4BCF8E242108}"/>
    <cellStyle name="40% - Accent6 5 4 2" xfId="18509" xr:uid="{C0F7AEB4-76FF-4092-9B1E-CC7C8CD26934}"/>
    <cellStyle name="40% - Accent6 5 5" xfId="10115" xr:uid="{D6935755-096C-4903-9F94-0E029BACE6B8}"/>
    <cellStyle name="40% - Accent6 6" xfId="1111" xr:uid="{00000000-0005-0000-0000-000072070000}"/>
    <cellStyle name="40% - Accent6 6 2" xfId="3342" xr:uid="{00000000-0005-0000-0000-000073070000}"/>
    <cellStyle name="40% - Accent6 6 2 2" xfId="7564" xr:uid="{00000000-0005-0000-0000-000074070000}"/>
    <cellStyle name="40% - Accent6 6 2 2 2" xfId="16890" xr:uid="{B6B6A79F-049E-4513-A269-28E68A7234FB}"/>
    <cellStyle name="40% - Accent6 6 2 3" xfId="12673" xr:uid="{334535B6-2C13-4447-B992-60D856C14AFE}"/>
    <cellStyle name="40% - Accent6 6 3" xfId="5419" xr:uid="{00000000-0005-0000-0000-000075070000}"/>
    <cellStyle name="40% - Accent6 6 3 2" xfId="14745" xr:uid="{9765C63A-F98F-4159-A5E3-55AE76C39408}"/>
    <cellStyle name="40% - Accent6 6 4" xfId="10528" xr:uid="{53E5EF0C-AAF5-454D-80CE-865A17F8FF66}"/>
    <cellStyle name="40% - Accent6 7" xfId="1525" xr:uid="{00000000-0005-0000-0000-000076070000}"/>
    <cellStyle name="40% - Accent6 7 2" xfId="3755" xr:uid="{00000000-0005-0000-0000-000077070000}"/>
    <cellStyle name="40% - Accent6 7 2 2" xfId="7977" xr:uid="{00000000-0005-0000-0000-000078070000}"/>
    <cellStyle name="40% - Accent6 7 2 2 2" xfId="17303" xr:uid="{C8BE7DB8-7BA9-4BF9-AD5D-B045B44E3AD4}"/>
    <cellStyle name="40% - Accent6 7 2 3" xfId="13086" xr:uid="{06EF7983-5842-49B1-9D31-C38AD3429477}"/>
    <cellStyle name="40% - Accent6 7 3" xfId="5832" xr:uid="{00000000-0005-0000-0000-000079070000}"/>
    <cellStyle name="40% - Accent6 7 3 2" xfId="15158" xr:uid="{7BDC1E5E-27C0-4E18-A175-A09368636E92}"/>
    <cellStyle name="40% - Accent6 7 4" xfId="10941" xr:uid="{7A394D0F-7016-48D7-B68A-068B1B7560DC}"/>
    <cellStyle name="40% - Accent6 8" xfId="1939" xr:uid="{00000000-0005-0000-0000-00007A070000}"/>
    <cellStyle name="40% - Accent6 8 2" xfId="4168" xr:uid="{00000000-0005-0000-0000-00007B070000}"/>
    <cellStyle name="40% - Accent6 8 2 2" xfId="8390" xr:uid="{00000000-0005-0000-0000-00007C070000}"/>
    <cellStyle name="40% - Accent6 8 2 2 2" xfId="17716" xr:uid="{3E0ACCC7-C77A-4045-A13E-56D5956D3C9F}"/>
    <cellStyle name="40% - Accent6 8 2 3" xfId="13499" xr:uid="{47AAB4C7-5FB7-4DE0-B289-CF0A7FAB364F}"/>
    <cellStyle name="40% - Accent6 8 3" xfId="6245" xr:uid="{00000000-0005-0000-0000-00007D070000}"/>
    <cellStyle name="40% - Accent6 8 3 2" xfId="15571" xr:uid="{40DEBB52-FAFC-428B-B976-7214B38F8E31}"/>
    <cellStyle name="40% - Accent6 8 4" xfId="11354" xr:uid="{85E3BBF5-2258-42CA-8A9D-459BEBF6D70B}"/>
    <cellStyle name="40% - Accent6 9" xfId="2352" xr:uid="{00000000-0005-0000-0000-00007E070000}"/>
    <cellStyle name="40% - Accent6 9 2" xfId="6658" xr:uid="{00000000-0005-0000-0000-00007F070000}"/>
    <cellStyle name="40% - Accent6 9 2 2" xfId="15984" xr:uid="{D6FA635F-E76F-4F52-8D89-9950EBE50733}"/>
    <cellStyle name="40% - Accent6 9 3" xfId="11767" xr:uid="{2289E3FF-45C0-41CC-800C-452655CFD2C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309" xr:uid="{50A4D2CE-6D71-47DA-B620-1736827C6535}"/>
    <cellStyle name="Comma 4 2 2 2 10 3" xfId="12092" xr:uid="{D4FA5B08-8B76-4787-A941-C527C6A25E4F}"/>
    <cellStyle name="Comma 4 2 2 2 11" xfId="4600" xr:uid="{00000000-0005-0000-0000-0000A3070000}"/>
    <cellStyle name="Comma 4 2 2 2 11 2" xfId="13926" xr:uid="{6DBEA98B-0091-418D-B832-74D1ADCFD3EF}"/>
    <cellStyle name="Comma 4 2 2 2 12" xfId="8806" xr:uid="{6C773D0B-D2E3-4A8C-B041-8DA2843B9E25}"/>
    <cellStyle name="Comma 4 2 2 2 12 2" xfId="18130" xr:uid="{FB4188FD-AB13-4437-8EA7-2F802AEF90B5}"/>
    <cellStyle name="Comma 4 2 2 2 13" xfId="9709" xr:uid="{91C49437-A46F-42B4-B535-53B3650FCED1}"/>
    <cellStyle name="Comma 4 2 2 2 2" xfId="129" xr:uid="{00000000-0005-0000-0000-0000A4070000}"/>
    <cellStyle name="Comma 4 2 2 2 2 10" xfId="4601" xr:uid="{00000000-0005-0000-0000-0000A5070000}"/>
    <cellStyle name="Comma 4 2 2 2 2 10 2" xfId="13927" xr:uid="{A4BA44B0-4E31-47F0-9B30-999E16CAC07E}"/>
    <cellStyle name="Comma 4 2 2 2 2 11" xfId="8909" xr:uid="{477FCE05-1F49-4658-A03C-A8A5E7983C47}"/>
    <cellStyle name="Comma 4 2 2 2 2 11 2" xfId="18233" xr:uid="{B45E229A-04E8-4736-905C-2822FB2F2E1B}"/>
    <cellStyle name="Comma 4 2 2 2 2 12" xfId="9710" xr:uid="{AF1178A0-6A84-4AB0-9216-2D02D700EA9F}"/>
    <cellStyle name="Comma 4 2 2 2 2 2" xfId="130" xr:uid="{00000000-0005-0000-0000-0000A6070000}"/>
    <cellStyle name="Comma 4 2 2 2 2 2 10" xfId="9116" xr:uid="{7A07505D-6B4C-4086-90B5-B5D345FB7611}"/>
    <cellStyle name="Comma 4 2 2 2 2 2 10 2" xfId="18440" xr:uid="{DD734F46-3550-40C8-8870-3350F1CAD190}"/>
    <cellStyle name="Comma 4 2 2 2 2 2 11" xfId="9711" xr:uid="{B91E8F48-B501-4140-9E90-FFD1DD94E25D}"/>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87" xr:uid="{95ECEFA5-2CAC-41BF-AB9A-552633D8CD48}"/>
    <cellStyle name="Comma 4 2 2 2 2 2 2 2 3" xfId="12270" xr:uid="{DF0C0400-EC16-4F6D-8FAC-45A1115F0899}"/>
    <cellStyle name="Comma 4 2 2 2 2 2 2 3" xfId="5016" xr:uid="{00000000-0005-0000-0000-0000AA070000}"/>
    <cellStyle name="Comma 4 2 2 2 2 2 2 3 2" xfId="14342" xr:uid="{53CC6B3C-FAD9-42F7-B82E-37A5A64C9F40}"/>
    <cellStyle name="Comma 4 2 2 2 2 2 2 4" xfId="9541" xr:uid="{21DC771E-83A2-48BA-BE40-3E9E8454DE28}"/>
    <cellStyle name="Comma 4 2 2 2 2 2 2 4 2" xfId="18856" xr:uid="{D8BE1503-DC89-4505-9ADA-9659A2A71ABB}"/>
    <cellStyle name="Comma 4 2 2 2 2 2 2 5" xfId="10125" xr:uid="{C446695A-D5C6-408F-9A38-5EFD215674CF}"/>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900" xr:uid="{778218A2-18A0-4816-8226-C1D75DC74EAE}"/>
    <cellStyle name="Comma 4 2 2 2 2 2 3 2 3" xfId="12683" xr:uid="{E14F5F88-3D80-4CFC-BDD1-A27F33624B20}"/>
    <cellStyle name="Comma 4 2 2 2 2 2 3 3" xfId="5429" xr:uid="{00000000-0005-0000-0000-0000AE070000}"/>
    <cellStyle name="Comma 4 2 2 2 2 2 3 3 2" xfId="14755" xr:uid="{C0FE9F85-B9F8-4DC9-8923-33F3EF4883D3}"/>
    <cellStyle name="Comma 4 2 2 2 2 2 3 4" xfId="10538" xr:uid="{1F7F30F3-E453-4BC7-BC54-28AA99C13CCA}"/>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313" xr:uid="{A3AFAE60-D015-4F6B-9948-3CCE2139B076}"/>
    <cellStyle name="Comma 4 2 2 2 2 2 4 2 3" xfId="13096" xr:uid="{F085B1D8-E49C-48AD-973F-EB463AAA133B}"/>
    <cellStyle name="Comma 4 2 2 2 2 2 4 3" xfId="5842" xr:uid="{00000000-0005-0000-0000-0000B2070000}"/>
    <cellStyle name="Comma 4 2 2 2 2 2 4 3 2" xfId="15168" xr:uid="{7D5E5F53-D51C-4F50-BC57-54DA2293E9EC}"/>
    <cellStyle name="Comma 4 2 2 2 2 2 4 4" xfId="10951" xr:uid="{75E53360-5FA4-477F-B048-E5E09E65CEA4}"/>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726" xr:uid="{51175CBC-536A-4F53-99EA-BADF9FF4B68A}"/>
    <cellStyle name="Comma 4 2 2 2 2 2 5 2 3" xfId="13509" xr:uid="{10AF4685-2DCA-4490-A677-90B12371A351}"/>
    <cellStyle name="Comma 4 2 2 2 2 2 5 3" xfId="6255" xr:uid="{00000000-0005-0000-0000-0000B6070000}"/>
    <cellStyle name="Comma 4 2 2 2 2 2 5 3 2" xfId="15581" xr:uid="{4427DE84-96D4-4D5B-B38B-6A205838C433}"/>
    <cellStyle name="Comma 4 2 2 2 2 2 5 4" xfId="11364" xr:uid="{F7A3B7BD-FACC-41CB-B1C6-C1B8E2A444DF}"/>
    <cellStyle name="Comma 4 2 2 2 2 2 6" xfId="2384" xr:uid="{00000000-0005-0000-0000-0000B7070000}"/>
    <cellStyle name="Comma 4 2 2 2 2 2 6 2" xfId="6668" xr:uid="{00000000-0005-0000-0000-0000B8070000}"/>
    <cellStyle name="Comma 4 2 2 2 2 2 6 2 2" xfId="15994" xr:uid="{8878622F-6DC6-404E-9F56-6858C45ABF73}"/>
    <cellStyle name="Comma 4 2 2 2 2 2 6 3" xfId="11777" xr:uid="{17FCF498-D76D-4039-B4F7-0BB7F264A407}"/>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311" xr:uid="{6CEA3718-D2AA-451A-B80C-196B3C3558DE}"/>
    <cellStyle name="Comma 4 2 2 2 2 2 8 3" xfId="12094" xr:uid="{D196226F-F45E-4DAE-9649-7BF01840DC48}"/>
    <cellStyle name="Comma 4 2 2 2 2 2 9" xfId="4602" xr:uid="{00000000-0005-0000-0000-0000BC070000}"/>
    <cellStyle name="Comma 4 2 2 2 2 2 9 2" xfId="13928" xr:uid="{79D71999-8BB7-4798-B193-379012831524}"/>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86" xr:uid="{4E13093D-2C2F-48FD-8CB3-0CA73556DBDB}"/>
    <cellStyle name="Comma 4 2 2 2 2 3 2 3" xfId="12269" xr:uid="{A29F658C-F66B-401D-8DC1-C62BD7978DBC}"/>
    <cellStyle name="Comma 4 2 2 2 2 3 3" xfId="5015" xr:uid="{00000000-0005-0000-0000-0000C0070000}"/>
    <cellStyle name="Comma 4 2 2 2 2 3 3 2" xfId="14341" xr:uid="{2FA193AA-7A80-4615-9909-E0211827DEB4}"/>
    <cellStyle name="Comma 4 2 2 2 2 3 4" xfId="9334" xr:uid="{50E8807F-6450-4082-BD30-0A86C2E78D0E}"/>
    <cellStyle name="Comma 4 2 2 2 2 3 4 2" xfId="18649" xr:uid="{9403F221-B5CA-4F11-B715-0DA6D951266D}"/>
    <cellStyle name="Comma 4 2 2 2 2 3 5" xfId="10124" xr:uid="{E65415E1-78B0-4A1C-ACF5-8D31D32AB7F7}"/>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99" xr:uid="{F3F4713C-B7F7-4577-8056-7FD1E5D91EC6}"/>
    <cellStyle name="Comma 4 2 2 2 2 4 2 3" xfId="12682" xr:uid="{A4E2A564-3808-4656-A617-C8389AB1AF6F}"/>
    <cellStyle name="Comma 4 2 2 2 2 4 3" xfId="5428" xr:uid="{00000000-0005-0000-0000-0000C4070000}"/>
    <cellStyle name="Comma 4 2 2 2 2 4 3 2" xfId="14754" xr:uid="{C9D42BDD-2D73-4584-AB7E-52C13AD8E19C}"/>
    <cellStyle name="Comma 4 2 2 2 2 4 4" xfId="10537" xr:uid="{BC81EE06-5C50-4F5F-95FE-494AAF60E309}"/>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312" xr:uid="{92D277A4-2EF6-492E-B8D2-A45D71B9786C}"/>
    <cellStyle name="Comma 4 2 2 2 2 5 2 3" xfId="13095" xr:uid="{1F8D2DD6-D034-4910-AA37-244EE6889604}"/>
    <cellStyle name="Comma 4 2 2 2 2 5 3" xfId="5841" xr:uid="{00000000-0005-0000-0000-0000C8070000}"/>
    <cellStyle name="Comma 4 2 2 2 2 5 3 2" xfId="15167" xr:uid="{E52D3334-F1A1-4077-B4D4-843A51DDE011}"/>
    <cellStyle name="Comma 4 2 2 2 2 5 4" xfId="10950" xr:uid="{2E416799-0D00-4577-95C4-4B388BDA8A3C}"/>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725" xr:uid="{B9257A88-3C6C-4074-84DA-2DE04112C7C8}"/>
    <cellStyle name="Comma 4 2 2 2 2 6 2 3" xfId="13508" xr:uid="{4D58E0BA-EE8E-41DB-8F89-0723FDB88EE8}"/>
    <cellStyle name="Comma 4 2 2 2 2 6 3" xfId="6254" xr:uid="{00000000-0005-0000-0000-0000CC070000}"/>
    <cellStyle name="Comma 4 2 2 2 2 6 3 2" xfId="15580" xr:uid="{BF1B479D-F047-4F19-9588-5BAF40EE29C7}"/>
    <cellStyle name="Comma 4 2 2 2 2 6 4" xfId="11363" xr:uid="{E64B1199-68EA-48D8-A78E-0701A0261F66}"/>
    <cellStyle name="Comma 4 2 2 2 2 7" xfId="2383" xr:uid="{00000000-0005-0000-0000-0000CD070000}"/>
    <cellStyle name="Comma 4 2 2 2 2 7 2" xfId="6667" xr:uid="{00000000-0005-0000-0000-0000CE070000}"/>
    <cellStyle name="Comma 4 2 2 2 2 7 2 2" xfId="15993" xr:uid="{A1A97A18-6333-4EF5-A854-7B09DC94592F}"/>
    <cellStyle name="Comma 4 2 2 2 2 7 3" xfId="11776" xr:uid="{FCEC089B-F41B-413F-926C-5DE6B0EF58A6}"/>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310" xr:uid="{62B86CEC-235F-44E0-AAAA-76210427C9D7}"/>
    <cellStyle name="Comma 4 2 2 2 2 9 3" xfId="12093" xr:uid="{16AE3FB4-0AF1-4ED5-85C6-9F222F7847CB}"/>
    <cellStyle name="Comma 4 2 2 2 3" xfId="131" xr:uid="{00000000-0005-0000-0000-0000D2070000}"/>
    <cellStyle name="Comma 4 2 2 2 3 10" xfId="9013" xr:uid="{D7491CA1-A7A0-4099-A659-9FB418CDDACA}"/>
    <cellStyle name="Comma 4 2 2 2 3 10 2" xfId="18337" xr:uid="{7A69D529-D1DB-457B-B751-91946A1C7679}"/>
    <cellStyle name="Comma 4 2 2 2 3 11" xfId="9712" xr:uid="{270CEEE4-C0AF-4747-A9DA-1D2CFC0DF200}"/>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88" xr:uid="{AD4F8000-5A8D-451E-A3E1-30F67399FA17}"/>
    <cellStyle name="Comma 4 2 2 2 3 2 2 3" xfId="12271" xr:uid="{B71796F7-1B61-4AC8-BE8F-C9B10B5CBD0F}"/>
    <cellStyle name="Comma 4 2 2 2 3 2 3" xfId="5017" xr:uid="{00000000-0005-0000-0000-0000D6070000}"/>
    <cellStyle name="Comma 4 2 2 2 3 2 3 2" xfId="14343" xr:uid="{EEAF4B46-FF77-4163-A9D4-4B725830BA48}"/>
    <cellStyle name="Comma 4 2 2 2 3 2 4" xfId="9438" xr:uid="{8E9C4341-814A-43D1-8D35-8CCC512A2E32}"/>
    <cellStyle name="Comma 4 2 2 2 3 2 4 2" xfId="18753" xr:uid="{AF22EC23-CFB4-42C9-B2DD-D444A08A7EFA}"/>
    <cellStyle name="Comma 4 2 2 2 3 2 5" xfId="10126" xr:uid="{795BD5ED-33FB-43DF-9438-78AA3459DA51}"/>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901" xr:uid="{8A976276-D8C7-478B-9E4C-7DDDF042B925}"/>
    <cellStyle name="Comma 4 2 2 2 3 3 2 3" xfId="12684" xr:uid="{9C850400-406E-498F-9C67-48985ADC41B8}"/>
    <cellStyle name="Comma 4 2 2 2 3 3 3" xfId="5430" xr:uid="{00000000-0005-0000-0000-0000DA070000}"/>
    <cellStyle name="Comma 4 2 2 2 3 3 3 2" xfId="14756" xr:uid="{645667D8-3EE9-45A2-BDFF-E7F3A42ED89D}"/>
    <cellStyle name="Comma 4 2 2 2 3 3 4" xfId="10539" xr:uid="{C05DAEC2-043F-415C-A563-D8CBDCD6180F}"/>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314" xr:uid="{6E371B3E-05E4-4E6B-8A0A-684D8453B6AD}"/>
    <cellStyle name="Comma 4 2 2 2 3 4 2 3" xfId="13097" xr:uid="{EB562C2A-0DE9-4959-A1EB-F50E38359D8F}"/>
    <cellStyle name="Comma 4 2 2 2 3 4 3" xfId="5843" xr:uid="{00000000-0005-0000-0000-0000DE070000}"/>
    <cellStyle name="Comma 4 2 2 2 3 4 3 2" xfId="15169" xr:uid="{6D73DF5F-C5C5-4DE7-AB6D-9A1E2C45C6B3}"/>
    <cellStyle name="Comma 4 2 2 2 3 4 4" xfId="10952" xr:uid="{58F32E93-4ABD-4719-BA67-059079E1A3D2}"/>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727" xr:uid="{6EF0B177-7BCD-4EAA-9223-754C142172BA}"/>
    <cellStyle name="Comma 4 2 2 2 3 5 2 3" xfId="13510" xr:uid="{91C61D59-11D4-4E4E-B48A-C2FC76B3830E}"/>
    <cellStyle name="Comma 4 2 2 2 3 5 3" xfId="6256" xr:uid="{00000000-0005-0000-0000-0000E2070000}"/>
    <cellStyle name="Comma 4 2 2 2 3 5 3 2" xfId="15582" xr:uid="{3EE73E7C-BACA-4711-A7E4-DB643F807AE3}"/>
    <cellStyle name="Comma 4 2 2 2 3 5 4" xfId="11365" xr:uid="{7DB2279A-BB51-413D-ACC1-EFD8C4C1CB4D}"/>
    <cellStyle name="Comma 4 2 2 2 3 6" xfId="2385" xr:uid="{00000000-0005-0000-0000-0000E3070000}"/>
    <cellStyle name="Comma 4 2 2 2 3 6 2" xfId="6669" xr:uid="{00000000-0005-0000-0000-0000E4070000}"/>
    <cellStyle name="Comma 4 2 2 2 3 6 2 2" xfId="15995" xr:uid="{7488B211-8382-45D3-B88B-DF88B4D544DF}"/>
    <cellStyle name="Comma 4 2 2 2 3 6 3" xfId="11778" xr:uid="{7CA2DC49-AA50-4576-87CD-B4EBFC84AB95}"/>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312" xr:uid="{456EAA5D-D722-441F-8998-DB44F2AB3161}"/>
    <cellStyle name="Comma 4 2 2 2 3 8 3" xfId="12095" xr:uid="{277506AB-F101-46AE-9BA3-8D22EC84B057}"/>
    <cellStyle name="Comma 4 2 2 2 3 9" xfId="4603" xr:uid="{00000000-0005-0000-0000-0000E8070000}"/>
    <cellStyle name="Comma 4 2 2 2 3 9 2" xfId="13929" xr:uid="{46314582-5DEC-4311-90D2-12E30BD76EF5}"/>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85" xr:uid="{843C1044-F52A-4B76-A076-E97F7012907E}"/>
    <cellStyle name="Comma 4 2 2 2 4 2 3" xfId="12268" xr:uid="{BE696D28-A393-4EFD-B5C9-8586C8F98860}"/>
    <cellStyle name="Comma 4 2 2 2 4 3" xfId="5014" xr:uid="{00000000-0005-0000-0000-0000EC070000}"/>
    <cellStyle name="Comma 4 2 2 2 4 3 2" xfId="14340" xr:uid="{A575B2DD-112E-4E73-8461-86ADA1BBE9DA}"/>
    <cellStyle name="Comma 4 2 2 2 4 4" xfId="9231" xr:uid="{31DAC97A-9492-467B-9850-183797A56FBE}"/>
    <cellStyle name="Comma 4 2 2 2 4 4 2" xfId="18546" xr:uid="{54E9CEA8-73E8-4528-951A-7A11BD044B0E}"/>
    <cellStyle name="Comma 4 2 2 2 4 5" xfId="10123" xr:uid="{B3B57F18-9C0B-4E63-8A88-EDB189B72882}"/>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98" xr:uid="{F8894151-4D79-434E-9C41-FEFDFC86172B}"/>
    <cellStyle name="Comma 4 2 2 2 5 2 3" xfId="12681" xr:uid="{309F3776-36A6-4657-8300-AC07756D6540}"/>
    <cellStyle name="Comma 4 2 2 2 5 3" xfId="5427" xr:uid="{00000000-0005-0000-0000-0000F0070000}"/>
    <cellStyle name="Comma 4 2 2 2 5 3 2" xfId="14753" xr:uid="{ED2BE707-9D0B-439B-859F-54668AF001EB}"/>
    <cellStyle name="Comma 4 2 2 2 5 4" xfId="10536" xr:uid="{C5A7D838-FE69-4B8C-9ECF-53E207344311}"/>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311" xr:uid="{2404E2C1-F38A-440E-853A-F437025207AA}"/>
    <cellStyle name="Comma 4 2 2 2 6 2 3" xfId="13094" xr:uid="{54215EFE-916A-463D-BD8A-7D3CCA505FFE}"/>
    <cellStyle name="Comma 4 2 2 2 6 3" xfId="5840" xr:uid="{00000000-0005-0000-0000-0000F4070000}"/>
    <cellStyle name="Comma 4 2 2 2 6 3 2" xfId="15166" xr:uid="{E3AA9E72-4CFF-4B1E-B378-0378FB1BCF94}"/>
    <cellStyle name="Comma 4 2 2 2 6 4" xfId="10949" xr:uid="{D79624B7-92C2-4987-B7AE-F1829255CA1E}"/>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724" xr:uid="{AC8529D8-BE84-4C3E-91AC-FE28570EE133}"/>
    <cellStyle name="Comma 4 2 2 2 7 2 3" xfId="13507" xr:uid="{586BC09C-B12D-460F-A756-3F351E481412}"/>
    <cellStyle name="Comma 4 2 2 2 7 3" xfId="6253" xr:uid="{00000000-0005-0000-0000-0000F8070000}"/>
    <cellStyle name="Comma 4 2 2 2 7 3 2" xfId="15579" xr:uid="{E012E1A4-16BD-4E7F-AA5B-CC068FFD33E1}"/>
    <cellStyle name="Comma 4 2 2 2 7 4" xfId="11362" xr:uid="{0553E45A-E48C-4669-B955-9655BAD86841}"/>
    <cellStyle name="Comma 4 2 2 2 8" xfId="2382" xr:uid="{00000000-0005-0000-0000-0000F9070000}"/>
    <cellStyle name="Comma 4 2 2 2 8 2" xfId="6666" xr:uid="{00000000-0005-0000-0000-0000FA070000}"/>
    <cellStyle name="Comma 4 2 2 2 8 2 2" xfId="15992" xr:uid="{4038A918-6D50-46DF-9A32-D6ADA2FA11CD}"/>
    <cellStyle name="Comma 4 2 2 2 8 3" xfId="11775" xr:uid="{9A3D0EEA-FC62-4606-BB8A-166B388613BC}"/>
    <cellStyle name="Comma 4 2 2 2 9" xfId="2381" xr:uid="{00000000-0005-0000-0000-0000FB070000}"/>
    <cellStyle name="Comma 4 2 2 3" xfId="132" xr:uid="{00000000-0005-0000-0000-0000FC070000}"/>
    <cellStyle name="Comma 4 2 2 3 10" xfId="4604" xr:uid="{00000000-0005-0000-0000-0000FD070000}"/>
    <cellStyle name="Comma 4 2 2 3 10 2" xfId="13930" xr:uid="{397F4BF3-ABF9-4975-9C7F-D25B74EA890A}"/>
    <cellStyle name="Comma 4 2 2 3 11" xfId="8889" xr:uid="{93813409-C042-4436-8561-B0237A135E7D}"/>
    <cellStyle name="Comma 4 2 2 3 11 2" xfId="18213" xr:uid="{1B74F82E-DB93-4ABB-9D79-7703FAC00BD2}"/>
    <cellStyle name="Comma 4 2 2 3 12" xfId="9713" xr:uid="{6A921D6F-8AF1-4AA7-8BFA-141EB543F94B}"/>
    <cellStyle name="Comma 4 2 2 3 2" xfId="133" xr:uid="{00000000-0005-0000-0000-0000FE070000}"/>
    <cellStyle name="Comma 4 2 2 3 2 10" xfId="9096" xr:uid="{C395B6CC-7E3E-452B-B5AB-BBF992A45CEB}"/>
    <cellStyle name="Comma 4 2 2 3 2 10 2" xfId="18420" xr:uid="{10FAE1E6-086A-47C2-91B4-6C7C3189D3DC}"/>
    <cellStyle name="Comma 4 2 2 3 2 11" xfId="9714" xr:uid="{DB93B48A-EB14-4F6B-8155-35EA6F6BF8D8}"/>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90" xr:uid="{3196382E-9B8A-439D-9B3F-606078E89D54}"/>
    <cellStyle name="Comma 4 2 2 3 2 2 2 3" xfId="12273" xr:uid="{13D469BB-263A-4798-B04B-B4044C1C98D6}"/>
    <cellStyle name="Comma 4 2 2 3 2 2 3" xfId="5019" xr:uid="{00000000-0005-0000-0000-000002080000}"/>
    <cellStyle name="Comma 4 2 2 3 2 2 3 2" xfId="14345" xr:uid="{24D45773-6558-49B6-8D55-AD70FF4241D2}"/>
    <cellStyle name="Comma 4 2 2 3 2 2 4" xfId="9521" xr:uid="{8F14F654-C711-4E70-8A06-71F68E70E2E0}"/>
    <cellStyle name="Comma 4 2 2 3 2 2 4 2" xfId="18836" xr:uid="{A0486968-E437-4581-B0F1-10C93FB7150D}"/>
    <cellStyle name="Comma 4 2 2 3 2 2 5" xfId="10128" xr:uid="{73D4DBFC-F44C-4563-8916-72B243B5DDBD}"/>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903" xr:uid="{FF6269C7-798D-4844-94BC-DB246F3F80D8}"/>
    <cellStyle name="Comma 4 2 2 3 2 3 2 3" xfId="12686" xr:uid="{204137B3-812F-4236-A09B-CBEC2F4BB167}"/>
    <cellStyle name="Comma 4 2 2 3 2 3 3" xfId="5432" xr:uid="{00000000-0005-0000-0000-000006080000}"/>
    <cellStyle name="Comma 4 2 2 3 2 3 3 2" xfId="14758" xr:uid="{E4692845-D65D-4153-B03B-10D5014D272D}"/>
    <cellStyle name="Comma 4 2 2 3 2 3 4" xfId="10541" xr:uid="{982323ED-21E9-42F6-9FD4-A044C5EDFA7B}"/>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316" xr:uid="{276B3581-7A92-4A2C-A973-000F64F3219F}"/>
    <cellStyle name="Comma 4 2 2 3 2 4 2 3" xfId="13099" xr:uid="{A316D071-A56A-4C9F-BB7E-261ED742FC69}"/>
    <cellStyle name="Comma 4 2 2 3 2 4 3" xfId="5845" xr:uid="{00000000-0005-0000-0000-00000A080000}"/>
    <cellStyle name="Comma 4 2 2 3 2 4 3 2" xfId="15171" xr:uid="{ACD7241F-3027-478E-881B-26A61B844FFB}"/>
    <cellStyle name="Comma 4 2 2 3 2 4 4" xfId="10954" xr:uid="{4BFF5034-6142-41A2-A6F4-5471866C8245}"/>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729" xr:uid="{84F4808A-D909-4DD2-A64D-6DF009206906}"/>
    <cellStyle name="Comma 4 2 2 3 2 5 2 3" xfId="13512" xr:uid="{C05A0B2F-D71C-4146-8A1C-320654156878}"/>
    <cellStyle name="Comma 4 2 2 3 2 5 3" xfId="6258" xr:uid="{00000000-0005-0000-0000-00000E080000}"/>
    <cellStyle name="Comma 4 2 2 3 2 5 3 2" xfId="15584" xr:uid="{B96FEDE1-3B8C-4DA6-B418-C9BF55C9E4D6}"/>
    <cellStyle name="Comma 4 2 2 3 2 5 4" xfId="11367" xr:uid="{F86C5C51-96D4-4E5C-8AD3-B0C18B80478D}"/>
    <cellStyle name="Comma 4 2 2 3 2 6" xfId="2387" xr:uid="{00000000-0005-0000-0000-00000F080000}"/>
    <cellStyle name="Comma 4 2 2 3 2 6 2" xfId="6671" xr:uid="{00000000-0005-0000-0000-000010080000}"/>
    <cellStyle name="Comma 4 2 2 3 2 6 2 2" xfId="15997" xr:uid="{CCDFCB91-0F85-42CF-9612-0F67AF8C2211}"/>
    <cellStyle name="Comma 4 2 2 3 2 6 3" xfId="11780" xr:uid="{F2B86355-6134-4333-B542-8C801C6E9101}"/>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314" xr:uid="{41ECFA30-B757-477E-A591-23C15B4ABCFC}"/>
    <cellStyle name="Comma 4 2 2 3 2 8 3" xfId="12097" xr:uid="{C4D8AEC5-F680-4947-8AE0-411B7616F9EB}"/>
    <cellStyle name="Comma 4 2 2 3 2 9" xfId="4605" xr:uid="{00000000-0005-0000-0000-000014080000}"/>
    <cellStyle name="Comma 4 2 2 3 2 9 2" xfId="13931" xr:uid="{2B05CD0F-09BB-4548-8E98-CF3269A2C1DA}"/>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89" xr:uid="{E1D66321-DC6D-4487-9988-8AD870936004}"/>
    <cellStyle name="Comma 4 2 2 3 3 2 3" xfId="12272" xr:uid="{BE2168A9-BF8E-41C0-9E44-BE7760846183}"/>
    <cellStyle name="Comma 4 2 2 3 3 3" xfId="5018" xr:uid="{00000000-0005-0000-0000-000018080000}"/>
    <cellStyle name="Comma 4 2 2 3 3 3 2" xfId="14344" xr:uid="{4EADA2CD-8A37-437A-B83F-7F7313B17384}"/>
    <cellStyle name="Comma 4 2 2 3 3 4" xfId="9314" xr:uid="{A74197AE-1229-40FC-8212-8FB289D74FF6}"/>
    <cellStyle name="Comma 4 2 2 3 3 4 2" xfId="18629" xr:uid="{18B1B868-6715-43DC-8166-84CEC874F7BA}"/>
    <cellStyle name="Comma 4 2 2 3 3 5" xfId="10127" xr:uid="{ADCB4D7D-B4CF-46CB-BD4A-8B189EE9E331}"/>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902" xr:uid="{E8D5AE92-B498-4DE9-8BBF-BD0A26406714}"/>
    <cellStyle name="Comma 4 2 2 3 4 2 3" xfId="12685" xr:uid="{F5ADA9CE-8A85-4A53-B7F1-B3E8A101F654}"/>
    <cellStyle name="Comma 4 2 2 3 4 3" xfId="5431" xr:uid="{00000000-0005-0000-0000-00001C080000}"/>
    <cellStyle name="Comma 4 2 2 3 4 3 2" xfId="14757" xr:uid="{D267D40E-60B8-4562-97C6-49E934514499}"/>
    <cellStyle name="Comma 4 2 2 3 4 4" xfId="10540" xr:uid="{6FA2CB07-A9EF-4C00-BFD6-6A669E989034}"/>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315" xr:uid="{6EC89F81-AC4B-4A0F-A75F-537C8873A00B}"/>
    <cellStyle name="Comma 4 2 2 3 5 2 3" xfId="13098" xr:uid="{47FE0B72-C9C4-4395-8C26-781D90E7387F}"/>
    <cellStyle name="Comma 4 2 2 3 5 3" xfId="5844" xr:uid="{00000000-0005-0000-0000-000020080000}"/>
    <cellStyle name="Comma 4 2 2 3 5 3 2" xfId="15170" xr:uid="{47FD1334-731A-4C72-9DC8-F6A1539FD5DD}"/>
    <cellStyle name="Comma 4 2 2 3 5 4" xfId="10953" xr:uid="{D9B61D10-1375-45A3-8E7B-41BB6CD15E80}"/>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728" xr:uid="{80F6E959-54D5-44A3-9750-5DB93063D554}"/>
    <cellStyle name="Comma 4 2 2 3 6 2 3" xfId="13511" xr:uid="{16D30CB3-1B0C-418B-B837-82A97BAE0A16}"/>
    <cellStyle name="Comma 4 2 2 3 6 3" xfId="6257" xr:uid="{00000000-0005-0000-0000-000024080000}"/>
    <cellStyle name="Comma 4 2 2 3 6 3 2" xfId="15583" xr:uid="{5069225D-02DC-4FEE-9E48-7F174CE9ED32}"/>
    <cellStyle name="Comma 4 2 2 3 6 4" xfId="11366" xr:uid="{DD548836-74B1-41B9-9D90-D9804632C034}"/>
    <cellStyle name="Comma 4 2 2 3 7" xfId="2386" xr:uid="{00000000-0005-0000-0000-000025080000}"/>
    <cellStyle name="Comma 4 2 2 3 7 2" xfId="6670" xr:uid="{00000000-0005-0000-0000-000026080000}"/>
    <cellStyle name="Comma 4 2 2 3 7 2 2" xfId="15996" xr:uid="{EEC62FB1-A1CA-4CDA-9391-899305470A2F}"/>
    <cellStyle name="Comma 4 2 2 3 7 3" xfId="11779" xr:uid="{31278580-286C-4654-A2DD-989186E0EF22}"/>
    <cellStyle name="Comma 4 2 2 3 8" xfId="2377" xr:uid="{00000000-0005-0000-0000-000027080000}"/>
    <cellStyle name="Comma 4 2 2 3 9" xfId="2764" xr:uid="{00000000-0005-0000-0000-000028080000}"/>
    <cellStyle name="Comma 4 2 2 3 9 2" xfId="6987" xr:uid="{00000000-0005-0000-0000-000029080000}"/>
    <cellStyle name="Comma 4 2 2 3 9 2 2" xfId="16313" xr:uid="{D7239880-AEBF-4358-B752-0D33088483A8}"/>
    <cellStyle name="Comma 4 2 2 3 9 3" xfId="12096" xr:uid="{BE410B1D-3B21-43A4-BE5C-310CB1D47C70}"/>
    <cellStyle name="Comma 4 2 2 4" xfId="134" xr:uid="{00000000-0005-0000-0000-00002A080000}"/>
    <cellStyle name="Comma 4 2 2 4 10" xfId="8993" xr:uid="{2969CB69-37C4-4C43-BC9D-87F92556F829}"/>
    <cellStyle name="Comma 4 2 2 4 10 2" xfId="18317" xr:uid="{2EAD44F0-C736-4BF6-8242-93AB4C58C060}"/>
    <cellStyle name="Comma 4 2 2 4 11" xfId="9715" xr:uid="{028C72A5-64E9-44AD-A37A-A1D93607CA0F}"/>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91" xr:uid="{5E67BFA6-C87D-4DCF-8EEA-FEAEAA702EE5}"/>
    <cellStyle name="Comma 4 2 2 4 2 2 3" xfId="12274" xr:uid="{EF045285-5F26-4E08-A09C-6C13C012C650}"/>
    <cellStyle name="Comma 4 2 2 4 2 3" xfId="5020" xr:uid="{00000000-0005-0000-0000-00002E080000}"/>
    <cellStyle name="Comma 4 2 2 4 2 3 2" xfId="14346" xr:uid="{7029A920-99E4-40DB-9FED-3192207DEF4C}"/>
    <cellStyle name="Comma 4 2 2 4 2 4" xfId="9418" xr:uid="{F2EB07B7-2227-485D-9411-A8F75EC2F9DA}"/>
    <cellStyle name="Comma 4 2 2 4 2 4 2" xfId="18733" xr:uid="{A4891FB8-41D9-4651-B69C-0FA4530BB14C}"/>
    <cellStyle name="Comma 4 2 2 4 2 5" xfId="10129" xr:uid="{61977266-7674-4C8F-A1DE-9881A8885F8D}"/>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904" xr:uid="{0BC0FC80-E06C-47D3-823D-1704B00192DE}"/>
    <cellStyle name="Comma 4 2 2 4 3 2 3" xfId="12687" xr:uid="{3815392D-D055-4B8C-8D59-F39D9F163718}"/>
    <cellStyle name="Comma 4 2 2 4 3 3" xfId="5433" xr:uid="{00000000-0005-0000-0000-000032080000}"/>
    <cellStyle name="Comma 4 2 2 4 3 3 2" xfId="14759" xr:uid="{01F7337F-F10C-4AA1-B19F-E086694A33F7}"/>
    <cellStyle name="Comma 4 2 2 4 3 4" xfId="10542" xr:uid="{24EB2501-6756-40F8-A7D1-044717126037}"/>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317" xr:uid="{87219DA1-94C8-447A-BAE3-5D378C2EE7AA}"/>
    <cellStyle name="Comma 4 2 2 4 4 2 3" xfId="13100" xr:uid="{458B410A-DAEB-4478-A355-953D416E9046}"/>
    <cellStyle name="Comma 4 2 2 4 4 3" xfId="5846" xr:uid="{00000000-0005-0000-0000-000036080000}"/>
    <cellStyle name="Comma 4 2 2 4 4 3 2" xfId="15172" xr:uid="{0AD421E9-C483-4764-B45F-3B2DBCC9ECF9}"/>
    <cellStyle name="Comma 4 2 2 4 4 4" xfId="10955" xr:uid="{6EB5ED1D-184F-48DE-B985-97B339484C68}"/>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730" xr:uid="{C0339900-B8AA-4487-81B0-7A2D599856A3}"/>
    <cellStyle name="Comma 4 2 2 4 5 2 3" xfId="13513" xr:uid="{34657DCE-EC30-46FF-B52B-FB89E8F4ACD1}"/>
    <cellStyle name="Comma 4 2 2 4 5 3" xfId="6259" xr:uid="{00000000-0005-0000-0000-00003A080000}"/>
    <cellStyle name="Comma 4 2 2 4 5 3 2" xfId="15585" xr:uid="{C8F4118C-4523-4388-93E3-0711FC985FDA}"/>
    <cellStyle name="Comma 4 2 2 4 5 4" xfId="11368" xr:uid="{3E31D161-7902-4AB9-ADB8-999B5BFD177F}"/>
    <cellStyle name="Comma 4 2 2 4 6" xfId="2388" xr:uid="{00000000-0005-0000-0000-00003B080000}"/>
    <cellStyle name="Comma 4 2 2 4 6 2" xfId="6672" xr:uid="{00000000-0005-0000-0000-00003C080000}"/>
    <cellStyle name="Comma 4 2 2 4 6 2 2" xfId="15998" xr:uid="{B23FA207-56B0-4BD9-A92B-E6AA9FA20A4C}"/>
    <cellStyle name="Comma 4 2 2 4 6 3" xfId="11781" xr:uid="{68F056D6-A56D-4990-89F8-D1D89A8F142E}"/>
    <cellStyle name="Comma 4 2 2 4 7" xfId="2375" xr:uid="{00000000-0005-0000-0000-00003D080000}"/>
    <cellStyle name="Comma 4 2 2 4 8" xfId="2766" xr:uid="{00000000-0005-0000-0000-00003E080000}"/>
    <cellStyle name="Comma 4 2 2 4 8 2" xfId="6989" xr:uid="{00000000-0005-0000-0000-00003F080000}"/>
    <cellStyle name="Comma 4 2 2 4 8 2 2" xfId="16315" xr:uid="{8AA5D926-1B1B-47ED-8D76-DBE0DEEA0FB8}"/>
    <cellStyle name="Comma 4 2 2 4 8 3" xfId="12098" xr:uid="{EDF54C4A-1EBD-4F5B-8C64-5EA0149BC72F}"/>
    <cellStyle name="Comma 4 2 2 4 9" xfId="4606" xr:uid="{00000000-0005-0000-0000-000040080000}"/>
    <cellStyle name="Comma 4 2 2 4 9 2" xfId="13932" xr:uid="{A3B75EC7-16D0-44E6-83BB-8399023E48B7}"/>
    <cellStyle name="Comma 4 2 2 5" xfId="135" xr:uid="{00000000-0005-0000-0000-000041080000}"/>
    <cellStyle name="Comma 4 2 2 5 10" xfId="9210" xr:uid="{C1F9418B-EF96-4063-883D-A983E131C6A4}"/>
    <cellStyle name="Comma 4 2 2 5 10 2" xfId="18526" xr:uid="{CE56AA60-495B-4F5E-9CE0-13C9B0D4DC53}"/>
    <cellStyle name="Comma 4 2 2 5 11" xfId="9716" xr:uid="{D1418007-47B2-41E0-B235-3FE7B8ED689D}"/>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92" xr:uid="{27E5C5DF-7E50-4BBF-AFA5-62AB682D4EED}"/>
    <cellStyle name="Comma 4 2 2 5 2 2 3" xfId="12275" xr:uid="{86757FB1-D61D-4A8C-B692-A428D36952FE}"/>
    <cellStyle name="Comma 4 2 2 5 2 3" xfId="5021" xr:uid="{00000000-0005-0000-0000-000045080000}"/>
    <cellStyle name="Comma 4 2 2 5 2 3 2" xfId="14347" xr:uid="{23723BA7-B1EE-4FD1-915D-CD2819828284}"/>
    <cellStyle name="Comma 4 2 2 5 2 4" xfId="9593" xr:uid="{3B41C66E-2108-4CBE-9776-211459781E55}"/>
    <cellStyle name="Comma 4 2 2 5 2 4 2" xfId="18897" xr:uid="{E3D8535F-4BFD-4138-8373-7A86222791E9}"/>
    <cellStyle name="Comma 4 2 2 5 2 5" xfId="10130" xr:uid="{F2C98015-A5BD-4C6B-9799-5C89D45ECC68}"/>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905" xr:uid="{B83DEA0B-5FC7-4B63-9F08-32C4101D125E}"/>
    <cellStyle name="Comma 4 2 2 5 3 2 3" xfId="12688" xr:uid="{84F6CAA5-75FD-4A05-A77F-0A958842DBAD}"/>
    <cellStyle name="Comma 4 2 2 5 3 3" xfId="5434" xr:uid="{00000000-0005-0000-0000-000049080000}"/>
    <cellStyle name="Comma 4 2 2 5 3 3 2" xfId="14760" xr:uid="{A0FB25FF-46BC-469C-9CBD-94BE0DFCA9B8}"/>
    <cellStyle name="Comma 4 2 2 5 3 4" xfId="10543" xr:uid="{4EC284AF-BD6E-462E-930B-A35BE1418EFF}"/>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318" xr:uid="{765E7D5D-36AF-47BE-9335-38D1708DC105}"/>
    <cellStyle name="Comma 4 2 2 5 4 2 3" xfId="13101" xr:uid="{C3B6C9A8-9217-4724-B472-B46B33D3F068}"/>
    <cellStyle name="Comma 4 2 2 5 4 3" xfId="5847" xr:uid="{00000000-0005-0000-0000-00004D080000}"/>
    <cellStyle name="Comma 4 2 2 5 4 3 2" xfId="15173" xr:uid="{01D8A64A-22A0-4EE7-A954-9905E2C11619}"/>
    <cellStyle name="Comma 4 2 2 5 4 4" xfId="10956" xr:uid="{EF5B0C6C-AC9E-4DEF-BF6A-7A462AC5DBD3}"/>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731" xr:uid="{17C028E3-F7BE-4AE0-BEC9-39E16D587866}"/>
    <cellStyle name="Comma 4 2 2 5 5 2 3" xfId="13514" xr:uid="{22FDBD95-C686-48B3-8E94-0F498C346C2A}"/>
    <cellStyle name="Comma 4 2 2 5 5 3" xfId="6260" xr:uid="{00000000-0005-0000-0000-000051080000}"/>
    <cellStyle name="Comma 4 2 2 5 5 3 2" xfId="15586" xr:uid="{F353658D-D244-4FF4-9754-71D5896B8A61}"/>
    <cellStyle name="Comma 4 2 2 5 5 4" xfId="11369" xr:uid="{7B454BF2-8D08-4532-B836-DA663DC68FAD}"/>
    <cellStyle name="Comma 4 2 2 5 6" xfId="2389" xr:uid="{00000000-0005-0000-0000-000052080000}"/>
    <cellStyle name="Comma 4 2 2 5 6 2" xfId="6673" xr:uid="{00000000-0005-0000-0000-000053080000}"/>
    <cellStyle name="Comma 4 2 2 5 6 2 2" xfId="15999" xr:uid="{E6616841-BB6A-4537-AB30-19F945D3F6B8}"/>
    <cellStyle name="Comma 4 2 2 5 6 3" xfId="11782" xr:uid="{3ECEC148-5069-4367-83BF-3BF8ABDD13A4}"/>
    <cellStyle name="Comma 4 2 2 5 7" xfId="2374" xr:uid="{00000000-0005-0000-0000-000054080000}"/>
    <cellStyle name="Comma 4 2 2 5 8" xfId="2767" xr:uid="{00000000-0005-0000-0000-000055080000}"/>
    <cellStyle name="Comma 4 2 2 5 8 2" xfId="6990" xr:uid="{00000000-0005-0000-0000-000056080000}"/>
    <cellStyle name="Comma 4 2 2 5 8 2 2" xfId="16316" xr:uid="{78E060F1-5E5A-4D16-A4AA-078130BB10DD}"/>
    <cellStyle name="Comma 4 2 2 5 8 3" xfId="12099" xr:uid="{AB82A209-5B5D-4940-BBE3-EFE92CA6F1B4}"/>
    <cellStyle name="Comma 4 2 2 5 9" xfId="4607" xr:uid="{00000000-0005-0000-0000-000057080000}"/>
    <cellStyle name="Comma 4 2 2 5 9 2" xfId="13933" xr:uid="{8DE096D9-43B2-4793-A9F1-D315F898C703}"/>
    <cellStyle name="Comma 4 2 2 6" xfId="9228" xr:uid="{49D8FCED-23A7-48B2-8D10-F90787B2F62D}"/>
    <cellStyle name="Comma 4 2 2 7" xfId="8786" xr:uid="{8FDBE9F4-5F27-4B1B-A262-D62BF874EF16}"/>
    <cellStyle name="Comma 4 2 2 7 2" xfId="18110" xr:uid="{8B875153-DCC6-4C04-AD45-D652138ACEBE}"/>
    <cellStyle name="Comma 4 2 3" xfId="136" xr:uid="{00000000-0005-0000-0000-000058080000}"/>
    <cellStyle name="Comma 4 2 3 10" xfId="2768" xr:uid="{00000000-0005-0000-0000-000059080000}"/>
    <cellStyle name="Comma 4 2 3 10 2" xfId="6991" xr:uid="{00000000-0005-0000-0000-00005A080000}"/>
    <cellStyle name="Comma 4 2 3 10 2 2" xfId="16317" xr:uid="{0D93174B-580B-4581-A25C-928290972A1B}"/>
    <cellStyle name="Comma 4 2 3 10 3" xfId="12100" xr:uid="{03EF6599-C164-4577-B63A-874F874FE261}"/>
    <cellStyle name="Comma 4 2 3 11" xfId="4608" xr:uid="{00000000-0005-0000-0000-00005B080000}"/>
    <cellStyle name="Comma 4 2 3 11 2" xfId="13934" xr:uid="{BBACC759-82B5-40BF-80C1-70DFABD5AF05}"/>
    <cellStyle name="Comma 4 2 3 12" xfId="8805" xr:uid="{C45527F6-07B7-4887-BAF3-A6424444BA3B}"/>
    <cellStyle name="Comma 4 2 3 12 2" xfId="18129" xr:uid="{5DF8DCCF-1C33-4A69-AC6B-7D9CA978F7AC}"/>
    <cellStyle name="Comma 4 2 3 13" xfId="9717" xr:uid="{901BDC22-332D-4AE2-A80F-9A4547AF7A25}"/>
    <cellStyle name="Comma 4 2 3 2" xfId="137" xr:uid="{00000000-0005-0000-0000-00005C080000}"/>
    <cellStyle name="Comma 4 2 3 2 10" xfId="4609" xr:uid="{00000000-0005-0000-0000-00005D080000}"/>
    <cellStyle name="Comma 4 2 3 2 10 2" xfId="13935" xr:uid="{C211E897-D72B-4252-9AF3-F8CF6828BC32}"/>
    <cellStyle name="Comma 4 2 3 2 11" xfId="8908" xr:uid="{E7021C11-E6EB-4392-A0AD-2A78F42B4BB7}"/>
    <cellStyle name="Comma 4 2 3 2 11 2" xfId="18232" xr:uid="{9552A689-8264-4738-8684-BC99363661FE}"/>
    <cellStyle name="Comma 4 2 3 2 12" xfId="9718" xr:uid="{D2864B88-36CB-4A84-91B1-4D0DBE654585}"/>
    <cellStyle name="Comma 4 2 3 2 2" xfId="138" xr:uid="{00000000-0005-0000-0000-00005E080000}"/>
    <cellStyle name="Comma 4 2 3 2 2 10" xfId="9115" xr:uid="{1A31CCC4-B2C0-4E0C-B714-855521500FE8}"/>
    <cellStyle name="Comma 4 2 3 2 2 10 2" xfId="18439" xr:uid="{C8DA3938-4AC4-4DCC-9F18-9F9761250815}"/>
    <cellStyle name="Comma 4 2 3 2 2 11" xfId="9719" xr:uid="{BF1969BE-98A5-47DF-8E9F-F219CC253ADA}"/>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95" xr:uid="{A4726270-1BCC-4A60-9B23-795A90AB530A}"/>
    <cellStyle name="Comma 4 2 3 2 2 2 2 3" xfId="12278" xr:uid="{E578DB48-17C6-43BA-B5F4-C251172DA000}"/>
    <cellStyle name="Comma 4 2 3 2 2 2 3" xfId="5024" xr:uid="{00000000-0005-0000-0000-000062080000}"/>
    <cellStyle name="Comma 4 2 3 2 2 2 3 2" xfId="14350" xr:uid="{22E5A5AD-918C-44E0-8744-16514DE6C994}"/>
    <cellStyle name="Comma 4 2 3 2 2 2 4" xfId="9540" xr:uid="{F922DD27-FEAE-4DB6-894F-26CD58815668}"/>
    <cellStyle name="Comma 4 2 3 2 2 2 4 2" xfId="18855" xr:uid="{EE312015-267B-4860-A260-F9C8ED2512CD}"/>
    <cellStyle name="Comma 4 2 3 2 2 2 5" xfId="10133" xr:uid="{795BE434-47A9-4056-8A80-3A845456CD5F}"/>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908" xr:uid="{8DEBFAF8-3C36-4967-9F08-F134B9D648E2}"/>
    <cellStyle name="Comma 4 2 3 2 2 3 2 3" xfId="12691" xr:uid="{0A0A2DAE-4102-480B-857D-35F3C312E0D4}"/>
    <cellStyle name="Comma 4 2 3 2 2 3 3" xfId="5437" xr:uid="{00000000-0005-0000-0000-000066080000}"/>
    <cellStyle name="Comma 4 2 3 2 2 3 3 2" xfId="14763" xr:uid="{F30CCB42-994B-45F7-9BB3-9A1B9D9C7394}"/>
    <cellStyle name="Comma 4 2 3 2 2 3 4" xfId="10546" xr:uid="{7BC34754-3F29-44FD-B1E1-0118A46BD517}"/>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321" xr:uid="{0E30BC44-683E-4382-A4A2-99E5BD421999}"/>
    <cellStyle name="Comma 4 2 3 2 2 4 2 3" xfId="13104" xr:uid="{47D7D7ED-9C6C-47CE-A0AD-D08CAE475E7D}"/>
    <cellStyle name="Comma 4 2 3 2 2 4 3" xfId="5850" xr:uid="{00000000-0005-0000-0000-00006A080000}"/>
    <cellStyle name="Comma 4 2 3 2 2 4 3 2" xfId="15176" xr:uid="{A98BABA0-0B05-4347-8D55-4A11C5A508FE}"/>
    <cellStyle name="Comma 4 2 3 2 2 4 4" xfId="10959" xr:uid="{597D0C50-7E01-4526-B67E-E5C83F09E32E}"/>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734" xr:uid="{71B4BA88-21A1-4F38-9312-658A03240FD1}"/>
    <cellStyle name="Comma 4 2 3 2 2 5 2 3" xfId="13517" xr:uid="{E8A793D5-9510-48E1-A7C2-B7148F5BE6E6}"/>
    <cellStyle name="Comma 4 2 3 2 2 5 3" xfId="6263" xr:uid="{00000000-0005-0000-0000-00006E080000}"/>
    <cellStyle name="Comma 4 2 3 2 2 5 3 2" xfId="15589" xr:uid="{BB2400D4-8E2F-4793-8993-AB143E9D5929}"/>
    <cellStyle name="Comma 4 2 3 2 2 5 4" xfId="11372" xr:uid="{C3A70311-6094-428C-B59A-E5B92F093CC1}"/>
    <cellStyle name="Comma 4 2 3 2 2 6" xfId="2392" xr:uid="{00000000-0005-0000-0000-00006F080000}"/>
    <cellStyle name="Comma 4 2 3 2 2 6 2" xfId="6676" xr:uid="{00000000-0005-0000-0000-000070080000}"/>
    <cellStyle name="Comma 4 2 3 2 2 6 2 2" xfId="16002" xr:uid="{01EE5836-40F5-46F9-93DA-5ECFD99E5C78}"/>
    <cellStyle name="Comma 4 2 3 2 2 6 3" xfId="11785" xr:uid="{A9CEB208-C39D-404F-95FE-8A6A5B91D40D}"/>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319" xr:uid="{ECCA2A15-EC88-42DD-B760-3014FEC78C8E}"/>
    <cellStyle name="Comma 4 2 3 2 2 8 3" xfId="12102" xr:uid="{B6A3D7BC-1FFD-4245-9572-FBEE73DD8496}"/>
    <cellStyle name="Comma 4 2 3 2 2 9" xfId="4610" xr:uid="{00000000-0005-0000-0000-000074080000}"/>
    <cellStyle name="Comma 4 2 3 2 2 9 2" xfId="13936" xr:uid="{C817C448-DD5C-4F23-BC6B-195B44001550}"/>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94" xr:uid="{F229A272-A087-4E0F-A6C7-6FABF4E74452}"/>
    <cellStyle name="Comma 4 2 3 2 3 2 3" xfId="12277" xr:uid="{A56AA3A9-0750-457E-94F0-FB9534FC1C55}"/>
    <cellStyle name="Comma 4 2 3 2 3 3" xfId="5023" xr:uid="{00000000-0005-0000-0000-000078080000}"/>
    <cellStyle name="Comma 4 2 3 2 3 3 2" xfId="14349" xr:uid="{8298DFE7-21B0-4F4F-9EA0-15AB4EAE0741}"/>
    <cellStyle name="Comma 4 2 3 2 3 4" xfId="9333" xr:uid="{5C974796-1B06-4FA8-AB2A-F6B34628ACD4}"/>
    <cellStyle name="Comma 4 2 3 2 3 4 2" xfId="18648" xr:uid="{8597F5D5-24C7-4233-99A4-214F9B1E21FE}"/>
    <cellStyle name="Comma 4 2 3 2 3 5" xfId="10132" xr:uid="{FD8DF70E-35ED-4FF2-947E-2B4E66A8D5FF}"/>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907" xr:uid="{030EB873-DCA3-4402-96BD-15C05683C13D}"/>
    <cellStyle name="Comma 4 2 3 2 4 2 3" xfId="12690" xr:uid="{CF245B1E-63E5-4FD9-AEE1-96B2EBC3E81A}"/>
    <cellStyle name="Comma 4 2 3 2 4 3" xfId="5436" xr:uid="{00000000-0005-0000-0000-00007C080000}"/>
    <cellStyle name="Comma 4 2 3 2 4 3 2" xfId="14762" xr:uid="{CE030177-2C52-4661-AA35-57CF38CFCD34}"/>
    <cellStyle name="Comma 4 2 3 2 4 4" xfId="10545" xr:uid="{E0956A0D-0256-4215-9E4A-C79A4D2005DA}"/>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320" xr:uid="{06512278-3F64-42AF-B039-46CCF53EA269}"/>
    <cellStyle name="Comma 4 2 3 2 5 2 3" xfId="13103" xr:uid="{4D3B1F69-C66F-40EF-9477-25A271B8B972}"/>
    <cellStyle name="Comma 4 2 3 2 5 3" xfId="5849" xr:uid="{00000000-0005-0000-0000-000080080000}"/>
    <cellStyle name="Comma 4 2 3 2 5 3 2" xfId="15175" xr:uid="{99D4FCE3-CE6E-4F82-9934-44AAA5BE9A25}"/>
    <cellStyle name="Comma 4 2 3 2 5 4" xfId="10958" xr:uid="{21C12DA5-66E5-4650-9750-DB2B11B4AE7C}"/>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733" xr:uid="{2EB4854D-F198-43FC-BD02-7C9E01DF99F7}"/>
    <cellStyle name="Comma 4 2 3 2 6 2 3" xfId="13516" xr:uid="{EDC4F7AA-781B-491A-B875-043F4973BB76}"/>
    <cellStyle name="Comma 4 2 3 2 6 3" xfId="6262" xr:uid="{00000000-0005-0000-0000-000084080000}"/>
    <cellStyle name="Comma 4 2 3 2 6 3 2" xfId="15588" xr:uid="{4626EAB2-32B7-4258-9820-E7562C7B81D7}"/>
    <cellStyle name="Comma 4 2 3 2 6 4" xfId="11371" xr:uid="{7AFFBB4B-19A7-4963-B00D-D34761630648}"/>
    <cellStyle name="Comma 4 2 3 2 7" xfId="2391" xr:uid="{00000000-0005-0000-0000-000085080000}"/>
    <cellStyle name="Comma 4 2 3 2 7 2" xfId="6675" xr:uid="{00000000-0005-0000-0000-000086080000}"/>
    <cellStyle name="Comma 4 2 3 2 7 2 2" xfId="16001" xr:uid="{5E7C0AD2-4C8B-4B39-80C6-87DFE7FC2C44}"/>
    <cellStyle name="Comma 4 2 3 2 7 3" xfId="11784" xr:uid="{0D320813-BDCA-4277-A46A-FBBB9ACBD6FD}"/>
    <cellStyle name="Comma 4 2 3 2 8" xfId="2372" xr:uid="{00000000-0005-0000-0000-000087080000}"/>
    <cellStyle name="Comma 4 2 3 2 9" xfId="2769" xr:uid="{00000000-0005-0000-0000-000088080000}"/>
    <cellStyle name="Comma 4 2 3 2 9 2" xfId="6992" xr:uid="{00000000-0005-0000-0000-000089080000}"/>
    <cellStyle name="Comma 4 2 3 2 9 2 2" xfId="16318" xr:uid="{1BCC4B7F-3D88-4CC2-B618-49E27E2D1FD2}"/>
    <cellStyle name="Comma 4 2 3 2 9 3" xfId="12101" xr:uid="{83753214-B203-41AF-A5C1-66D086813CA2}"/>
    <cellStyle name="Comma 4 2 3 3" xfId="139" xr:uid="{00000000-0005-0000-0000-00008A080000}"/>
    <cellStyle name="Comma 4 2 3 3 10" xfId="9012" xr:uid="{61C0F117-76A9-43CA-B381-88B2CFF6294C}"/>
    <cellStyle name="Comma 4 2 3 3 10 2" xfId="18336" xr:uid="{E5EB6419-1EFC-4622-88AA-8D19238D4F9A}"/>
    <cellStyle name="Comma 4 2 3 3 11" xfId="9720" xr:uid="{08DAD732-0726-4D81-9627-04C749352AC8}"/>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96" xr:uid="{0174CEBF-15A0-487A-80E3-05A4985E56F7}"/>
    <cellStyle name="Comma 4 2 3 3 2 2 3" xfId="12279" xr:uid="{31D4FCB8-6D60-428C-BFDD-12BF204F7808}"/>
    <cellStyle name="Comma 4 2 3 3 2 3" xfId="5025" xr:uid="{00000000-0005-0000-0000-00008E080000}"/>
    <cellStyle name="Comma 4 2 3 3 2 3 2" xfId="14351" xr:uid="{FD05AC10-A068-475B-A7FC-1293FF4E125A}"/>
    <cellStyle name="Comma 4 2 3 3 2 4" xfId="9437" xr:uid="{35C6809B-E49F-4A7F-8CB1-650474E72B0A}"/>
    <cellStyle name="Comma 4 2 3 3 2 4 2" xfId="18752" xr:uid="{AF8B4F2B-94BE-43F9-A15A-49660BF72D71}"/>
    <cellStyle name="Comma 4 2 3 3 2 5" xfId="10134" xr:uid="{3738E9C8-13C2-4869-AD81-1D5141C4A700}"/>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909" xr:uid="{34FA6A58-D465-4D35-BC6A-94CEBB8D3F47}"/>
    <cellStyle name="Comma 4 2 3 3 3 2 3" xfId="12692" xr:uid="{C394BCD8-C6AD-4D99-BF0B-9614FBDA3989}"/>
    <cellStyle name="Comma 4 2 3 3 3 3" xfId="5438" xr:uid="{00000000-0005-0000-0000-000092080000}"/>
    <cellStyle name="Comma 4 2 3 3 3 3 2" xfId="14764" xr:uid="{4164D041-07C2-4782-9751-E659F6D889AD}"/>
    <cellStyle name="Comma 4 2 3 3 3 4" xfId="10547" xr:uid="{9366EF51-0176-44D6-A019-7B30514C4783}"/>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322" xr:uid="{73F81F22-F2FA-4E9C-AD43-A0C40AC4947F}"/>
    <cellStyle name="Comma 4 2 3 3 4 2 3" xfId="13105" xr:uid="{857A61E0-6BE1-431C-ABC9-0E2C61B4672D}"/>
    <cellStyle name="Comma 4 2 3 3 4 3" xfId="5851" xr:uid="{00000000-0005-0000-0000-000096080000}"/>
    <cellStyle name="Comma 4 2 3 3 4 3 2" xfId="15177" xr:uid="{37A25E9A-A054-4DE4-B64A-E2519429ED74}"/>
    <cellStyle name="Comma 4 2 3 3 4 4" xfId="10960" xr:uid="{BEE0083D-1701-4EBB-A17A-F96D2D5F303A}"/>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735" xr:uid="{951E9D15-408F-4B6F-83F7-04A648CD0ED1}"/>
    <cellStyle name="Comma 4 2 3 3 5 2 3" xfId="13518" xr:uid="{179D5F73-E228-406F-BF0A-AB3D1D3E55D0}"/>
    <cellStyle name="Comma 4 2 3 3 5 3" xfId="6264" xr:uid="{00000000-0005-0000-0000-00009A080000}"/>
    <cellStyle name="Comma 4 2 3 3 5 3 2" xfId="15590" xr:uid="{273EAC77-4E07-43CC-A91D-C1F66388DB5D}"/>
    <cellStyle name="Comma 4 2 3 3 5 4" xfId="11373" xr:uid="{3722121B-FAD7-4F2D-B830-55A1365D245C}"/>
    <cellStyle name="Comma 4 2 3 3 6" xfId="2393" xr:uid="{00000000-0005-0000-0000-00009B080000}"/>
    <cellStyle name="Comma 4 2 3 3 6 2" xfId="6677" xr:uid="{00000000-0005-0000-0000-00009C080000}"/>
    <cellStyle name="Comma 4 2 3 3 6 2 2" xfId="16003" xr:uid="{1F40C229-E519-4C74-84F1-65E864AD6E52}"/>
    <cellStyle name="Comma 4 2 3 3 6 3" xfId="11786" xr:uid="{BD27B0D1-8DA7-44F6-9398-D34762443A5D}"/>
    <cellStyle name="Comma 4 2 3 3 7" xfId="2370" xr:uid="{00000000-0005-0000-0000-00009D080000}"/>
    <cellStyle name="Comma 4 2 3 3 8" xfId="2771" xr:uid="{00000000-0005-0000-0000-00009E080000}"/>
    <cellStyle name="Comma 4 2 3 3 8 2" xfId="6994" xr:uid="{00000000-0005-0000-0000-00009F080000}"/>
    <cellStyle name="Comma 4 2 3 3 8 2 2" xfId="16320" xr:uid="{97C2F3A1-4981-4692-BBBA-78B2D7830271}"/>
    <cellStyle name="Comma 4 2 3 3 8 3" xfId="12103" xr:uid="{730EAB18-F3C2-4D7C-94EA-F3D50489E23B}"/>
    <cellStyle name="Comma 4 2 3 3 9" xfId="4611" xr:uid="{00000000-0005-0000-0000-0000A0080000}"/>
    <cellStyle name="Comma 4 2 3 3 9 2" xfId="13937" xr:uid="{2CE2D344-5C46-4352-AD24-F3490230F4AB}"/>
    <cellStyle name="Comma 4 2 3 4" xfId="674" xr:uid="{00000000-0005-0000-0000-0000A1080000}"/>
    <cellStyle name="Comma 4 2 3 4 2" xfId="2945" xr:uid="{00000000-0005-0000-0000-0000A2080000}"/>
    <cellStyle name="Comma 4 2 3 4 2 2" xfId="7167" xr:uid="{00000000-0005-0000-0000-0000A3080000}"/>
    <cellStyle name="Comma 4 2 3 4 2 2 2" xfId="16493" xr:uid="{C10B7C51-52D4-4E96-A069-96ABE97F87FD}"/>
    <cellStyle name="Comma 4 2 3 4 2 3" xfId="12276" xr:uid="{FE327E96-58C2-43A6-8EE0-2ABEC1E72E89}"/>
    <cellStyle name="Comma 4 2 3 4 3" xfId="5022" xr:uid="{00000000-0005-0000-0000-0000A4080000}"/>
    <cellStyle name="Comma 4 2 3 4 3 2" xfId="14348" xr:uid="{6CCE572D-A69D-4BB2-A43F-0E55E65D3233}"/>
    <cellStyle name="Comma 4 2 3 4 4" xfId="9230" xr:uid="{24B6B749-023F-4009-8785-C6CFE1098E24}"/>
    <cellStyle name="Comma 4 2 3 4 4 2" xfId="18545" xr:uid="{DEEAC7E5-60BE-4CF1-8D9D-AE91529FBAA4}"/>
    <cellStyle name="Comma 4 2 3 4 5" xfId="10131" xr:uid="{62631811-1540-479E-8049-B466DD5E2839}"/>
    <cellStyle name="Comma 4 2 3 5" xfId="1127" xr:uid="{00000000-0005-0000-0000-0000A5080000}"/>
    <cellStyle name="Comma 4 2 3 5 2" xfId="3358" xr:uid="{00000000-0005-0000-0000-0000A6080000}"/>
    <cellStyle name="Comma 4 2 3 5 2 2" xfId="7580" xr:uid="{00000000-0005-0000-0000-0000A7080000}"/>
    <cellStyle name="Comma 4 2 3 5 2 2 2" xfId="16906" xr:uid="{6C684CE3-A6AD-4574-8413-2315812C06D2}"/>
    <cellStyle name="Comma 4 2 3 5 2 3" xfId="12689" xr:uid="{DAF924B8-4267-42B2-AA7D-2D40EF89F786}"/>
    <cellStyle name="Comma 4 2 3 5 3" xfId="5435" xr:uid="{00000000-0005-0000-0000-0000A8080000}"/>
    <cellStyle name="Comma 4 2 3 5 3 2" xfId="14761" xr:uid="{E3FC83B6-4C9F-45DD-A3D6-7336D708067C}"/>
    <cellStyle name="Comma 4 2 3 5 4" xfId="10544" xr:uid="{88A333C3-8497-4599-A92F-0D627B5AF26D}"/>
    <cellStyle name="Comma 4 2 3 6" xfId="1541" xr:uid="{00000000-0005-0000-0000-0000A9080000}"/>
    <cellStyle name="Comma 4 2 3 6 2" xfId="3771" xr:uid="{00000000-0005-0000-0000-0000AA080000}"/>
    <cellStyle name="Comma 4 2 3 6 2 2" xfId="7993" xr:uid="{00000000-0005-0000-0000-0000AB080000}"/>
    <cellStyle name="Comma 4 2 3 6 2 2 2" xfId="17319" xr:uid="{606E460B-F5D1-4AC8-83A6-D30AA0F9C5DC}"/>
    <cellStyle name="Comma 4 2 3 6 2 3" xfId="13102" xr:uid="{260DD5E5-3C53-4CF0-AC41-F7084AA77E1D}"/>
    <cellStyle name="Comma 4 2 3 6 3" xfId="5848" xr:uid="{00000000-0005-0000-0000-0000AC080000}"/>
    <cellStyle name="Comma 4 2 3 6 3 2" xfId="15174" xr:uid="{16ECEA24-81A3-413A-AD30-D617F85D9EE9}"/>
    <cellStyle name="Comma 4 2 3 6 4" xfId="10957" xr:uid="{24BC9D93-FEF8-4EA6-8325-6DAF6B2F05B1}"/>
    <cellStyle name="Comma 4 2 3 7" xfId="1955" xr:uid="{00000000-0005-0000-0000-0000AD080000}"/>
    <cellStyle name="Comma 4 2 3 7 2" xfId="4184" xr:uid="{00000000-0005-0000-0000-0000AE080000}"/>
    <cellStyle name="Comma 4 2 3 7 2 2" xfId="8406" xr:uid="{00000000-0005-0000-0000-0000AF080000}"/>
    <cellStyle name="Comma 4 2 3 7 2 2 2" xfId="17732" xr:uid="{561C5A09-99CA-4EDB-8946-5C562A127584}"/>
    <cellStyle name="Comma 4 2 3 7 2 3" xfId="13515" xr:uid="{A75CFC68-1E21-436B-B9A9-0CB25C4187A0}"/>
    <cellStyle name="Comma 4 2 3 7 3" xfId="6261" xr:uid="{00000000-0005-0000-0000-0000B0080000}"/>
    <cellStyle name="Comma 4 2 3 7 3 2" xfId="15587" xr:uid="{B79C56D5-BFFD-4817-A246-8A7A3090AC97}"/>
    <cellStyle name="Comma 4 2 3 7 4" xfId="11370" xr:uid="{298A600C-3DB9-40E5-897E-54DC9FD33BDF}"/>
    <cellStyle name="Comma 4 2 3 8" xfId="2390" xr:uid="{00000000-0005-0000-0000-0000B1080000}"/>
    <cellStyle name="Comma 4 2 3 8 2" xfId="6674" xr:uid="{00000000-0005-0000-0000-0000B2080000}"/>
    <cellStyle name="Comma 4 2 3 8 2 2" xfId="16000" xr:uid="{DE5D2E34-01DD-4CB0-95C5-5076CB3A861C}"/>
    <cellStyle name="Comma 4 2 3 8 3" xfId="11783" xr:uid="{20F9C21D-5732-44E7-95B6-20F502CF4022}"/>
    <cellStyle name="Comma 4 2 3 9" xfId="2373" xr:uid="{00000000-0005-0000-0000-0000B3080000}"/>
    <cellStyle name="Comma 4 2 4" xfId="140" xr:uid="{00000000-0005-0000-0000-0000B4080000}"/>
    <cellStyle name="Comma 4 2 4 10" xfId="4612" xr:uid="{00000000-0005-0000-0000-0000B5080000}"/>
    <cellStyle name="Comma 4 2 4 10 2" xfId="13938" xr:uid="{ABE61AC5-5234-4CF5-B9CB-6AA80071E400}"/>
    <cellStyle name="Comma 4 2 4 11" xfId="8858" xr:uid="{B6A00C95-D04C-44B2-B8AF-67540882256C}"/>
    <cellStyle name="Comma 4 2 4 11 2" xfId="18182" xr:uid="{D88431AC-8B0D-48F4-8591-757F389BE2D2}"/>
    <cellStyle name="Comma 4 2 4 12" xfId="9721" xr:uid="{959BAD32-D56F-420E-80B1-132AF4DB74E9}"/>
    <cellStyle name="Comma 4 2 4 2" xfId="141" xr:uid="{00000000-0005-0000-0000-0000B6080000}"/>
    <cellStyle name="Comma 4 2 4 2 10" xfId="9065" xr:uid="{961AA06A-D943-447E-AADB-49B440E7E7CE}"/>
    <cellStyle name="Comma 4 2 4 2 10 2" xfId="18389" xr:uid="{F2D615A8-FC27-4FDD-8F74-43C3057AA5C6}"/>
    <cellStyle name="Comma 4 2 4 2 11" xfId="9722" xr:uid="{5D0B7DC8-EA2B-4FB3-8080-8C021538969E}"/>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98" xr:uid="{849F176B-11E8-447F-BA6F-619D4612B7A3}"/>
    <cellStyle name="Comma 4 2 4 2 2 2 3" xfId="12281" xr:uid="{AC750810-DAFC-4E67-BA2E-F2C08D7749A4}"/>
    <cellStyle name="Comma 4 2 4 2 2 3" xfId="5027" xr:uid="{00000000-0005-0000-0000-0000BA080000}"/>
    <cellStyle name="Comma 4 2 4 2 2 3 2" xfId="14353" xr:uid="{4FB66682-D2F3-4B0A-BCD5-C3140830F9C9}"/>
    <cellStyle name="Comma 4 2 4 2 2 4" xfId="9490" xr:uid="{2FAEB1E6-7B41-437B-B2A9-4352AB4F4B98}"/>
    <cellStyle name="Comma 4 2 4 2 2 4 2" xfId="18805" xr:uid="{8A68D3F6-5042-4EE5-8FB4-FB68BA37ACFB}"/>
    <cellStyle name="Comma 4 2 4 2 2 5" xfId="10136" xr:uid="{2A8F6ED8-7655-4881-8167-1936CC243E12}"/>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911" xr:uid="{A9DE57FC-35BF-4423-ACE2-FA22F7950B37}"/>
    <cellStyle name="Comma 4 2 4 2 3 2 3" xfId="12694" xr:uid="{5693C962-E76B-4422-8F37-2D3C579F6C29}"/>
    <cellStyle name="Comma 4 2 4 2 3 3" xfId="5440" xr:uid="{00000000-0005-0000-0000-0000BE080000}"/>
    <cellStyle name="Comma 4 2 4 2 3 3 2" xfId="14766" xr:uid="{C73427D8-D4A6-4CBB-B67C-2246DE8272A1}"/>
    <cellStyle name="Comma 4 2 4 2 3 4" xfId="10549" xr:uid="{C38E8F6F-3B6D-4DB8-A3B0-9472EBDDE124}"/>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324" xr:uid="{F6932927-5E5A-4491-9388-36ABABCACC21}"/>
    <cellStyle name="Comma 4 2 4 2 4 2 3" xfId="13107" xr:uid="{ED1DA24D-CFF4-4DBA-A8D4-E3070B9D006B}"/>
    <cellStyle name="Comma 4 2 4 2 4 3" xfId="5853" xr:uid="{00000000-0005-0000-0000-0000C2080000}"/>
    <cellStyle name="Comma 4 2 4 2 4 3 2" xfId="15179" xr:uid="{B45CEB5B-2394-4DC0-AAD7-04E2C0C2AEF5}"/>
    <cellStyle name="Comma 4 2 4 2 4 4" xfId="10962" xr:uid="{9976B137-BD36-4B0F-9858-2ABBA22D74A0}"/>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737" xr:uid="{37BF1676-09EA-42AA-95CE-F9AEA50D9A3B}"/>
    <cellStyle name="Comma 4 2 4 2 5 2 3" xfId="13520" xr:uid="{EF8D7B6B-AE29-430B-BB73-F2640E3C3635}"/>
    <cellStyle name="Comma 4 2 4 2 5 3" xfId="6266" xr:uid="{00000000-0005-0000-0000-0000C6080000}"/>
    <cellStyle name="Comma 4 2 4 2 5 3 2" xfId="15592" xr:uid="{8C48F98C-2C20-4AAF-9587-6CCDF55D9241}"/>
    <cellStyle name="Comma 4 2 4 2 5 4" xfId="11375" xr:uid="{947569D5-7286-4A4C-A561-DF53A43A3CF7}"/>
    <cellStyle name="Comma 4 2 4 2 6" xfId="2395" xr:uid="{00000000-0005-0000-0000-0000C7080000}"/>
    <cellStyle name="Comma 4 2 4 2 6 2" xfId="6679" xr:uid="{00000000-0005-0000-0000-0000C8080000}"/>
    <cellStyle name="Comma 4 2 4 2 6 2 2" xfId="16005" xr:uid="{87EF4CC0-7E68-4F74-9427-DF7C662EE0F8}"/>
    <cellStyle name="Comma 4 2 4 2 6 3" xfId="11788" xr:uid="{37A4B954-89D0-4490-A1C1-1FC2098DB9D9}"/>
    <cellStyle name="Comma 4 2 4 2 7" xfId="2368" xr:uid="{00000000-0005-0000-0000-0000C9080000}"/>
    <cellStyle name="Comma 4 2 4 2 8" xfId="2773" xr:uid="{00000000-0005-0000-0000-0000CA080000}"/>
    <cellStyle name="Comma 4 2 4 2 8 2" xfId="6996" xr:uid="{00000000-0005-0000-0000-0000CB080000}"/>
    <cellStyle name="Comma 4 2 4 2 8 2 2" xfId="16322" xr:uid="{81BA0BFA-FDF5-4F59-8F77-A40252FF8CD1}"/>
    <cellStyle name="Comma 4 2 4 2 8 3" xfId="12105" xr:uid="{47329CB4-6E15-426A-975E-D8F5FF17B3DF}"/>
    <cellStyle name="Comma 4 2 4 2 9" xfId="4613" xr:uid="{00000000-0005-0000-0000-0000CC080000}"/>
    <cellStyle name="Comma 4 2 4 2 9 2" xfId="13939" xr:uid="{11A38264-315C-49D9-BB41-F173CA63FD8A}"/>
    <cellStyle name="Comma 4 2 4 3" xfId="678" xr:uid="{00000000-0005-0000-0000-0000CD080000}"/>
    <cellStyle name="Comma 4 2 4 3 2" xfId="2949" xr:uid="{00000000-0005-0000-0000-0000CE080000}"/>
    <cellStyle name="Comma 4 2 4 3 2 2" xfId="7171" xr:uid="{00000000-0005-0000-0000-0000CF080000}"/>
    <cellStyle name="Comma 4 2 4 3 2 2 2" xfId="16497" xr:uid="{EE5DC36C-E164-4F74-BB92-D91C05D4DB2A}"/>
    <cellStyle name="Comma 4 2 4 3 2 3" xfId="12280" xr:uid="{7EA6E241-3938-4941-A3FE-8664CFF7F3A4}"/>
    <cellStyle name="Comma 4 2 4 3 3" xfId="5026" xr:uid="{00000000-0005-0000-0000-0000D0080000}"/>
    <cellStyle name="Comma 4 2 4 3 3 2" xfId="14352" xr:uid="{8976BA43-D61B-4B78-9915-099883B2E2EF}"/>
    <cellStyle name="Comma 4 2 4 3 4" xfId="9283" xr:uid="{7E46ED3C-A8F4-4512-93D9-5F41F1AC397C}"/>
    <cellStyle name="Comma 4 2 4 3 4 2" xfId="18598" xr:uid="{A3399477-E7B5-4419-8812-0513D1F991C7}"/>
    <cellStyle name="Comma 4 2 4 3 5" xfId="10135" xr:uid="{7A4635C2-63AE-4FB9-A1FA-286E11E52E9A}"/>
    <cellStyle name="Comma 4 2 4 4" xfId="1131" xr:uid="{00000000-0005-0000-0000-0000D1080000}"/>
    <cellStyle name="Comma 4 2 4 4 2" xfId="3362" xr:uid="{00000000-0005-0000-0000-0000D2080000}"/>
    <cellStyle name="Comma 4 2 4 4 2 2" xfId="7584" xr:uid="{00000000-0005-0000-0000-0000D3080000}"/>
    <cellStyle name="Comma 4 2 4 4 2 2 2" xfId="16910" xr:uid="{89EF9C59-DF52-406D-AB65-15E6EDB1D89C}"/>
    <cellStyle name="Comma 4 2 4 4 2 3" xfId="12693" xr:uid="{1EE362B1-74AA-460A-A11B-C0576EA5A887}"/>
    <cellStyle name="Comma 4 2 4 4 3" xfId="5439" xr:uid="{00000000-0005-0000-0000-0000D4080000}"/>
    <cellStyle name="Comma 4 2 4 4 3 2" xfId="14765" xr:uid="{3C3B58E3-5A6D-4A00-8115-6D1B08F0DCF0}"/>
    <cellStyle name="Comma 4 2 4 4 4" xfId="10548" xr:uid="{54EF81AF-6907-4638-9995-72AE9A688D9E}"/>
    <cellStyle name="Comma 4 2 4 5" xfId="1545" xr:uid="{00000000-0005-0000-0000-0000D5080000}"/>
    <cellStyle name="Comma 4 2 4 5 2" xfId="3775" xr:uid="{00000000-0005-0000-0000-0000D6080000}"/>
    <cellStyle name="Comma 4 2 4 5 2 2" xfId="7997" xr:uid="{00000000-0005-0000-0000-0000D7080000}"/>
    <cellStyle name="Comma 4 2 4 5 2 2 2" xfId="17323" xr:uid="{6E6091F3-6706-4DA0-BBB4-25ECF758D5C9}"/>
    <cellStyle name="Comma 4 2 4 5 2 3" xfId="13106" xr:uid="{7472B7F3-384E-4D01-92EB-FC44E3A20BA9}"/>
    <cellStyle name="Comma 4 2 4 5 3" xfId="5852" xr:uid="{00000000-0005-0000-0000-0000D8080000}"/>
    <cellStyle name="Comma 4 2 4 5 3 2" xfId="15178" xr:uid="{61E4CDE1-61AB-4C0F-BEE5-A41556941A2D}"/>
    <cellStyle name="Comma 4 2 4 5 4" xfId="10961" xr:uid="{C5446B8F-C070-4D18-B0F6-50C57A2D014A}"/>
    <cellStyle name="Comma 4 2 4 6" xfId="1959" xr:uid="{00000000-0005-0000-0000-0000D9080000}"/>
    <cellStyle name="Comma 4 2 4 6 2" xfId="4188" xr:uid="{00000000-0005-0000-0000-0000DA080000}"/>
    <cellStyle name="Comma 4 2 4 6 2 2" xfId="8410" xr:uid="{00000000-0005-0000-0000-0000DB080000}"/>
    <cellStyle name="Comma 4 2 4 6 2 2 2" xfId="17736" xr:uid="{5BF50231-3AED-4FFB-B0DC-48C3686D5DCD}"/>
    <cellStyle name="Comma 4 2 4 6 2 3" xfId="13519" xr:uid="{BA0A4227-47AC-4EAF-9F7D-67FBF5B2FBAB}"/>
    <cellStyle name="Comma 4 2 4 6 3" xfId="6265" xr:uid="{00000000-0005-0000-0000-0000DC080000}"/>
    <cellStyle name="Comma 4 2 4 6 3 2" xfId="15591" xr:uid="{B3E4A266-1839-4F33-A245-52591F4FD220}"/>
    <cellStyle name="Comma 4 2 4 6 4" xfId="11374" xr:uid="{FEF42607-4D92-4D0A-8789-181B409CDB1F}"/>
    <cellStyle name="Comma 4 2 4 7" xfId="2394" xr:uid="{00000000-0005-0000-0000-0000DD080000}"/>
    <cellStyle name="Comma 4 2 4 7 2" xfId="6678" xr:uid="{00000000-0005-0000-0000-0000DE080000}"/>
    <cellStyle name="Comma 4 2 4 7 2 2" xfId="16004" xr:uid="{CA198E06-6943-4115-B58D-C1090D33833D}"/>
    <cellStyle name="Comma 4 2 4 7 3" xfId="11787" xr:uid="{B08F62B2-1646-4492-BD4A-2AAA17CD47C0}"/>
    <cellStyle name="Comma 4 2 4 8" xfId="2369" xr:uid="{00000000-0005-0000-0000-0000DF080000}"/>
    <cellStyle name="Comma 4 2 4 9" xfId="2772" xr:uid="{00000000-0005-0000-0000-0000E0080000}"/>
    <cellStyle name="Comma 4 2 4 9 2" xfId="6995" xr:uid="{00000000-0005-0000-0000-0000E1080000}"/>
    <cellStyle name="Comma 4 2 4 9 2 2" xfId="16321" xr:uid="{B155B9E1-F082-4AB6-BCE3-51C40ACE5943}"/>
    <cellStyle name="Comma 4 2 4 9 3" xfId="12104" xr:uid="{50C49F49-1DD1-469B-87CE-11FA432F7A3F}"/>
    <cellStyle name="Comma 4 2 5" xfId="142" xr:uid="{00000000-0005-0000-0000-0000E2080000}"/>
    <cellStyle name="Comma 4 2 5 10" xfId="8974" xr:uid="{86B0C89A-8A2D-4755-B15D-84E412E1D380}"/>
    <cellStyle name="Comma 4 2 5 10 2" xfId="18298" xr:uid="{A5C8D761-8274-4B8A-8D68-1A814FA3DC87}"/>
    <cellStyle name="Comma 4 2 5 11" xfId="9723" xr:uid="{AB923BE9-8A30-4C96-945C-451B5980FD5A}"/>
    <cellStyle name="Comma 4 2 5 2" xfId="680" xr:uid="{00000000-0005-0000-0000-0000E3080000}"/>
    <cellStyle name="Comma 4 2 5 2 2" xfId="2951" xr:uid="{00000000-0005-0000-0000-0000E4080000}"/>
    <cellStyle name="Comma 4 2 5 2 2 2" xfId="7173" xr:uid="{00000000-0005-0000-0000-0000E5080000}"/>
    <cellStyle name="Comma 4 2 5 2 2 2 2" xfId="16499" xr:uid="{8BCCF26B-6AC6-499E-B563-1B1BEDC63397}"/>
    <cellStyle name="Comma 4 2 5 2 2 3" xfId="12282" xr:uid="{A6C9A9D8-F90F-4E84-8F56-3563A85BFCD1}"/>
    <cellStyle name="Comma 4 2 5 2 3" xfId="5028" xr:uid="{00000000-0005-0000-0000-0000E6080000}"/>
    <cellStyle name="Comma 4 2 5 2 3 2" xfId="14354" xr:uid="{0FE5B358-DA6B-4A07-B504-A38A5A0F68EA}"/>
    <cellStyle name="Comma 4 2 5 2 4" xfId="9399" xr:uid="{1B388BC7-1FC6-4DC3-B345-755F61B57864}"/>
    <cellStyle name="Comma 4 2 5 2 4 2" xfId="18714" xr:uid="{A272F130-D12B-4876-9A14-2CCA9153AEFE}"/>
    <cellStyle name="Comma 4 2 5 2 5" xfId="10137" xr:uid="{D42470BB-7320-4E85-9258-41282BEEE922}"/>
    <cellStyle name="Comma 4 2 5 3" xfId="1133" xr:uid="{00000000-0005-0000-0000-0000E7080000}"/>
    <cellStyle name="Comma 4 2 5 3 2" xfId="3364" xr:uid="{00000000-0005-0000-0000-0000E8080000}"/>
    <cellStyle name="Comma 4 2 5 3 2 2" xfId="7586" xr:uid="{00000000-0005-0000-0000-0000E9080000}"/>
    <cellStyle name="Comma 4 2 5 3 2 2 2" xfId="16912" xr:uid="{0D39F263-9E22-4609-BF73-8618F02B50DD}"/>
    <cellStyle name="Comma 4 2 5 3 2 3" xfId="12695" xr:uid="{EA7EE629-BBF1-460F-A9D7-D4D008DA026B}"/>
    <cellStyle name="Comma 4 2 5 3 3" xfId="5441" xr:uid="{00000000-0005-0000-0000-0000EA080000}"/>
    <cellStyle name="Comma 4 2 5 3 3 2" xfId="14767" xr:uid="{D696E7F1-DBF1-481A-8F97-F5BD5FA4C482}"/>
    <cellStyle name="Comma 4 2 5 3 4" xfId="10550" xr:uid="{8B94F8A5-83F1-4561-A2AA-E0DBC24C2D7A}"/>
    <cellStyle name="Comma 4 2 5 4" xfId="1547" xr:uid="{00000000-0005-0000-0000-0000EB080000}"/>
    <cellStyle name="Comma 4 2 5 4 2" xfId="3777" xr:uid="{00000000-0005-0000-0000-0000EC080000}"/>
    <cellStyle name="Comma 4 2 5 4 2 2" xfId="7999" xr:uid="{00000000-0005-0000-0000-0000ED080000}"/>
    <cellStyle name="Comma 4 2 5 4 2 2 2" xfId="17325" xr:uid="{21453D91-5173-45C2-AC6F-D192D316CDBD}"/>
    <cellStyle name="Comma 4 2 5 4 2 3" xfId="13108" xr:uid="{1F53F257-5AD0-4782-BBAD-182F1DEE329C}"/>
    <cellStyle name="Comma 4 2 5 4 3" xfId="5854" xr:uid="{00000000-0005-0000-0000-0000EE080000}"/>
    <cellStyle name="Comma 4 2 5 4 3 2" xfId="15180" xr:uid="{B717F534-4F65-4949-9260-EC0D870EE6BC}"/>
    <cellStyle name="Comma 4 2 5 4 4" xfId="10963" xr:uid="{9ED05C5A-F205-4317-BB95-52C2E81A8D28}"/>
    <cellStyle name="Comma 4 2 5 5" xfId="1961" xr:uid="{00000000-0005-0000-0000-0000EF080000}"/>
    <cellStyle name="Comma 4 2 5 5 2" xfId="4190" xr:uid="{00000000-0005-0000-0000-0000F0080000}"/>
    <cellStyle name="Comma 4 2 5 5 2 2" xfId="8412" xr:uid="{00000000-0005-0000-0000-0000F1080000}"/>
    <cellStyle name="Comma 4 2 5 5 2 2 2" xfId="17738" xr:uid="{51EDC116-5049-421D-B872-7C6239C3BE6A}"/>
    <cellStyle name="Comma 4 2 5 5 2 3" xfId="13521" xr:uid="{071BE459-0D92-4E09-9705-2E0E2FA3CB7C}"/>
    <cellStyle name="Comma 4 2 5 5 3" xfId="6267" xr:uid="{00000000-0005-0000-0000-0000F2080000}"/>
    <cellStyle name="Comma 4 2 5 5 3 2" xfId="15593" xr:uid="{484E7026-C1E0-42D9-B052-4B7CAFC138F4}"/>
    <cellStyle name="Comma 4 2 5 5 4" xfId="11376" xr:uid="{8B8700F6-A1DA-4209-9FB3-01513529E96E}"/>
    <cellStyle name="Comma 4 2 5 6" xfId="2396" xr:uid="{00000000-0005-0000-0000-0000F3080000}"/>
    <cellStyle name="Comma 4 2 5 6 2" xfId="6680" xr:uid="{00000000-0005-0000-0000-0000F4080000}"/>
    <cellStyle name="Comma 4 2 5 6 2 2" xfId="16006" xr:uid="{139E575F-AC87-4183-AFA4-F47932CB5F5E}"/>
    <cellStyle name="Comma 4 2 5 6 3" xfId="11789" xr:uid="{DD949C22-7243-4966-A324-DC0D88B5F508}"/>
    <cellStyle name="Comma 4 2 5 7" xfId="2367" xr:uid="{00000000-0005-0000-0000-0000F5080000}"/>
    <cellStyle name="Comma 4 2 5 8" xfId="2774" xr:uid="{00000000-0005-0000-0000-0000F6080000}"/>
    <cellStyle name="Comma 4 2 5 8 2" xfId="6997" xr:uid="{00000000-0005-0000-0000-0000F7080000}"/>
    <cellStyle name="Comma 4 2 5 8 2 2" xfId="16323" xr:uid="{7ED6E2C3-1D76-4C3E-92E4-7B3E7E73E1EE}"/>
    <cellStyle name="Comma 4 2 5 8 3" xfId="12106" xr:uid="{EDB7CFFE-26F8-4377-99BA-A31CC38A55AF}"/>
    <cellStyle name="Comma 4 2 5 9" xfId="4614" xr:uid="{00000000-0005-0000-0000-0000F8080000}"/>
    <cellStyle name="Comma 4 2 5 9 2" xfId="13940" xr:uid="{3742C89A-B6D5-4A2B-A970-8B076A462EF7}"/>
    <cellStyle name="Comma 4 2 6" xfId="143" xr:uid="{00000000-0005-0000-0000-0000F9080000}"/>
    <cellStyle name="Comma 4 2 6 10" xfId="9177" xr:uid="{A20A3B72-7630-464F-8E57-DA2B9D6E44FB}"/>
    <cellStyle name="Comma 4 2 6 10 2" xfId="18495" xr:uid="{8F92EA1C-0330-4D32-BE0B-807FA7958A0D}"/>
    <cellStyle name="Comma 4 2 6 11" xfId="9724" xr:uid="{0AB6A040-4D20-4044-85D6-FC2B93A59D9B}"/>
    <cellStyle name="Comma 4 2 6 2" xfId="681" xr:uid="{00000000-0005-0000-0000-0000FA080000}"/>
    <cellStyle name="Comma 4 2 6 2 2" xfId="2952" xr:uid="{00000000-0005-0000-0000-0000FB080000}"/>
    <cellStyle name="Comma 4 2 6 2 2 2" xfId="7174" xr:uid="{00000000-0005-0000-0000-0000FC080000}"/>
    <cellStyle name="Comma 4 2 6 2 2 2 2" xfId="16500" xr:uid="{AA60F375-3CDE-4C79-A485-E00E230FBDAA}"/>
    <cellStyle name="Comma 4 2 6 2 2 3" xfId="12283" xr:uid="{7E64B5CC-A053-48F7-8D00-EB09AC056524}"/>
    <cellStyle name="Comma 4 2 6 2 3" xfId="5029" xr:uid="{00000000-0005-0000-0000-0000FD080000}"/>
    <cellStyle name="Comma 4 2 6 2 3 2" xfId="14355" xr:uid="{BF1725F8-4D47-4D18-9917-A25191690540}"/>
    <cellStyle name="Comma 4 2 6 2 4" xfId="9594" xr:uid="{CCB8D3FE-19FC-4F7F-9966-44FD23A1A32A}"/>
    <cellStyle name="Comma 4 2 6 2 4 2" xfId="18898" xr:uid="{081285DA-8450-4F25-8754-A65A93559F3D}"/>
    <cellStyle name="Comma 4 2 6 2 5" xfId="10138" xr:uid="{E6B1FD8A-191B-450C-8BB9-286093A34C4C}"/>
    <cellStyle name="Comma 4 2 6 3" xfId="1134" xr:uid="{00000000-0005-0000-0000-0000FE080000}"/>
    <cellStyle name="Comma 4 2 6 3 2" xfId="3365" xr:uid="{00000000-0005-0000-0000-0000FF080000}"/>
    <cellStyle name="Comma 4 2 6 3 2 2" xfId="7587" xr:uid="{00000000-0005-0000-0000-000000090000}"/>
    <cellStyle name="Comma 4 2 6 3 2 2 2" xfId="16913" xr:uid="{B2445568-B028-4107-BADD-6894F04EFFFC}"/>
    <cellStyle name="Comma 4 2 6 3 2 3" xfId="12696" xr:uid="{643F4431-7B63-4B78-A085-088060CAC247}"/>
    <cellStyle name="Comma 4 2 6 3 3" xfId="5442" xr:uid="{00000000-0005-0000-0000-000001090000}"/>
    <cellStyle name="Comma 4 2 6 3 3 2" xfId="14768" xr:uid="{308B356A-0709-4905-9C2A-F2336F671B83}"/>
    <cellStyle name="Comma 4 2 6 3 4" xfId="10551" xr:uid="{07C95BF9-CC4C-48A6-A9B0-B17DC909B943}"/>
    <cellStyle name="Comma 4 2 6 4" xfId="1548" xr:uid="{00000000-0005-0000-0000-000002090000}"/>
    <cellStyle name="Comma 4 2 6 4 2" xfId="3778" xr:uid="{00000000-0005-0000-0000-000003090000}"/>
    <cellStyle name="Comma 4 2 6 4 2 2" xfId="8000" xr:uid="{00000000-0005-0000-0000-000004090000}"/>
    <cellStyle name="Comma 4 2 6 4 2 2 2" xfId="17326" xr:uid="{0C5B9AB0-7C3E-4620-9C00-0AB7FCB952A5}"/>
    <cellStyle name="Comma 4 2 6 4 2 3" xfId="13109" xr:uid="{4A29EB76-FBD8-48C1-8FCC-07E0D5A0F8EA}"/>
    <cellStyle name="Comma 4 2 6 4 3" xfId="5855" xr:uid="{00000000-0005-0000-0000-000005090000}"/>
    <cellStyle name="Comma 4 2 6 4 3 2" xfId="15181" xr:uid="{F35112C6-30F2-4176-93CD-217D971218A2}"/>
    <cellStyle name="Comma 4 2 6 4 4" xfId="10964" xr:uid="{3687FBEE-9055-46C8-B259-3DE861343E01}"/>
    <cellStyle name="Comma 4 2 6 5" xfId="1962" xr:uid="{00000000-0005-0000-0000-000006090000}"/>
    <cellStyle name="Comma 4 2 6 5 2" xfId="4191" xr:uid="{00000000-0005-0000-0000-000007090000}"/>
    <cellStyle name="Comma 4 2 6 5 2 2" xfId="8413" xr:uid="{00000000-0005-0000-0000-000008090000}"/>
    <cellStyle name="Comma 4 2 6 5 2 2 2" xfId="17739" xr:uid="{8E7675CC-BB54-4D75-9CF5-8BAA7BBCB6E8}"/>
    <cellStyle name="Comma 4 2 6 5 2 3" xfId="13522" xr:uid="{A27CD39D-55B4-465D-813D-E08D63DD5BFD}"/>
    <cellStyle name="Comma 4 2 6 5 3" xfId="6268" xr:uid="{00000000-0005-0000-0000-000009090000}"/>
    <cellStyle name="Comma 4 2 6 5 3 2" xfId="15594" xr:uid="{7161ED95-ECC2-4028-A5B0-4E6FBC2F4E5E}"/>
    <cellStyle name="Comma 4 2 6 5 4" xfId="11377" xr:uid="{DE3AE56F-ED39-49D4-BB11-80EA5C9DFC95}"/>
    <cellStyle name="Comma 4 2 6 6" xfId="2397" xr:uid="{00000000-0005-0000-0000-00000A090000}"/>
    <cellStyle name="Comma 4 2 6 6 2" xfId="6681" xr:uid="{00000000-0005-0000-0000-00000B090000}"/>
    <cellStyle name="Comma 4 2 6 6 2 2" xfId="16007" xr:uid="{084FFCDF-8D74-4EE1-B286-9D1FA48A728B}"/>
    <cellStyle name="Comma 4 2 6 6 3" xfId="11790" xr:uid="{E91DCD62-6536-447D-B238-01AB184AA70C}"/>
    <cellStyle name="Comma 4 2 6 7" xfId="2366" xr:uid="{00000000-0005-0000-0000-00000C090000}"/>
    <cellStyle name="Comma 4 2 6 8" xfId="2775" xr:uid="{00000000-0005-0000-0000-00000D090000}"/>
    <cellStyle name="Comma 4 2 6 8 2" xfId="6998" xr:uid="{00000000-0005-0000-0000-00000E090000}"/>
    <cellStyle name="Comma 4 2 6 8 2 2" xfId="16324" xr:uid="{BD12B024-EB93-4AE4-94CA-9A9AB324ED7B}"/>
    <cellStyle name="Comma 4 2 6 8 3" xfId="12107" xr:uid="{406F2333-3F43-46FF-8311-0828340B019F}"/>
    <cellStyle name="Comma 4 2 6 9" xfId="4615" xr:uid="{00000000-0005-0000-0000-00000F090000}"/>
    <cellStyle name="Comma 4 2 6 9 2" xfId="13941" xr:uid="{23376A47-0564-4CF0-B773-2EB18E6DF876}"/>
    <cellStyle name="Comma 4 2 7" xfId="9190" xr:uid="{C8B7F6BD-E2DD-41C7-A6AF-A5C7B900A7ED}"/>
    <cellStyle name="Comma 4 2 8" xfId="8755" xr:uid="{40286204-C766-4116-8542-387551AD6364}"/>
    <cellStyle name="Comma 4 2 8 2" xfId="18079" xr:uid="{3E6B7734-16C6-4F5C-9739-F27797EBA35D}"/>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325" xr:uid="{7802C685-7525-4C16-BFCE-12490B48B220}"/>
    <cellStyle name="Comma 4 3 2 10 3" xfId="12108" xr:uid="{B91AD90B-66AA-460D-A4A5-24C156FAAF74}"/>
    <cellStyle name="Comma 4 3 2 11" xfId="4616" xr:uid="{00000000-0005-0000-0000-000014090000}"/>
    <cellStyle name="Comma 4 3 2 11 2" xfId="13942" xr:uid="{D58117E1-2201-4E8B-A49D-BA9A4B631CCB}"/>
    <cellStyle name="Comma 4 3 2 12" xfId="8807" xr:uid="{5C5EF314-D0DB-425B-AE7D-D52FEEE90EC1}"/>
    <cellStyle name="Comma 4 3 2 12 2" xfId="18131" xr:uid="{D90480AB-6777-42DE-B338-F2FF763E5424}"/>
    <cellStyle name="Comma 4 3 2 13" xfId="9725" xr:uid="{0CD04D7A-D3D5-484D-BBAC-2EDAC0FC3683}"/>
    <cellStyle name="Comma 4 3 2 2" xfId="146" xr:uid="{00000000-0005-0000-0000-000015090000}"/>
    <cellStyle name="Comma 4 3 2 2 10" xfId="4617" xr:uid="{00000000-0005-0000-0000-000016090000}"/>
    <cellStyle name="Comma 4 3 2 2 10 2" xfId="13943" xr:uid="{16AE403B-0140-4AF7-A57A-2E8CD1A82553}"/>
    <cellStyle name="Comma 4 3 2 2 11" xfId="8910" xr:uid="{15019DD0-71A0-438D-B796-68DE42B22692}"/>
    <cellStyle name="Comma 4 3 2 2 11 2" xfId="18234" xr:uid="{401E578F-C802-48DC-B679-DA0384D4A08B}"/>
    <cellStyle name="Comma 4 3 2 2 12" xfId="9726" xr:uid="{E692D70C-0DB7-4222-8725-7ACD6634013B}"/>
    <cellStyle name="Comma 4 3 2 2 2" xfId="147" xr:uid="{00000000-0005-0000-0000-000017090000}"/>
    <cellStyle name="Comma 4 3 2 2 2 10" xfId="9117" xr:uid="{1409F531-DBF2-41E0-9C74-F9317358BA15}"/>
    <cellStyle name="Comma 4 3 2 2 2 10 2" xfId="18441" xr:uid="{74AAA6D8-B02B-4F37-B8BB-DE538886D920}"/>
    <cellStyle name="Comma 4 3 2 2 2 11" xfId="9727" xr:uid="{2EADE57E-7C08-4A11-9104-C0F5755EA198}"/>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503" xr:uid="{D15BB69E-E708-41B3-AC40-896842A507A6}"/>
    <cellStyle name="Comma 4 3 2 2 2 2 2 3" xfId="12286" xr:uid="{974D99C2-BA70-4BBA-BAAE-705E7F346220}"/>
    <cellStyle name="Comma 4 3 2 2 2 2 3" xfId="5032" xr:uid="{00000000-0005-0000-0000-00001B090000}"/>
    <cellStyle name="Comma 4 3 2 2 2 2 3 2" xfId="14358" xr:uid="{BF8A7F19-DFF0-410A-9F6C-5B54BCBF14D8}"/>
    <cellStyle name="Comma 4 3 2 2 2 2 4" xfId="9542" xr:uid="{26CD77CC-F017-4839-8245-BBF245D45E53}"/>
    <cellStyle name="Comma 4 3 2 2 2 2 4 2" xfId="18857" xr:uid="{273E740B-4240-4589-B4D0-472062ABB7A7}"/>
    <cellStyle name="Comma 4 3 2 2 2 2 5" xfId="10141" xr:uid="{CADC2E6E-ABBB-45F0-B3C8-95A01492FDB1}"/>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916" xr:uid="{7367C0BD-4BBB-4969-A254-06DEAB40C526}"/>
    <cellStyle name="Comma 4 3 2 2 2 3 2 3" xfId="12699" xr:uid="{44481B14-AFA2-460E-9918-9F9164EFEF80}"/>
    <cellStyle name="Comma 4 3 2 2 2 3 3" xfId="5445" xr:uid="{00000000-0005-0000-0000-00001F090000}"/>
    <cellStyle name="Comma 4 3 2 2 2 3 3 2" xfId="14771" xr:uid="{FEECF1FF-2BDE-4E82-8FB5-6C86F3334937}"/>
    <cellStyle name="Comma 4 3 2 2 2 3 4" xfId="10554" xr:uid="{1B4A2362-1782-4BA7-8289-A644D0DF11FE}"/>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329" xr:uid="{B0008FC5-325C-4194-824D-90A7E238248A}"/>
    <cellStyle name="Comma 4 3 2 2 2 4 2 3" xfId="13112" xr:uid="{8D7B2747-1523-448A-8264-BC801614E46B}"/>
    <cellStyle name="Comma 4 3 2 2 2 4 3" xfId="5858" xr:uid="{00000000-0005-0000-0000-000023090000}"/>
    <cellStyle name="Comma 4 3 2 2 2 4 3 2" xfId="15184" xr:uid="{384F1CFB-3177-48D9-B8E2-0D5A08D2082A}"/>
    <cellStyle name="Comma 4 3 2 2 2 4 4" xfId="10967" xr:uid="{0289CA88-67E8-4E75-878A-693F7C3AB83A}"/>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742" xr:uid="{E3C319AF-ECFF-404B-AE0D-5736B86B770D}"/>
    <cellStyle name="Comma 4 3 2 2 2 5 2 3" xfId="13525" xr:uid="{98386F19-606B-41AA-BEFC-FD068F2B237A}"/>
    <cellStyle name="Comma 4 3 2 2 2 5 3" xfId="6271" xr:uid="{00000000-0005-0000-0000-000027090000}"/>
    <cellStyle name="Comma 4 3 2 2 2 5 3 2" xfId="15597" xr:uid="{460C5651-88BB-4B3A-8CF1-6084C2B6A238}"/>
    <cellStyle name="Comma 4 3 2 2 2 5 4" xfId="11380" xr:uid="{7B604726-93C4-4A09-B822-99938AFF4D21}"/>
    <cellStyle name="Comma 4 3 2 2 2 6" xfId="2400" xr:uid="{00000000-0005-0000-0000-000028090000}"/>
    <cellStyle name="Comma 4 3 2 2 2 6 2" xfId="6684" xr:uid="{00000000-0005-0000-0000-000029090000}"/>
    <cellStyle name="Comma 4 3 2 2 2 6 2 2" xfId="16010" xr:uid="{F7D16119-D957-442D-863B-65EC036C8FE8}"/>
    <cellStyle name="Comma 4 3 2 2 2 6 3" xfId="11793" xr:uid="{5C4EDCC6-D3F8-43EF-A407-0ECD655DB3F5}"/>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327" xr:uid="{E3FFC037-B9E2-4192-AEA1-12D88D53E2CE}"/>
    <cellStyle name="Comma 4 3 2 2 2 8 3" xfId="12110" xr:uid="{21B96CA4-2A5C-422D-8E8D-26A2E6179B79}"/>
    <cellStyle name="Comma 4 3 2 2 2 9" xfId="4618" xr:uid="{00000000-0005-0000-0000-00002D090000}"/>
    <cellStyle name="Comma 4 3 2 2 2 9 2" xfId="13944" xr:uid="{012925C9-BA14-4659-B7E0-5614B2D9FA1F}"/>
    <cellStyle name="Comma 4 3 2 2 3" xfId="683" xr:uid="{00000000-0005-0000-0000-00002E090000}"/>
    <cellStyle name="Comma 4 3 2 2 3 2" xfId="2954" xr:uid="{00000000-0005-0000-0000-00002F090000}"/>
    <cellStyle name="Comma 4 3 2 2 3 2 2" xfId="7176" xr:uid="{00000000-0005-0000-0000-000030090000}"/>
    <cellStyle name="Comma 4 3 2 2 3 2 2 2" xfId="16502" xr:uid="{91CE623E-297C-4F37-AD6A-5096A13C478F}"/>
    <cellStyle name="Comma 4 3 2 2 3 2 3" xfId="12285" xr:uid="{A8CA1C0C-FFBE-4F5F-BC10-3A83AA0FA729}"/>
    <cellStyle name="Comma 4 3 2 2 3 3" xfId="5031" xr:uid="{00000000-0005-0000-0000-000031090000}"/>
    <cellStyle name="Comma 4 3 2 2 3 3 2" xfId="14357" xr:uid="{B4F55B32-A2A0-4E1F-BCA8-3610600F86F9}"/>
    <cellStyle name="Comma 4 3 2 2 3 4" xfId="9335" xr:uid="{BACD532B-C811-4076-B107-03E74D1B7113}"/>
    <cellStyle name="Comma 4 3 2 2 3 4 2" xfId="18650" xr:uid="{B4A3B553-9D2A-4A71-801A-106BFFA30D7C}"/>
    <cellStyle name="Comma 4 3 2 2 3 5" xfId="10140" xr:uid="{BCE71905-ABF4-4789-929A-42190F4B7404}"/>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915" xr:uid="{584C7E8D-7CD6-482C-898C-3D28C986BEFC}"/>
    <cellStyle name="Comma 4 3 2 2 4 2 3" xfId="12698" xr:uid="{193CBDB7-F4A1-4881-8DB1-1854082CFAD0}"/>
    <cellStyle name="Comma 4 3 2 2 4 3" xfId="5444" xr:uid="{00000000-0005-0000-0000-000035090000}"/>
    <cellStyle name="Comma 4 3 2 2 4 3 2" xfId="14770" xr:uid="{211F1D9C-DAD8-4487-AE9D-7FA410CB4E82}"/>
    <cellStyle name="Comma 4 3 2 2 4 4" xfId="10553" xr:uid="{53A6BA3C-3FB0-4DF3-B659-6A75B2189387}"/>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328" xr:uid="{AC4A9B87-979E-4B26-B3DE-FEE6A4C52574}"/>
    <cellStyle name="Comma 4 3 2 2 5 2 3" xfId="13111" xr:uid="{BB13498C-A109-40CB-A458-1DBEFFDFCEF1}"/>
    <cellStyle name="Comma 4 3 2 2 5 3" xfId="5857" xr:uid="{00000000-0005-0000-0000-000039090000}"/>
    <cellStyle name="Comma 4 3 2 2 5 3 2" xfId="15183" xr:uid="{54BE9D0D-11E4-486C-B7B5-F18E87680E05}"/>
    <cellStyle name="Comma 4 3 2 2 5 4" xfId="10966" xr:uid="{FE6A179E-4576-4E44-9F43-6ACD06F8FB86}"/>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741" xr:uid="{FAC473A3-FE41-4876-B639-A8B6E42DDB54}"/>
    <cellStyle name="Comma 4 3 2 2 6 2 3" xfId="13524" xr:uid="{5BC164A2-C9D8-4B1B-A406-4951DBC68848}"/>
    <cellStyle name="Comma 4 3 2 2 6 3" xfId="6270" xr:uid="{00000000-0005-0000-0000-00003D090000}"/>
    <cellStyle name="Comma 4 3 2 2 6 3 2" xfId="15596" xr:uid="{06DBE512-3940-4B1B-AD12-C4FB0CE5CF02}"/>
    <cellStyle name="Comma 4 3 2 2 6 4" xfId="11379" xr:uid="{267A1FE1-5FA2-4065-B9EF-44F899142102}"/>
    <cellStyle name="Comma 4 3 2 2 7" xfId="2399" xr:uid="{00000000-0005-0000-0000-00003E090000}"/>
    <cellStyle name="Comma 4 3 2 2 7 2" xfId="6683" xr:uid="{00000000-0005-0000-0000-00003F090000}"/>
    <cellStyle name="Comma 4 3 2 2 7 2 2" xfId="16009" xr:uid="{C6C8282C-3583-4ACD-9D2C-9681CE2DA64B}"/>
    <cellStyle name="Comma 4 3 2 2 7 3" xfId="11792" xr:uid="{6B135050-A665-4340-B069-2AD6677C9444}"/>
    <cellStyle name="Comma 4 3 2 2 8" xfId="2364" xr:uid="{00000000-0005-0000-0000-000040090000}"/>
    <cellStyle name="Comma 4 3 2 2 9" xfId="2777" xr:uid="{00000000-0005-0000-0000-000041090000}"/>
    <cellStyle name="Comma 4 3 2 2 9 2" xfId="7000" xr:uid="{00000000-0005-0000-0000-000042090000}"/>
    <cellStyle name="Comma 4 3 2 2 9 2 2" xfId="16326" xr:uid="{D79D4197-E2CB-4E24-88FD-F7F3FFC176CF}"/>
    <cellStyle name="Comma 4 3 2 2 9 3" xfId="12109" xr:uid="{4DEB6CAE-A696-4560-B59A-024646DDD4F5}"/>
    <cellStyle name="Comma 4 3 2 3" xfId="148" xr:uid="{00000000-0005-0000-0000-000043090000}"/>
    <cellStyle name="Comma 4 3 2 3 10" xfId="9014" xr:uid="{46568903-2C47-4BC3-8E78-5A47F62B319C}"/>
    <cellStyle name="Comma 4 3 2 3 10 2" xfId="18338" xr:uid="{1DAF6744-163A-4974-8447-65C1E735D874}"/>
    <cellStyle name="Comma 4 3 2 3 11" xfId="9728" xr:uid="{DD4674EF-24F3-4582-AC15-0F0C140C9EE0}"/>
    <cellStyle name="Comma 4 3 2 3 2" xfId="685" xr:uid="{00000000-0005-0000-0000-000044090000}"/>
    <cellStyle name="Comma 4 3 2 3 2 2" xfId="2956" xr:uid="{00000000-0005-0000-0000-000045090000}"/>
    <cellStyle name="Comma 4 3 2 3 2 2 2" xfId="7178" xr:uid="{00000000-0005-0000-0000-000046090000}"/>
    <cellStyle name="Comma 4 3 2 3 2 2 2 2" xfId="16504" xr:uid="{A5D69E66-D09B-40C7-A0DE-3356F36B0C4E}"/>
    <cellStyle name="Comma 4 3 2 3 2 2 3" xfId="12287" xr:uid="{326949A2-7724-4C09-8807-2DD56F7EAE59}"/>
    <cellStyle name="Comma 4 3 2 3 2 3" xfId="5033" xr:uid="{00000000-0005-0000-0000-000047090000}"/>
    <cellStyle name="Comma 4 3 2 3 2 3 2" xfId="14359" xr:uid="{C9BBF9F6-7D4D-4071-9C29-C1417D54F834}"/>
    <cellStyle name="Comma 4 3 2 3 2 4" xfId="9439" xr:uid="{2FD116B5-6902-4630-AFC5-CC8B06C5F457}"/>
    <cellStyle name="Comma 4 3 2 3 2 4 2" xfId="18754" xr:uid="{DE3A9F39-C98D-46FA-9221-5FE6E8F91584}"/>
    <cellStyle name="Comma 4 3 2 3 2 5" xfId="10142" xr:uid="{B5BC1C87-C615-434A-9870-DF642B8952A0}"/>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917" xr:uid="{BA1E2FB0-CB20-4E55-902D-70867DDA9847}"/>
    <cellStyle name="Comma 4 3 2 3 3 2 3" xfId="12700" xr:uid="{31C9AB9F-DEB5-4C0F-96BB-9A071966B3FF}"/>
    <cellStyle name="Comma 4 3 2 3 3 3" xfId="5446" xr:uid="{00000000-0005-0000-0000-00004B090000}"/>
    <cellStyle name="Comma 4 3 2 3 3 3 2" xfId="14772" xr:uid="{CB34F2FE-ACD3-4CA3-BDCF-8D13745B6DF6}"/>
    <cellStyle name="Comma 4 3 2 3 3 4" xfId="10555" xr:uid="{CFD5A099-8B03-4F74-BB20-EC668412995E}"/>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330" xr:uid="{AA5D4A15-6962-475F-9B63-D2E165F03354}"/>
    <cellStyle name="Comma 4 3 2 3 4 2 3" xfId="13113" xr:uid="{F99F57CE-0980-4A6F-BC13-283E45ED2D05}"/>
    <cellStyle name="Comma 4 3 2 3 4 3" xfId="5859" xr:uid="{00000000-0005-0000-0000-00004F090000}"/>
    <cellStyle name="Comma 4 3 2 3 4 3 2" xfId="15185" xr:uid="{6EEB8D9E-4A8B-49BC-B5EC-E15DEDA35C7C}"/>
    <cellStyle name="Comma 4 3 2 3 4 4" xfId="10968" xr:uid="{9BAED3FE-A263-4D9D-AF02-B56ECA2ABBEC}"/>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743" xr:uid="{36E6E01A-964E-456D-929D-64CD7B6DFF40}"/>
    <cellStyle name="Comma 4 3 2 3 5 2 3" xfId="13526" xr:uid="{81C543E7-6A1B-46DE-A37D-58DE722FE6E9}"/>
    <cellStyle name="Comma 4 3 2 3 5 3" xfId="6272" xr:uid="{00000000-0005-0000-0000-000053090000}"/>
    <cellStyle name="Comma 4 3 2 3 5 3 2" xfId="15598" xr:uid="{81997898-C78E-4CAE-B2E8-A31DC9CAA629}"/>
    <cellStyle name="Comma 4 3 2 3 5 4" xfId="11381" xr:uid="{E378E4ED-4682-41DD-B01B-59AF04A94A1A}"/>
    <cellStyle name="Comma 4 3 2 3 6" xfId="2401" xr:uid="{00000000-0005-0000-0000-000054090000}"/>
    <cellStyle name="Comma 4 3 2 3 6 2" xfId="6685" xr:uid="{00000000-0005-0000-0000-000055090000}"/>
    <cellStyle name="Comma 4 3 2 3 6 2 2" xfId="16011" xr:uid="{2D9C531B-5B81-4731-A033-F5A934CA01F6}"/>
    <cellStyle name="Comma 4 3 2 3 6 3" xfId="11794" xr:uid="{81E1E120-8552-48B3-90C0-B2CDDDD2F367}"/>
    <cellStyle name="Comma 4 3 2 3 7" xfId="2362" xr:uid="{00000000-0005-0000-0000-000056090000}"/>
    <cellStyle name="Comma 4 3 2 3 8" xfId="2779" xr:uid="{00000000-0005-0000-0000-000057090000}"/>
    <cellStyle name="Comma 4 3 2 3 8 2" xfId="7002" xr:uid="{00000000-0005-0000-0000-000058090000}"/>
    <cellStyle name="Comma 4 3 2 3 8 2 2" xfId="16328" xr:uid="{8CCBEB83-649B-42D4-A903-2BC5E7394031}"/>
    <cellStyle name="Comma 4 3 2 3 8 3" xfId="12111" xr:uid="{DB1136F1-9FCF-4544-A508-958C1DE5E8EA}"/>
    <cellStyle name="Comma 4 3 2 3 9" xfId="4619" xr:uid="{00000000-0005-0000-0000-000059090000}"/>
    <cellStyle name="Comma 4 3 2 3 9 2" xfId="13945" xr:uid="{0FE1FCD1-58A6-4E02-867F-108DD388D5F9}"/>
    <cellStyle name="Comma 4 3 2 4" xfId="682" xr:uid="{00000000-0005-0000-0000-00005A090000}"/>
    <cellStyle name="Comma 4 3 2 4 2" xfId="2953" xr:uid="{00000000-0005-0000-0000-00005B090000}"/>
    <cellStyle name="Comma 4 3 2 4 2 2" xfId="7175" xr:uid="{00000000-0005-0000-0000-00005C090000}"/>
    <cellStyle name="Comma 4 3 2 4 2 2 2" xfId="16501" xr:uid="{43D7D633-12F0-448B-9A93-55F7C8631E9A}"/>
    <cellStyle name="Comma 4 3 2 4 2 3" xfId="12284" xr:uid="{CFF1223B-47E0-4EB3-AD65-5604315A1435}"/>
    <cellStyle name="Comma 4 3 2 4 3" xfId="5030" xr:uid="{00000000-0005-0000-0000-00005D090000}"/>
    <cellStyle name="Comma 4 3 2 4 3 2" xfId="14356" xr:uid="{051EF8AB-6348-4FB4-9AF4-8B84F51AF451}"/>
    <cellStyle name="Comma 4 3 2 4 4" xfId="9232" xr:uid="{8193451B-D8F0-40BD-91ED-34E7041117F6}"/>
    <cellStyle name="Comma 4 3 2 4 4 2" xfId="18547" xr:uid="{561A4A20-FC18-427F-BA86-63D0F4211EC9}"/>
    <cellStyle name="Comma 4 3 2 4 5" xfId="10139" xr:uid="{C0800854-3B2E-44C8-AE33-54596085DC3F}"/>
    <cellStyle name="Comma 4 3 2 5" xfId="1135" xr:uid="{00000000-0005-0000-0000-00005E090000}"/>
    <cellStyle name="Comma 4 3 2 5 2" xfId="3366" xr:uid="{00000000-0005-0000-0000-00005F090000}"/>
    <cellStyle name="Comma 4 3 2 5 2 2" xfId="7588" xr:uid="{00000000-0005-0000-0000-000060090000}"/>
    <cellStyle name="Comma 4 3 2 5 2 2 2" xfId="16914" xr:uid="{578351AA-8D28-4185-9F1A-D51B39639FD8}"/>
    <cellStyle name="Comma 4 3 2 5 2 3" xfId="12697" xr:uid="{3288905E-6AB5-49E4-929C-7ECB68125A7B}"/>
    <cellStyle name="Comma 4 3 2 5 3" xfId="5443" xr:uid="{00000000-0005-0000-0000-000061090000}"/>
    <cellStyle name="Comma 4 3 2 5 3 2" xfId="14769" xr:uid="{4236E5F4-3780-4649-B9EB-1E7F9CEE5C17}"/>
    <cellStyle name="Comma 4 3 2 5 4" xfId="10552" xr:uid="{8E464699-5CAF-4EFF-8056-B36467800E5E}"/>
    <cellStyle name="Comma 4 3 2 6" xfId="1549" xr:uid="{00000000-0005-0000-0000-000062090000}"/>
    <cellStyle name="Comma 4 3 2 6 2" xfId="3779" xr:uid="{00000000-0005-0000-0000-000063090000}"/>
    <cellStyle name="Comma 4 3 2 6 2 2" xfId="8001" xr:uid="{00000000-0005-0000-0000-000064090000}"/>
    <cellStyle name="Comma 4 3 2 6 2 2 2" xfId="17327" xr:uid="{57B2FC79-3E34-4B22-BCA0-BBCB1B37FDB4}"/>
    <cellStyle name="Comma 4 3 2 6 2 3" xfId="13110" xr:uid="{F4AC73B1-A3EB-40BD-BA38-74343B6C3B51}"/>
    <cellStyle name="Comma 4 3 2 6 3" xfId="5856" xr:uid="{00000000-0005-0000-0000-000065090000}"/>
    <cellStyle name="Comma 4 3 2 6 3 2" xfId="15182" xr:uid="{97AC4AA8-5D45-4725-AD2E-96B4F6143E0D}"/>
    <cellStyle name="Comma 4 3 2 6 4" xfId="10965" xr:uid="{D63E479B-3DC2-4FDD-857C-2496360ADD05}"/>
    <cellStyle name="Comma 4 3 2 7" xfId="1963" xr:uid="{00000000-0005-0000-0000-000066090000}"/>
    <cellStyle name="Comma 4 3 2 7 2" xfId="4192" xr:uid="{00000000-0005-0000-0000-000067090000}"/>
    <cellStyle name="Comma 4 3 2 7 2 2" xfId="8414" xr:uid="{00000000-0005-0000-0000-000068090000}"/>
    <cellStyle name="Comma 4 3 2 7 2 2 2" xfId="17740" xr:uid="{CB91251D-E7B1-4906-818F-CC1780D994CE}"/>
    <cellStyle name="Comma 4 3 2 7 2 3" xfId="13523" xr:uid="{F8056426-6619-4D3F-9D9E-F173D3CACBA1}"/>
    <cellStyle name="Comma 4 3 2 7 3" xfId="6269" xr:uid="{00000000-0005-0000-0000-000069090000}"/>
    <cellStyle name="Comma 4 3 2 7 3 2" xfId="15595" xr:uid="{269A6FAD-E9C9-4EBF-8AED-C2F4DCBFA181}"/>
    <cellStyle name="Comma 4 3 2 7 4" xfId="11378" xr:uid="{5F26599B-584A-49DB-AC52-6E48F1F4C01D}"/>
    <cellStyle name="Comma 4 3 2 8" xfId="2398" xr:uid="{00000000-0005-0000-0000-00006A090000}"/>
    <cellStyle name="Comma 4 3 2 8 2" xfId="6682" xr:uid="{00000000-0005-0000-0000-00006B090000}"/>
    <cellStyle name="Comma 4 3 2 8 2 2" xfId="16008" xr:uid="{B1463F04-50A6-45D7-A21E-9FD59789A36E}"/>
    <cellStyle name="Comma 4 3 2 8 3" xfId="11791" xr:uid="{4D529A29-8F03-4E9E-9C13-78685C638187}"/>
    <cellStyle name="Comma 4 3 2 9" xfId="2365" xr:uid="{00000000-0005-0000-0000-00006C090000}"/>
    <cellStyle name="Comma 4 3 3" xfId="149" xr:uid="{00000000-0005-0000-0000-00006D090000}"/>
    <cellStyle name="Comma 4 3 3 10" xfId="4620" xr:uid="{00000000-0005-0000-0000-00006E090000}"/>
    <cellStyle name="Comma 4 3 3 10 2" xfId="13946" xr:uid="{C8925442-DE17-444B-AFA5-01A95AE02D70}"/>
    <cellStyle name="Comma 4 3 3 11" xfId="8881" xr:uid="{ACA3BC7C-CED7-49C2-9DC3-E2A3989962E9}"/>
    <cellStyle name="Comma 4 3 3 11 2" xfId="18205" xr:uid="{F7C8AF00-3441-477D-8A5B-C35868591089}"/>
    <cellStyle name="Comma 4 3 3 12" xfId="9729" xr:uid="{B94730C6-3F86-413D-B601-2EEC2EAE3163}"/>
    <cellStyle name="Comma 4 3 3 2" xfId="150" xr:uid="{00000000-0005-0000-0000-00006F090000}"/>
    <cellStyle name="Comma 4 3 3 2 10" xfId="9088" xr:uid="{D40CFC42-DEA3-4A4C-8532-2B6CFC29229D}"/>
    <cellStyle name="Comma 4 3 3 2 10 2" xfId="18412" xr:uid="{EF28D2F6-DE02-4CE0-B992-00E3E3C48C4C}"/>
    <cellStyle name="Comma 4 3 3 2 11" xfId="9730" xr:uid="{B0A628E5-D60B-47B0-913C-4A574126CF2F}"/>
    <cellStyle name="Comma 4 3 3 2 2" xfId="687" xr:uid="{00000000-0005-0000-0000-000070090000}"/>
    <cellStyle name="Comma 4 3 3 2 2 2" xfId="2958" xr:uid="{00000000-0005-0000-0000-000071090000}"/>
    <cellStyle name="Comma 4 3 3 2 2 2 2" xfId="7180" xr:uid="{00000000-0005-0000-0000-000072090000}"/>
    <cellStyle name="Comma 4 3 3 2 2 2 2 2" xfId="16506" xr:uid="{35578189-5082-4073-9752-7FF468CFF18E}"/>
    <cellStyle name="Comma 4 3 3 2 2 2 3" xfId="12289" xr:uid="{F145E1DF-33A0-48AE-98A3-9C544BA5DD81}"/>
    <cellStyle name="Comma 4 3 3 2 2 3" xfId="5035" xr:uid="{00000000-0005-0000-0000-000073090000}"/>
    <cellStyle name="Comma 4 3 3 2 2 3 2" xfId="14361" xr:uid="{B8F102E9-50A2-497E-843F-C0D29BB926CB}"/>
    <cellStyle name="Comma 4 3 3 2 2 4" xfId="9513" xr:uid="{986E0DAD-8ABC-4DAC-9C56-EF87B6B3B829}"/>
    <cellStyle name="Comma 4 3 3 2 2 4 2" xfId="18828" xr:uid="{6949C4A8-864D-4902-AE55-9B0F7BCF6916}"/>
    <cellStyle name="Comma 4 3 3 2 2 5" xfId="10144" xr:uid="{9F9AAFE5-798F-48FF-BFB1-A0477B5467F8}"/>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919" xr:uid="{E85888E5-8AAE-4046-9CB5-133A6D2D0D00}"/>
    <cellStyle name="Comma 4 3 3 2 3 2 3" xfId="12702" xr:uid="{B9E2C9EF-25F2-4C5E-9D2B-0FC3EA516F24}"/>
    <cellStyle name="Comma 4 3 3 2 3 3" xfId="5448" xr:uid="{00000000-0005-0000-0000-000077090000}"/>
    <cellStyle name="Comma 4 3 3 2 3 3 2" xfId="14774" xr:uid="{36E675BD-6D9A-4D9D-AE3C-8B98762EAD2D}"/>
    <cellStyle name="Comma 4 3 3 2 3 4" xfId="10557" xr:uid="{9B2D6AC2-D756-4438-9916-F778405782AB}"/>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332" xr:uid="{ACD83A81-F57D-4973-943F-2736D86E22B7}"/>
    <cellStyle name="Comma 4 3 3 2 4 2 3" xfId="13115" xr:uid="{A5D88ED0-F03F-4B3E-8E36-ABBBB5007CB9}"/>
    <cellStyle name="Comma 4 3 3 2 4 3" xfId="5861" xr:uid="{00000000-0005-0000-0000-00007B090000}"/>
    <cellStyle name="Comma 4 3 3 2 4 3 2" xfId="15187" xr:uid="{6DA864D3-9EE3-4EB5-8FB3-988995A4BC69}"/>
    <cellStyle name="Comma 4 3 3 2 4 4" xfId="10970" xr:uid="{2679C22C-08D9-4FA7-B52F-C06D4A7EE0BB}"/>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45" xr:uid="{5C28F068-66EE-4369-B01E-7DFB585527EF}"/>
    <cellStyle name="Comma 4 3 3 2 5 2 3" xfId="13528" xr:uid="{A8D3A3C5-F882-45B9-BD06-6B3D7A8953B5}"/>
    <cellStyle name="Comma 4 3 3 2 5 3" xfId="6274" xr:uid="{00000000-0005-0000-0000-00007F090000}"/>
    <cellStyle name="Comma 4 3 3 2 5 3 2" xfId="15600" xr:uid="{FEB30533-7618-4EED-B76E-630A538FA85F}"/>
    <cellStyle name="Comma 4 3 3 2 5 4" xfId="11383" xr:uid="{6834EF8D-F38E-471D-B65D-85512AAFCB39}"/>
    <cellStyle name="Comma 4 3 3 2 6" xfId="2403" xr:uid="{00000000-0005-0000-0000-000080090000}"/>
    <cellStyle name="Comma 4 3 3 2 6 2" xfId="6687" xr:uid="{00000000-0005-0000-0000-000081090000}"/>
    <cellStyle name="Comma 4 3 3 2 6 2 2" xfId="16013" xr:uid="{5AE9A766-AA37-4F93-B472-4E5837B9D94F}"/>
    <cellStyle name="Comma 4 3 3 2 6 3" xfId="11796" xr:uid="{2AEF9942-C30F-4DAA-852E-7D4C1E70810F}"/>
    <cellStyle name="Comma 4 3 3 2 7" xfId="2360" xr:uid="{00000000-0005-0000-0000-000082090000}"/>
    <cellStyle name="Comma 4 3 3 2 8" xfId="2781" xr:uid="{00000000-0005-0000-0000-000083090000}"/>
    <cellStyle name="Comma 4 3 3 2 8 2" xfId="7004" xr:uid="{00000000-0005-0000-0000-000084090000}"/>
    <cellStyle name="Comma 4 3 3 2 8 2 2" xfId="16330" xr:uid="{F883418B-FEC6-4334-A45B-80923DA4EF4C}"/>
    <cellStyle name="Comma 4 3 3 2 8 3" xfId="12113" xr:uid="{8998DC0E-A59D-4DFE-A178-FE1DAFC41DD1}"/>
    <cellStyle name="Comma 4 3 3 2 9" xfId="4621" xr:uid="{00000000-0005-0000-0000-000085090000}"/>
    <cellStyle name="Comma 4 3 3 2 9 2" xfId="13947" xr:uid="{12587AED-AF91-4B9A-B990-4081A16DB7BF}"/>
    <cellStyle name="Comma 4 3 3 3" xfId="686" xr:uid="{00000000-0005-0000-0000-000086090000}"/>
    <cellStyle name="Comma 4 3 3 3 2" xfId="2957" xr:uid="{00000000-0005-0000-0000-000087090000}"/>
    <cellStyle name="Comma 4 3 3 3 2 2" xfId="7179" xr:uid="{00000000-0005-0000-0000-000088090000}"/>
    <cellStyle name="Comma 4 3 3 3 2 2 2" xfId="16505" xr:uid="{E6370B43-3E56-4A49-91E5-1DC8D238CAF4}"/>
    <cellStyle name="Comma 4 3 3 3 2 3" xfId="12288" xr:uid="{62E1F970-2CE9-431A-B9CC-8C00C30AE98B}"/>
    <cellStyle name="Comma 4 3 3 3 3" xfId="5034" xr:uid="{00000000-0005-0000-0000-000089090000}"/>
    <cellStyle name="Comma 4 3 3 3 3 2" xfId="14360" xr:uid="{CEF44023-8EE6-4697-9648-1D96299FB59C}"/>
    <cellStyle name="Comma 4 3 3 3 4" xfId="9306" xr:uid="{6AC2749B-EC1D-4760-AD4B-F36381A669B6}"/>
    <cellStyle name="Comma 4 3 3 3 4 2" xfId="18621" xr:uid="{1668D6C5-70A1-45B6-B2E7-FB42A88A3B8D}"/>
    <cellStyle name="Comma 4 3 3 3 5" xfId="10143" xr:uid="{20940657-3D5C-495C-9A63-A8AF8686FAA2}"/>
    <cellStyle name="Comma 4 3 3 4" xfId="1139" xr:uid="{00000000-0005-0000-0000-00008A090000}"/>
    <cellStyle name="Comma 4 3 3 4 2" xfId="3370" xr:uid="{00000000-0005-0000-0000-00008B090000}"/>
    <cellStyle name="Comma 4 3 3 4 2 2" xfId="7592" xr:uid="{00000000-0005-0000-0000-00008C090000}"/>
    <cellStyle name="Comma 4 3 3 4 2 2 2" xfId="16918" xr:uid="{BA0F4482-6C92-4A36-86B7-B1DB825B52F6}"/>
    <cellStyle name="Comma 4 3 3 4 2 3" xfId="12701" xr:uid="{83109C4B-E021-4BCB-A7C2-674189111007}"/>
    <cellStyle name="Comma 4 3 3 4 3" xfId="5447" xr:uid="{00000000-0005-0000-0000-00008D090000}"/>
    <cellStyle name="Comma 4 3 3 4 3 2" xfId="14773" xr:uid="{15539455-355B-40A7-B560-C537A4BB892F}"/>
    <cellStyle name="Comma 4 3 3 4 4" xfId="10556" xr:uid="{62AF46C0-A8E2-465E-83AC-B4C0F3E7A8F1}"/>
    <cellStyle name="Comma 4 3 3 5" xfId="1553" xr:uid="{00000000-0005-0000-0000-00008E090000}"/>
    <cellStyle name="Comma 4 3 3 5 2" xfId="3783" xr:uid="{00000000-0005-0000-0000-00008F090000}"/>
    <cellStyle name="Comma 4 3 3 5 2 2" xfId="8005" xr:uid="{00000000-0005-0000-0000-000090090000}"/>
    <cellStyle name="Comma 4 3 3 5 2 2 2" xfId="17331" xr:uid="{4560C4FF-F81E-4EC3-8B25-65B8EFA33CB9}"/>
    <cellStyle name="Comma 4 3 3 5 2 3" xfId="13114" xr:uid="{111AAAA0-C47A-4BED-A789-0A7DFACAD0F2}"/>
    <cellStyle name="Comma 4 3 3 5 3" xfId="5860" xr:uid="{00000000-0005-0000-0000-000091090000}"/>
    <cellStyle name="Comma 4 3 3 5 3 2" xfId="15186" xr:uid="{880AEA24-945E-40CF-8E4B-F9B80FD1ED35}"/>
    <cellStyle name="Comma 4 3 3 5 4" xfId="10969" xr:uid="{0D0464EE-79F9-4CCF-8EF8-CC809DDB0570}"/>
    <cellStyle name="Comma 4 3 3 6" xfId="1967" xr:uid="{00000000-0005-0000-0000-000092090000}"/>
    <cellStyle name="Comma 4 3 3 6 2" xfId="4196" xr:uid="{00000000-0005-0000-0000-000093090000}"/>
    <cellStyle name="Comma 4 3 3 6 2 2" xfId="8418" xr:uid="{00000000-0005-0000-0000-000094090000}"/>
    <cellStyle name="Comma 4 3 3 6 2 2 2" xfId="17744" xr:uid="{89EB6448-D51B-4D8C-83B4-16BD5DC82F3E}"/>
    <cellStyle name="Comma 4 3 3 6 2 3" xfId="13527" xr:uid="{ED1D727B-BE2B-4270-89ED-E7E3C021976A}"/>
    <cellStyle name="Comma 4 3 3 6 3" xfId="6273" xr:uid="{00000000-0005-0000-0000-000095090000}"/>
    <cellStyle name="Comma 4 3 3 6 3 2" xfId="15599" xr:uid="{8929156C-EE80-4FE2-94C6-780D38A20A3E}"/>
    <cellStyle name="Comma 4 3 3 6 4" xfId="11382" xr:uid="{9881854F-5099-47FB-BB33-26E7BD3B7D55}"/>
    <cellStyle name="Comma 4 3 3 7" xfId="2402" xr:uid="{00000000-0005-0000-0000-000096090000}"/>
    <cellStyle name="Comma 4 3 3 7 2" xfId="6686" xr:uid="{00000000-0005-0000-0000-000097090000}"/>
    <cellStyle name="Comma 4 3 3 7 2 2" xfId="16012" xr:uid="{98A1868D-1CBB-4504-B690-498D5BCD0022}"/>
    <cellStyle name="Comma 4 3 3 7 3" xfId="11795" xr:uid="{E8411E8C-8A09-4E4B-8157-EF664F4378E0}"/>
    <cellStyle name="Comma 4 3 3 8" xfId="2361" xr:uid="{00000000-0005-0000-0000-000098090000}"/>
    <cellStyle name="Comma 4 3 3 9" xfId="2780" xr:uid="{00000000-0005-0000-0000-000099090000}"/>
    <cellStyle name="Comma 4 3 3 9 2" xfId="7003" xr:uid="{00000000-0005-0000-0000-00009A090000}"/>
    <cellStyle name="Comma 4 3 3 9 2 2" xfId="16329" xr:uid="{05B415DC-78E3-4552-94AA-944561685CDE}"/>
    <cellStyle name="Comma 4 3 3 9 3" xfId="12112" xr:uid="{D769D0B7-C823-47AB-9365-097B96B3A554}"/>
    <cellStyle name="Comma 4 3 4" xfId="151" xr:uid="{00000000-0005-0000-0000-00009B090000}"/>
    <cellStyle name="Comma 4 3 4 10" xfId="8985" xr:uid="{E965CEC1-A932-4F91-9E18-794CBF7DC7FC}"/>
    <cellStyle name="Comma 4 3 4 10 2" xfId="18309" xr:uid="{5CCFCEF9-5C69-479E-AFC2-82541E3B3C3F}"/>
    <cellStyle name="Comma 4 3 4 11" xfId="9731" xr:uid="{3E188EAB-7B2F-467F-9642-7E322E1BB7B5}"/>
    <cellStyle name="Comma 4 3 4 2" xfId="688" xr:uid="{00000000-0005-0000-0000-00009C090000}"/>
    <cellStyle name="Comma 4 3 4 2 2" xfId="2959" xr:uid="{00000000-0005-0000-0000-00009D090000}"/>
    <cellStyle name="Comma 4 3 4 2 2 2" xfId="7181" xr:uid="{00000000-0005-0000-0000-00009E090000}"/>
    <cellStyle name="Comma 4 3 4 2 2 2 2" xfId="16507" xr:uid="{25F7E5F0-E525-4720-BC5A-F62E003AEC1B}"/>
    <cellStyle name="Comma 4 3 4 2 2 3" xfId="12290" xr:uid="{4E5E7C76-CC71-425A-9BD0-CB48C40E5324}"/>
    <cellStyle name="Comma 4 3 4 2 3" xfId="5036" xr:uid="{00000000-0005-0000-0000-00009F090000}"/>
    <cellStyle name="Comma 4 3 4 2 3 2" xfId="14362" xr:uid="{D8737575-E1A9-4668-BEC8-DD8BE18C2F61}"/>
    <cellStyle name="Comma 4 3 4 2 4" xfId="9410" xr:uid="{54DEC146-6204-4AAF-A15F-BAC0A12B5984}"/>
    <cellStyle name="Comma 4 3 4 2 4 2" xfId="18725" xr:uid="{CDAE05C5-71E3-45A7-8B1F-33C60782E7B2}"/>
    <cellStyle name="Comma 4 3 4 2 5" xfId="10145" xr:uid="{19A3DC2E-D5EB-410C-BD0B-20A4645F0E5F}"/>
    <cellStyle name="Comma 4 3 4 3" xfId="1141" xr:uid="{00000000-0005-0000-0000-0000A0090000}"/>
    <cellStyle name="Comma 4 3 4 3 2" xfId="3372" xr:uid="{00000000-0005-0000-0000-0000A1090000}"/>
    <cellStyle name="Comma 4 3 4 3 2 2" xfId="7594" xr:uid="{00000000-0005-0000-0000-0000A2090000}"/>
    <cellStyle name="Comma 4 3 4 3 2 2 2" xfId="16920" xr:uid="{F975BA85-FECD-4268-AAC6-4562DC297A21}"/>
    <cellStyle name="Comma 4 3 4 3 2 3" xfId="12703" xr:uid="{C25B5054-2390-4849-974B-B2F88F3C73AA}"/>
    <cellStyle name="Comma 4 3 4 3 3" xfId="5449" xr:uid="{00000000-0005-0000-0000-0000A3090000}"/>
    <cellStyle name="Comma 4 3 4 3 3 2" xfId="14775" xr:uid="{7F7A9B64-C280-42E5-9B83-146465CF372D}"/>
    <cellStyle name="Comma 4 3 4 3 4" xfId="10558" xr:uid="{79430AC8-8314-496A-B6E9-3433119C247C}"/>
    <cellStyle name="Comma 4 3 4 4" xfId="1555" xr:uid="{00000000-0005-0000-0000-0000A4090000}"/>
    <cellStyle name="Comma 4 3 4 4 2" xfId="3785" xr:uid="{00000000-0005-0000-0000-0000A5090000}"/>
    <cellStyle name="Comma 4 3 4 4 2 2" xfId="8007" xr:uid="{00000000-0005-0000-0000-0000A6090000}"/>
    <cellStyle name="Comma 4 3 4 4 2 2 2" xfId="17333" xr:uid="{580A95FA-FFAA-49A3-AC71-71130177C069}"/>
    <cellStyle name="Comma 4 3 4 4 2 3" xfId="13116" xr:uid="{8004FB27-1534-4DC8-92C0-F827E2ADDCEE}"/>
    <cellStyle name="Comma 4 3 4 4 3" xfId="5862" xr:uid="{00000000-0005-0000-0000-0000A7090000}"/>
    <cellStyle name="Comma 4 3 4 4 3 2" xfId="15188" xr:uid="{F3EDE6C5-7D5C-4063-A8BB-1E94496E2710}"/>
    <cellStyle name="Comma 4 3 4 4 4" xfId="10971" xr:uid="{86C06464-8827-4E1A-ADC1-5F4CFB7EFC0E}"/>
    <cellStyle name="Comma 4 3 4 5" xfId="1969" xr:uid="{00000000-0005-0000-0000-0000A8090000}"/>
    <cellStyle name="Comma 4 3 4 5 2" xfId="4198" xr:uid="{00000000-0005-0000-0000-0000A9090000}"/>
    <cellStyle name="Comma 4 3 4 5 2 2" xfId="8420" xr:uid="{00000000-0005-0000-0000-0000AA090000}"/>
    <cellStyle name="Comma 4 3 4 5 2 2 2" xfId="17746" xr:uid="{E70C302A-63C5-4C9C-9E27-5B60276775E3}"/>
    <cellStyle name="Comma 4 3 4 5 2 3" xfId="13529" xr:uid="{480AA253-E633-4BC6-89CB-B8D54F9A844D}"/>
    <cellStyle name="Comma 4 3 4 5 3" xfId="6275" xr:uid="{00000000-0005-0000-0000-0000AB090000}"/>
    <cellStyle name="Comma 4 3 4 5 3 2" xfId="15601" xr:uid="{635DF1E3-FE06-47B8-B20C-544BCDBE3219}"/>
    <cellStyle name="Comma 4 3 4 5 4" xfId="11384" xr:uid="{2EEF1C00-79BB-415F-A6C7-CA3A46534CAD}"/>
    <cellStyle name="Comma 4 3 4 6" xfId="2404" xr:uid="{00000000-0005-0000-0000-0000AC090000}"/>
    <cellStyle name="Comma 4 3 4 6 2" xfId="6688" xr:uid="{00000000-0005-0000-0000-0000AD090000}"/>
    <cellStyle name="Comma 4 3 4 6 2 2" xfId="16014" xr:uid="{F38581E2-66B0-41B3-9E69-8EE258EA8829}"/>
    <cellStyle name="Comma 4 3 4 6 3" xfId="11797" xr:uid="{B1CE9775-BEC5-4B52-B66D-B9C6D7D860FD}"/>
    <cellStyle name="Comma 4 3 4 7" xfId="2700" xr:uid="{00000000-0005-0000-0000-0000AE090000}"/>
    <cellStyle name="Comma 4 3 4 8" xfId="2782" xr:uid="{00000000-0005-0000-0000-0000AF090000}"/>
    <cellStyle name="Comma 4 3 4 8 2" xfId="7005" xr:uid="{00000000-0005-0000-0000-0000B0090000}"/>
    <cellStyle name="Comma 4 3 4 8 2 2" xfId="16331" xr:uid="{BD77BC47-50F0-4365-BC5A-204B36347FC0}"/>
    <cellStyle name="Comma 4 3 4 8 3" xfId="12114" xr:uid="{2C39025C-ACD4-45FA-A82C-0EB7808E8F22}"/>
    <cellStyle name="Comma 4 3 4 9" xfId="4622" xr:uid="{00000000-0005-0000-0000-0000B1090000}"/>
    <cellStyle name="Comma 4 3 4 9 2" xfId="13948" xr:uid="{C7DDDBBA-C412-4D54-9A7E-8AEEDFE70C8C}"/>
    <cellStyle name="Comma 4 3 5" xfId="152" xr:uid="{00000000-0005-0000-0000-0000B2090000}"/>
    <cellStyle name="Comma 4 3 5 10" xfId="9202" xr:uid="{BF5456DA-E11C-47BD-8210-21F45D9E5F79}"/>
    <cellStyle name="Comma 4 3 5 10 2" xfId="18518" xr:uid="{DC5A1F37-6953-45F1-9461-BDB7635DE06A}"/>
    <cellStyle name="Comma 4 3 5 11" xfId="9732" xr:uid="{B76C5CFB-C867-4128-BC86-1B0890487A15}"/>
    <cellStyle name="Comma 4 3 5 2" xfId="689" xr:uid="{00000000-0005-0000-0000-0000B3090000}"/>
    <cellStyle name="Comma 4 3 5 2 2" xfId="2960" xr:uid="{00000000-0005-0000-0000-0000B4090000}"/>
    <cellStyle name="Comma 4 3 5 2 2 2" xfId="7182" xr:uid="{00000000-0005-0000-0000-0000B5090000}"/>
    <cellStyle name="Comma 4 3 5 2 2 2 2" xfId="16508" xr:uid="{C34F0BDA-2F99-4CB2-972C-817186109309}"/>
    <cellStyle name="Comma 4 3 5 2 2 3" xfId="12291" xr:uid="{2588070D-A33B-43DE-B9FA-39B058C39776}"/>
    <cellStyle name="Comma 4 3 5 2 3" xfId="5037" xr:uid="{00000000-0005-0000-0000-0000B6090000}"/>
    <cellStyle name="Comma 4 3 5 2 3 2" xfId="14363" xr:uid="{A7689EAC-8D16-4D94-9F1B-CBF6F65B1516}"/>
    <cellStyle name="Comma 4 3 5 2 4" xfId="9595" xr:uid="{3E6BF710-D2EA-4AFB-83F1-C6BF1C2192FF}"/>
    <cellStyle name="Comma 4 3 5 2 4 2" xfId="18899" xr:uid="{6D9E3893-2A3E-46F0-AE59-770C08CD7ECC}"/>
    <cellStyle name="Comma 4 3 5 2 5" xfId="10146" xr:uid="{153D10AE-3371-41A8-BB7E-F4A63CA9F634}"/>
    <cellStyle name="Comma 4 3 5 3" xfId="1142" xr:uid="{00000000-0005-0000-0000-0000B7090000}"/>
    <cellStyle name="Comma 4 3 5 3 2" xfId="3373" xr:uid="{00000000-0005-0000-0000-0000B8090000}"/>
    <cellStyle name="Comma 4 3 5 3 2 2" xfId="7595" xr:uid="{00000000-0005-0000-0000-0000B9090000}"/>
    <cellStyle name="Comma 4 3 5 3 2 2 2" xfId="16921" xr:uid="{1488DBD5-6049-4316-BC93-0AC365AD8A5A}"/>
    <cellStyle name="Comma 4 3 5 3 2 3" xfId="12704" xr:uid="{E59DD7F2-A1D2-469F-916C-03DCB29DC118}"/>
    <cellStyle name="Comma 4 3 5 3 3" xfId="5450" xr:uid="{00000000-0005-0000-0000-0000BA090000}"/>
    <cellStyle name="Comma 4 3 5 3 3 2" xfId="14776" xr:uid="{B436710C-1733-4AC7-9FBF-895755EE6396}"/>
    <cellStyle name="Comma 4 3 5 3 4" xfId="10559" xr:uid="{37995929-F5CB-4D76-8401-137F684E6633}"/>
    <cellStyle name="Comma 4 3 5 4" xfId="1556" xr:uid="{00000000-0005-0000-0000-0000BB090000}"/>
    <cellStyle name="Comma 4 3 5 4 2" xfId="3786" xr:uid="{00000000-0005-0000-0000-0000BC090000}"/>
    <cellStyle name="Comma 4 3 5 4 2 2" xfId="8008" xr:uid="{00000000-0005-0000-0000-0000BD090000}"/>
    <cellStyle name="Comma 4 3 5 4 2 2 2" xfId="17334" xr:uid="{D1C2EFE1-275D-43D8-8ABF-DF76E12297DB}"/>
    <cellStyle name="Comma 4 3 5 4 2 3" xfId="13117" xr:uid="{185B91AD-6563-4116-9886-14616BF25881}"/>
    <cellStyle name="Comma 4 3 5 4 3" xfId="5863" xr:uid="{00000000-0005-0000-0000-0000BE090000}"/>
    <cellStyle name="Comma 4 3 5 4 3 2" xfId="15189" xr:uid="{1C719576-4593-4813-B2BE-5F1A8B887508}"/>
    <cellStyle name="Comma 4 3 5 4 4" xfId="10972" xr:uid="{14C52FA0-ED7D-4410-B8B2-BC0C249AED09}"/>
    <cellStyle name="Comma 4 3 5 5" xfId="1970" xr:uid="{00000000-0005-0000-0000-0000BF090000}"/>
    <cellStyle name="Comma 4 3 5 5 2" xfId="4199" xr:uid="{00000000-0005-0000-0000-0000C0090000}"/>
    <cellStyle name="Comma 4 3 5 5 2 2" xfId="8421" xr:uid="{00000000-0005-0000-0000-0000C1090000}"/>
    <cellStyle name="Comma 4 3 5 5 2 2 2" xfId="17747" xr:uid="{E8010172-0B98-46C8-B9AD-7538485088BC}"/>
    <cellStyle name="Comma 4 3 5 5 2 3" xfId="13530" xr:uid="{592125FF-6FBF-45E8-BD41-D34CA6E0FC5A}"/>
    <cellStyle name="Comma 4 3 5 5 3" xfId="6276" xr:uid="{00000000-0005-0000-0000-0000C2090000}"/>
    <cellStyle name="Comma 4 3 5 5 3 2" xfId="15602" xr:uid="{3815955A-2A21-412E-9DBA-1FA7F350ED2D}"/>
    <cellStyle name="Comma 4 3 5 5 4" xfId="11385" xr:uid="{F7B3F2D4-2F3F-44F0-8975-4F2004CE670C}"/>
    <cellStyle name="Comma 4 3 5 6" xfId="2405" xr:uid="{00000000-0005-0000-0000-0000C3090000}"/>
    <cellStyle name="Comma 4 3 5 6 2" xfId="6689" xr:uid="{00000000-0005-0000-0000-0000C4090000}"/>
    <cellStyle name="Comma 4 3 5 6 2 2" xfId="16015" xr:uid="{63C75A49-22C3-47C4-8566-E657D3751291}"/>
    <cellStyle name="Comma 4 3 5 6 3" xfId="11798" xr:uid="{13FD98E3-5A3C-46ED-AC10-91A30881C2C1}"/>
    <cellStyle name="Comma 4 3 5 7" xfId="2701" xr:uid="{00000000-0005-0000-0000-0000C5090000}"/>
    <cellStyle name="Comma 4 3 5 8" xfId="2783" xr:uid="{00000000-0005-0000-0000-0000C6090000}"/>
    <cellStyle name="Comma 4 3 5 8 2" xfId="7006" xr:uid="{00000000-0005-0000-0000-0000C7090000}"/>
    <cellStyle name="Comma 4 3 5 8 2 2" xfId="16332" xr:uid="{07A4FAA6-7FE4-4346-99A5-95A2083383C4}"/>
    <cellStyle name="Comma 4 3 5 8 3" xfId="12115" xr:uid="{4EB872AA-FAA2-47E1-B6C3-0D70DE427AD3}"/>
    <cellStyle name="Comma 4 3 5 9" xfId="4623" xr:uid="{00000000-0005-0000-0000-0000C8090000}"/>
    <cellStyle name="Comma 4 3 5 9 2" xfId="13949" xr:uid="{D0586586-1117-4AD4-852F-03F71E2FB4CE}"/>
    <cellStyle name="Comma 4 3 6" xfId="9582" xr:uid="{F1B74700-6F25-44D3-B4B6-1EFC63A6078B}"/>
    <cellStyle name="Comma 4 3 7" xfId="8778" xr:uid="{01CB0168-3495-42C5-9A13-F25D4D0EF35E}"/>
    <cellStyle name="Comma 4 3 7 2" xfId="18102" xr:uid="{BE8E82FC-F382-45FC-8C35-7857458419A2}"/>
    <cellStyle name="Comma 4 4" xfId="153" xr:uid="{00000000-0005-0000-0000-0000C9090000}"/>
    <cellStyle name="Comma 4 4 10" xfId="2784" xr:uid="{00000000-0005-0000-0000-0000CA090000}"/>
    <cellStyle name="Comma 4 4 10 2" xfId="7007" xr:uid="{00000000-0005-0000-0000-0000CB090000}"/>
    <cellStyle name="Comma 4 4 10 2 2" xfId="16333" xr:uid="{F15BD37F-8B8B-4161-AD07-4527667D2942}"/>
    <cellStyle name="Comma 4 4 10 3" xfId="12116" xr:uid="{199FC63E-2133-402B-BEB4-FCB963A60DD0}"/>
    <cellStyle name="Comma 4 4 11" xfId="4624" xr:uid="{00000000-0005-0000-0000-0000CC090000}"/>
    <cellStyle name="Comma 4 4 11 2" xfId="13950" xr:uid="{5466C108-533B-4429-83E4-913671D47CE2}"/>
    <cellStyle name="Comma 4 4 12" xfId="8804" xr:uid="{A2BB6322-7771-45CD-845C-77E2FE03AC7A}"/>
    <cellStyle name="Comma 4 4 12 2" xfId="18128" xr:uid="{A8870334-6B72-4D75-83FF-9508ADCC9D17}"/>
    <cellStyle name="Comma 4 4 13" xfId="9733" xr:uid="{3560A770-E2F4-4650-B076-718DB29E2D09}"/>
    <cellStyle name="Comma 4 4 2" xfId="154" xr:uid="{00000000-0005-0000-0000-0000CD090000}"/>
    <cellStyle name="Comma 4 4 2 10" xfId="4625" xr:uid="{00000000-0005-0000-0000-0000CE090000}"/>
    <cellStyle name="Comma 4 4 2 10 2" xfId="13951" xr:uid="{D53FDA0C-A5C3-4DAB-9F2F-68A4DC45010E}"/>
    <cellStyle name="Comma 4 4 2 11" xfId="8907" xr:uid="{F9F87618-3BA1-4211-A686-62CF5BBA5770}"/>
    <cellStyle name="Comma 4 4 2 11 2" xfId="18231" xr:uid="{6B992856-F55D-4A79-A381-37B3AA43A34A}"/>
    <cellStyle name="Comma 4 4 2 12" xfId="9734" xr:uid="{C95C68DD-D9A7-4199-BCD5-B1F548FE8590}"/>
    <cellStyle name="Comma 4 4 2 2" xfId="155" xr:uid="{00000000-0005-0000-0000-0000CF090000}"/>
    <cellStyle name="Comma 4 4 2 2 10" xfId="9114" xr:uid="{871FAC03-A44E-4C24-806C-3CC0605FD124}"/>
    <cellStyle name="Comma 4 4 2 2 10 2" xfId="18438" xr:uid="{0225358A-666B-457F-9A67-816A33B6BB24}"/>
    <cellStyle name="Comma 4 4 2 2 11" xfId="9735" xr:uid="{8A45FE71-B152-4B44-8C48-3900F3E60490}"/>
    <cellStyle name="Comma 4 4 2 2 2" xfId="692" xr:uid="{00000000-0005-0000-0000-0000D0090000}"/>
    <cellStyle name="Comma 4 4 2 2 2 2" xfId="2963" xr:uid="{00000000-0005-0000-0000-0000D1090000}"/>
    <cellStyle name="Comma 4 4 2 2 2 2 2" xfId="7185" xr:uid="{00000000-0005-0000-0000-0000D2090000}"/>
    <cellStyle name="Comma 4 4 2 2 2 2 2 2" xfId="16511" xr:uid="{DD7443B4-4611-4DBA-9B7F-6CC64C3989A4}"/>
    <cellStyle name="Comma 4 4 2 2 2 2 3" xfId="12294" xr:uid="{73C6296A-C83C-43D4-8051-EBB8E0EFA875}"/>
    <cellStyle name="Comma 4 4 2 2 2 3" xfId="5040" xr:uid="{00000000-0005-0000-0000-0000D3090000}"/>
    <cellStyle name="Comma 4 4 2 2 2 3 2" xfId="14366" xr:uid="{468DA881-DA4D-4AF9-93C7-F22B3D132562}"/>
    <cellStyle name="Comma 4 4 2 2 2 4" xfId="9539" xr:uid="{6209A471-8158-46C6-9ADA-C828BB6621B2}"/>
    <cellStyle name="Comma 4 4 2 2 2 4 2" xfId="18854" xr:uid="{9058959B-3DD1-43C9-9644-E4A446D2B5CD}"/>
    <cellStyle name="Comma 4 4 2 2 2 5" xfId="10149" xr:uid="{85782340-47A9-498A-8395-D33A352562AC}"/>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924" xr:uid="{747712F2-A9BC-4992-977F-1FF87E788696}"/>
    <cellStyle name="Comma 4 4 2 2 3 2 3" xfId="12707" xr:uid="{CE0676B2-51D3-4057-8351-4B489CA6BB3F}"/>
    <cellStyle name="Comma 4 4 2 2 3 3" xfId="5453" xr:uid="{00000000-0005-0000-0000-0000D7090000}"/>
    <cellStyle name="Comma 4 4 2 2 3 3 2" xfId="14779" xr:uid="{E735C519-F10E-4C6C-9624-EAEF9150DC2E}"/>
    <cellStyle name="Comma 4 4 2 2 3 4" xfId="10562" xr:uid="{69164521-7923-4342-8201-F13345C7C04F}"/>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337" xr:uid="{05213C1B-2967-439D-BB5B-C73E9B395446}"/>
    <cellStyle name="Comma 4 4 2 2 4 2 3" xfId="13120" xr:uid="{83DFDE66-94F1-43FD-B288-B7EFFB04053A}"/>
    <cellStyle name="Comma 4 4 2 2 4 3" xfId="5866" xr:uid="{00000000-0005-0000-0000-0000DB090000}"/>
    <cellStyle name="Comma 4 4 2 2 4 3 2" xfId="15192" xr:uid="{9609FE6D-8080-4AB4-AAB5-DD85645F1167}"/>
    <cellStyle name="Comma 4 4 2 2 4 4" xfId="10975" xr:uid="{8CBF6C67-0BF7-40B4-B460-2BDAAE953BCD}"/>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50" xr:uid="{5C45F7A9-636D-4F46-85F7-42ED322BC9F3}"/>
    <cellStyle name="Comma 4 4 2 2 5 2 3" xfId="13533" xr:uid="{6EFD1FDA-9FF0-454C-8129-08E7F971816A}"/>
    <cellStyle name="Comma 4 4 2 2 5 3" xfId="6279" xr:uid="{00000000-0005-0000-0000-0000DF090000}"/>
    <cellStyle name="Comma 4 4 2 2 5 3 2" xfId="15605" xr:uid="{0EFDDEAF-A234-40D0-8423-F4C89A8EEACE}"/>
    <cellStyle name="Comma 4 4 2 2 5 4" xfId="11388" xr:uid="{7668BFD5-A779-4535-ACA3-FC2AF3F82422}"/>
    <cellStyle name="Comma 4 4 2 2 6" xfId="2408" xr:uid="{00000000-0005-0000-0000-0000E0090000}"/>
    <cellStyle name="Comma 4 4 2 2 6 2" xfId="6692" xr:uid="{00000000-0005-0000-0000-0000E1090000}"/>
    <cellStyle name="Comma 4 4 2 2 6 2 2" xfId="16018" xr:uid="{51D6B090-C948-44FD-94F9-FC6A8542941D}"/>
    <cellStyle name="Comma 4 4 2 2 6 3" xfId="11801" xr:uid="{0F909608-7EB7-4FE4-9A10-4EF5D012197E}"/>
    <cellStyle name="Comma 4 4 2 2 7" xfId="2704" xr:uid="{00000000-0005-0000-0000-0000E2090000}"/>
    <cellStyle name="Comma 4 4 2 2 8" xfId="2786" xr:uid="{00000000-0005-0000-0000-0000E3090000}"/>
    <cellStyle name="Comma 4 4 2 2 8 2" xfId="7009" xr:uid="{00000000-0005-0000-0000-0000E4090000}"/>
    <cellStyle name="Comma 4 4 2 2 8 2 2" xfId="16335" xr:uid="{D7D8DF56-9C27-4467-A092-60E01624C40D}"/>
    <cellStyle name="Comma 4 4 2 2 8 3" xfId="12118" xr:uid="{9EE0F139-1A54-40BB-A45E-92FBF1E40F33}"/>
    <cellStyle name="Comma 4 4 2 2 9" xfId="4626" xr:uid="{00000000-0005-0000-0000-0000E5090000}"/>
    <cellStyle name="Comma 4 4 2 2 9 2" xfId="13952" xr:uid="{153D2106-BC59-4496-8F33-DC1E99EF67CF}"/>
    <cellStyle name="Comma 4 4 2 3" xfId="691" xr:uid="{00000000-0005-0000-0000-0000E6090000}"/>
    <cellStyle name="Comma 4 4 2 3 2" xfId="2962" xr:uid="{00000000-0005-0000-0000-0000E7090000}"/>
    <cellStyle name="Comma 4 4 2 3 2 2" xfId="7184" xr:uid="{00000000-0005-0000-0000-0000E8090000}"/>
    <cellStyle name="Comma 4 4 2 3 2 2 2" xfId="16510" xr:uid="{71B42B57-0965-4D41-BB92-1E1A06B16B4B}"/>
    <cellStyle name="Comma 4 4 2 3 2 3" xfId="12293" xr:uid="{D28EA94A-2031-441A-B178-9A68665404C4}"/>
    <cellStyle name="Comma 4 4 2 3 3" xfId="5039" xr:uid="{00000000-0005-0000-0000-0000E9090000}"/>
    <cellStyle name="Comma 4 4 2 3 3 2" xfId="14365" xr:uid="{FBE2A00F-4E3E-4A51-A4ED-4153C89F696A}"/>
    <cellStyle name="Comma 4 4 2 3 4" xfId="9332" xr:uid="{00F59ECD-64D7-476B-90FD-CD86F054AE4D}"/>
    <cellStyle name="Comma 4 4 2 3 4 2" xfId="18647" xr:uid="{E3155679-D236-4C20-8224-3256D18FCDE4}"/>
    <cellStyle name="Comma 4 4 2 3 5" xfId="10148" xr:uid="{5F12179F-3E83-4D35-B839-6A7DDEDCAF53}"/>
    <cellStyle name="Comma 4 4 2 4" xfId="1144" xr:uid="{00000000-0005-0000-0000-0000EA090000}"/>
    <cellStyle name="Comma 4 4 2 4 2" xfId="3375" xr:uid="{00000000-0005-0000-0000-0000EB090000}"/>
    <cellStyle name="Comma 4 4 2 4 2 2" xfId="7597" xr:uid="{00000000-0005-0000-0000-0000EC090000}"/>
    <cellStyle name="Comma 4 4 2 4 2 2 2" xfId="16923" xr:uid="{7BED6C5D-F344-4691-89A5-81B55AA6BC49}"/>
    <cellStyle name="Comma 4 4 2 4 2 3" xfId="12706" xr:uid="{EAADCF62-5A59-41F4-B131-6EFC053CC150}"/>
    <cellStyle name="Comma 4 4 2 4 3" xfId="5452" xr:uid="{00000000-0005-0000-0000-0000ED090000}"/>
    <cellStyle name="Comma 4 4 2 4 3 2" xfId="14778" xr:uid="{B8D2FCFC-640D-497B-8188-1E6C9CBCC93F}"/>
    <cellStyle name="Comma 4 4 2 4 4" xfId="10561" xr:uid="{856EDEF1-EEEC-4F73-8CC0-860E37FD1792}"/>
    <cellStyle name="Comma 4 4 2 5" xfId="1558" xr:uid="{00000000-0005-0000-0000-0000EE090000}"/>
    <cellStyle name="Comma 4 4 2 5 2" xfId="3788" xr:uid="{00000000-0005-0000-0000-0000EF090000}"/>
    <cellStyle name="Comma 4 4 2 5 2 2" xfId="8010" xr:uid="{00000000-0005-0000-0000-0000F0090000}"/>
    <cellStyle name="Comma 4 4 2 5 2 2 2" xfId="17336" xr:uid="{6D4654C8-2374-4921-BD0A-3A5486059EF7}"/>
    <cellStyle name="Comma 4 4 2 5 2 3" xfId="13119" xr:uid="{491B051D-125D-47B2-8DF4-896C1CBDE7D5}"/>
    <cellStyle name="Comma 4 4 2 5 3" xfId="5865" xr:uid="{00000000-0005-0000-0000-0000F1090000}"/>
    <cellStyle name="Comma 4 4 2 5 3 2" xfId="15191" xr:uid="{B732B18C-2546-4F29-87A4-22BEFD90A302}"/>
    <cellStyle name="Comma 4 4 2 5 4" xfId="10974" xr:uid="{11906C44-4C85-4405-91B8-4A93DDA19E44}"/>
    <cellStyle name="Comma 4 4 2 6" xfId="1972" xr:uid="{00000000-0005-0000-0000-0000F2090000}"/>
    <cellStyle name="Comma 4 4 2 6 2" xfId="4201" xr:uid="{00000000-0005-0000-0000-0000F3090000}"/>
    <cellStyle name="Comma 4 4 2 6 2 2" xfId="8423" xr:uid="{00000000-0005-0000-0000-0000F4090000}"/>
    <cellStyle name="Comma 4 4 2 6 2 2 2" xfId="17749" xr:uid="{0AD02ABE-36AB-4AF8-BB8F-385456D4E397}"/>
    <cellStyle name="Comma 4 4 2 6 2 3" xfId="13532" xr:uid="{971A4149-E0F6-4F79-858D-FC36727ED096}"/>
    <cellStyle name="Comma 4 4 2 6 3" xfId="6278" xr:uid="{00000000-0005-0000-0000-0000F5090000}"/>
    <cellStyle name="Comma 4 4 2 6 3 2" xfId="15604" xr:uid="{9961B045-876E-43EA-B41E-14A96FD98BFC}"/>
    <cellStyle name="Comma 4 4 2 6 4" xfId="11387" xr:uid="{18F2B2D8-2D07-430C-815D-3DFF9E89DEE2}"/>
    <cellStyle name="Comma 4 4 2 7" xfId="2407" xr:uid="{00000000-0005-0000-0000-0000F6090000}"/>
    <cellStyle name="Comma 4 4 2 7 2" xfId="6691" xr:uid="{00000000-0005-0000-0000-0000F7090000}"/>
    <cellStyle name="Comma 4 4 2 7 2 2" xfId="16017" xr:uid="{BBE3E016-4097-4223-AAC4-B373B816BF64}"/>
    <cellStyle name="Comma 4 4 2 7 3" xfId="11800" xr:uid="{F0B1CC09-5934-4A6F-A204-9F64A1875887}"/>
    <cellStyle name="Comma 4 4 2 8" xfId="2703" xr:uid="{00000000-0005-0000-0000-0000F8090000}"/>
    <cellStyle name="Comma 4 4 2 9" xfId="2785" xr:uid="{00000000-0005-0000-0000-0000F9090000}"/>
    <cellStyle name="Comma 4 4 2 9 2" xfId="7008" xr:uid="{00000000-0005-0000-0000-0000FA090000}"/>
    <cellStyle name="Comma 4 4 2 9 2 2" xfId="16334" xr:uid="{BB91DDB1-3B1A-4B4B-8984-4A8CABC4BA22}"/>
    <cellStyle name="Comma 4 4 2 9 3" xfId="12117" xr:uid="{CF841E46-DE59-4600-90F8-0BA4E0D7FF9F}"/>
    <cellStyle name="Comma 4 4 3" xfId="156" xr:uid="{00000000-0005-0000-0000-0000FB090000}"/>
    <cellStyle name="Comma 4 4 3 10" xfId="9011" xr:uid="{31ED03AD-AB12-49AF-9AD4-B783F0BF7322}"/>
    <cellStyle name="Comma 4 4 3 10 2" xfId="18335" xr:uid="{37F911F7-F45F-4D1C-8BC7-C680946C0224}"/>
    <cellStyle name="Comma 4 4 3 11" xfId="9736" xr:uid="{5EA611D9-B4F1-4042-9645-928B3415A150}"/>
    <cellStyle name="Comma 4 4 3 2" xfId="693" xr:uid="{00000000-0005-0000-0000-0000FC090000}"/>
    <cellStyle name="Comma 4 4 3 2 2" xfId="2964" xr:uid="{00000000-0005-0000-0000-0000FD090000}"/>
    <cellStyle name="Comma 4 4 3 2 2 2" xfId="7186" xr:uid="{00000000-0005-0000-0000-0000FE090000}"/>
    <cellStyle name="Comma 4 4 3 2 2 2 2" xfId="16512" xr:uid="{3B56141C-B1A1-410B-A756-466C32044E87}"/>
    <cellStyle name="Comma 4 4 3 2 2 3" xfId="12295" xr:uid="{7AE2B67F-B241-4DD5-BD43-D4435238EF12}"/>
    <cellStyle name="Comma 4 4 3 2 3" xfId="5041" xr:uid="{00000000-0005-0000-0000-0000FF090000}"/>
    <cellStyle name="Comma 4 4 3 2 3 2" xfId="14367" xr:uid="{AA8B7496-F45B-45FF-AFB7-DEE9AFE64119}"/>
    <cellStyle name="Comma 4 4 3 2 4" xfId="9436" xr:uid="{5B7DDC25-9095-4E8E-BD31-668F46BBD33F}"/>
    <cellStyle name="Comma 4 4 3 2 4 2" xfId="18751" xr:uid="{D02B4249-7FDE-417D-876B-666D2113026F}"/>
    <cellStyle name="Comma 4 4 3 2 5" xfId="10150" xr:uid="{BFD561E9-0CB1-4F4A-8C22-9E262E884188}"/>
    <cellStyle name="Comma 4 4 3 3" xfId="1146" xr:uid="{00000000-0005-0000-0000-0000000A0000}"/>
    <cellStyle name="Comma 4 4 3 3 2" xfId="3377" xr:uid="{00000000-0005-0000-0000-0000010A0000}"/>
    <cellStyle name="Comma 4 4 3 3 2 2" xfId="7599" xr:uid="{00000000-0005-0000-0000-0000020A0000}"/>
    <cellStyle name="Comma 4 4 3 3 2 2 2" xfId="16925" xr:uid="{07BC7120-1D7D-40BB-9142-F99B850FF3B6}"/>
    <cellStyle name="Comma 4 4 3 3 2 3" xfId="12708" xr:uid="{8998F9A6-A119-445E-9CD4-C30988908C64}"/>
    <cellStyle name="Comma 4 4 3 3 3" xfId="5454" xr:uid="{00000000-0005-0000-0000-0000030A0000}"/>
    <cellStyle name="Comma 4 4 3 3 3 2" xfId="14780" xr:uid="{DE8082E0-DF18-4841-8A1A-773E069CD7BA}"/>
    <cellStyle name="Comma 4 4 3 3 4" xfId="10563" xr:uid="{45BA53A7-4892-4542-8CC5-8B74C10E9EC6}"/>
    <cellStyle name="Comma 4 4 3 4" xfId="1560" xr:uid="{00000000-0005-0000-0000-0000040A0000}"/>
    <cellStyle name="Comma 4 4 3 4 2" xfId="3790" xr:uid="{00000000-0005-0000-0000-0000050A0000}"/>
    <cellStyle name="Comma 4 4 3 4 2 2" xfId="8012" xr:uid="{00000000-0005-0000-0000-0000060A0000}"/>
    <cellStyle name="Comma 4 4 3 4 2 2 2" xfId="17338" xr:uid="{9E951054-641F-4ACC-BBF5-17FCF64FF5FA}"/>
    <cellStyle name="Comma 4 4 3 4 2 3" xfId="13121" xr:uid="{5E7CC7A4-4421-43CE-811F-7F6EFD42BE77}"/>
    <cellStyle name="Comma 4 4 3 4 3" xfId="5867" xr:uid="{00000000-0005-0000-0000-0000070A0000}"/>
    <cellStyle name="Comma 4 4 3 4 3 2" xfId="15193" xr:uid="{D8FD8BF1-E617-47B6-9F67-25A192E8805C}"/>
    <cellStyle name="Comma 4 4 3 4 4" xfId="10976" xr:uid="{A81A0468-087D-463A-90C1-8C8B874D7657}"/>
    <cellStyle name="Comma 4 4 3 5" xfId="1974" xr:uid="{00000000-0005-0000-0000-0000080A0000}"/>
    <cellStyle name="Comma 4 4 3 5 2" xfId="4203" xr:uid="{00000000-0005-0000-0000-0000090A0000}"/>
    <cellStyle name="Comma 4 4 3 5 2 2" xfId="8425" xr:uid="{00000000-0005-0000-0000-00000A0A0000}"/>
    <cellStyle name="Comma 4 4 3 5 2 2 2" xfId="17751" xr:uid="{39B58294-72C6-4B9D-9D4E-AA45809B8F4C}"/>
    <cellStyle name="Comma 4 4 3 5 2 3" xfId="13534" xr:uid="{FCC01F69-ECE3-4C5D-B6AC-00F1D645D848}"/>
    <cellStyle name="Comma 4 4 3 5 3" xfId="6280" xr:uid="{00000000-0005-0000-0000-00000B0A0000}"/>
    <cellStyle name="Comma 4 4 3 5 3 2" xfId="15606" xr:uid="{F72F7B34-4861-4EA4-A541-6B5EEBF32F93}"/>
    <cellStyle name="Comma 4 4 3 5 4" xfId="11389" xr:uid="{73D82D14-2E49-4E4B-AF01-872F6DB2DDC7}"/>
    <cellStyle name="Comma 4 4 3 6" xfId="2409" xr:uid="{00000000-0005-0000-0000-00000C0A0000}"/>
    <cellStyle name="Comma 4 4 3 6 2" xfId="6693" xr:uid="{00000000-0005-0000-0000-00000D0A0000}"/>
    <cellStyle name="Comma 4 4 3 6 2 2" xfId="16019" xr:uid="{D7501EA1-9D25-4856-B8E3-B5D99FA14C97}"/>
    <cellStyle name="Comma 4 4 3 6 3" xfId="11802" xr:uid="{37A4965B-3733-4853-8B3D-52E9B682DFA6}"/>
    <cellStyle name="Comma 4 4 3 7" xfId="2705" xr:uid="{00000000-0005-0000-0000-00000E0A0000}"/>
    <cellStyle name="Comma 4 4 3 8" xfId="2787" xr:uid="{00000000-0005-0000-0000-00000F0A0000}"/>
    <cellStyle name="Comma 4 4 3 8 2" xfId="7010" xr:uid="{00000000-0005-0000-0000-0000100A0000}"/>
    <cellStyle name="Comma 4 4 3 8 2 2" xfId="16336" xr:uid="{C26A7198-2AA9-481C-BCF2-E43343EB2B9C}"/>
    <cellStyle name="Comma 4 4 3 8 3" xfId="12119" xr:uid="{E249E6C5-7D56-46BB-B691-F0E193410549}"/>
    <cellStyle name="Comma 4 4 3 9" xfId="4627" xr:uid="{00000000-0005-0000-0000-0000110A0000}"/>
    <cellStyle name="Comma 4 4 3 9 2" xfId="13953" xr:uid="{B353A367-4EF3-400A-9869-CAE3DCFA4418}"/>
    <cellStyle name="Comma 4 4 4" xfId="690" xr:uid="{00000000-0005-0000-0000-0000120A0000}"/>
    <cellStyle name="Comma 4 4 4 2" xfId="2961" xr:uid="{00000000-0005-0000-0000-0000130A0000}"/>
    <cellStyle name="Comma 4 4 4 2 2" xfId="7183" xr:uid="{00000000-0005-0000-0000-0000140A0000}"/>
    <cellStyle name="Comma 4 4 4 2 2 2" xfId="16509" xr:uid="{4D068188-64EC-4972-9999-CDCD58F915A1}"/>
    <cellStyle name="Comma 4 4 4 2 3" xfId="12292" xr:uid="{E8F7C995-2BE7-4A6F-9F1A-4097231ED68E}"/>
    <cellStyle name="Comma 4 4 4 3" xfId="5038" xr:uid="{00000000-0005-0000-0000-0000150A0000}"/>
    <cellStyle name="Comma 4 4 4 3 2" xfId="14364" xr:uid="{EEB49682-AE68-4986-B507-1D82ABB9E795}"/>
    <cellStyle name="Comma 4 4 4 4" xfId="9229" xr:uid="{5D655A80-2199-4116-9BF2-7327D5827395}"/>
    <cellStyle name="Comma 4 4 4 4 2" xfId="18544" xr:uid="{095E8D9D-4123-4FA9-B577-22ECC8D20158}"/>
    <cellStyle name="Comma 4 4 4 5" xfId="10147" xr:uid="{C1950F02-5C25-4907-82F0-86ED5B11F71B}"/>
    <cellStyle name="Comma 4 4 5" xfId="1143" xr:uid="{00000000-0005-0000-0000-0000160A0000}"/>
    <cellStyle name="Comma 4 4 5 2" xfId="3374" xr:uid="{00000000-0005-0000-0000-0000170A0000}"/>
    <cellStyle name="Comma 4 4 5 2 2" xfId="7596" xr:uid="{00000000-0005-0000-0000-0000180A0000}"/>
    <cellStyle name="Comma 4 4 5 2 2 2" xfId="16922" xr:uid="{E28D553D-B201-4290-9558-8F2F8C2C842F}"/>
    <cellStyle name="Comma 4 4 5 2 3" xfId="12705" xr:uid="{69E56D25-3D52-4C8F-87A4-6339FFCA6874}"/>
    <cellStyle name="Comma 4 4 5 3" xfId="5451" xr:uid="{00000000-0005-0000-0000-0000190A0000}"/>
    <cellStyle name="Comma 4 4 5 3 2" xfId="14777" xr:uid="{268EC88D-2E92-4FE7-9AB8-8177847FBD2B}"/>
    <cellStyle name="Comma 4 4 5 4" xfId="10560" xr:uid="{16E0DDF8-A400-4EAC-A283-48AFF97C4C9A}"/>
    <cellStyle name="Comma 4 4 6" xfId="1557" xr:uid="{00000000-0005-0000-0000-00001A0A0000}"/>
    <cellStyle name="Comma 4 4 6 2" xfId="3787" xr:uid="{00000000-0005-0000-0000-00001B0A0000}"/>
    <cellStyle name="Comma 4 4 6 2 2" xfId="8009" xr:uid="{00000000-0005-0000-0000-00001C0A0000}"/>
    <cellStyle name="Comma 4 4 6 2 2 2" xfId="17335" xr:uid="{125B6F77-3065-4942-B2D9-22F1D738E7CE}"/>
    <cellStyle name="Comma 4 4 6 2 3" xfId="13118" xr:uid="{0692007B-E80F-47F6-8771-1552934759F8}"/>
    <cellStyle name="Comma 4 4 6 3" xfId="5864" xr:uid="{00000000-0005-0000-0000-00001D0A0000}"/>
    <cellStyle name="Comma 4 4 6 3 2" xfId="15190" xr:uid="{A70B45B6-C610-4CCA-84C7-12E952999581}"/>
    <cellStyle name="Comma 4 4 6 4" xfId="10973" xr:uid="{8C8436CA-C230-44CC-B2BD-4777DEB4F293}"/>
    <cellStyle name="Comma 4 4 7" xfId="1971" xr:uid="{00000000-0005-0000-0000-00001E0A0000}"/>
    <cellStyle name="Comma 4 4 7 2" xfId="4200" xr:uid="{00000000-0005-0000-0000-00001F0A0000}"/>
    <cellStyle name="Comma 4 4 7 2 2" xfId="8422" xr:uid="{00000000-0005-0000-0000-0000200A0000}"/>
    <cellStyle name="Comma 4 4 7 2 2 2" xfId="17748" xr:uid="{F12753AA-B14E-40A6-9DC5-7FA6148D3F46}"/>
    <cellStyle name="Comma 4 4 7 2 3" xfId="13531" xr:uid="{E58D91EB-DD1D-4906-8B53-EFDCB735316C}"/>
    <cellStyle name="Comma 4 4 7 3" xfId="6277" xr:uid="{00000000-0005-0000-0000-0000210A0000}"/>
    <cellStyle name="Comma 4 4 7 3 2" xfId="15603" xr:uid="{E685AE58-4A66-48FF-894F-BEF0B4B1D302}"/>
    <cellStyle name="Comma 4 4 7 4" xfId="11386" xr:uid="{7192CE71-BA1C-4E46-9315-C3DE6EBEF0BF}"/>
    <cellStyle name="Comma 4 4 8" xfId="2406" xr:uid="{00000000-0005-0000-0000-0000220A0000}"/>
    <cellStyle name="Comma 4 4 8 2" xfId="6690" xr:uid="{00000000-0005-0000-0000-0000230A0000}"/>
    <cellStyle name="Comma 4 4 8 2 2" xfId="16016" xr:uid="{FC1991EC-0EE7-4AEA-B578-BE7EC24F2BB3}"/>
    <cellStyle name="Comma 4 4 8 3" xfId="11799" xr:uid="{0A504479-488C-42FF-ADDE-045ACE7C9DFD}"/>
    <cellStyle name="Comma 4 4 9" xfId="2702" xr:uid="{00000000-0005-0000-0000-0000240A0000}"/>
    <cellStyle name="Comma 4 5" xfId="157" xr:uid="{00000000-0005-0000-0000-0000250A0000}"/>
    <cellStyle name="Comma 4 5 10" xfId="4628" xr:uid="{00000000-0005-0000-0000-0000260A0000}"/>
    <cellStyle name="Comma 4 5 10 2" xfId="13954" xr:uid="{AA7992EC-39E1-4AB2-83C1-9BC6513389A1}"/>
    <cellStyle name="Comma 4 5 11" xfId="8849" xr:uid="{344CCE08-63E3-41E8-B38A-00347480820F}"/>
    <cellStyle name="Comma 4 5 11 2" xfId="18173" xr:uid="{56DC28D5-7E76-45ED-BAC7-8F78450F8822}"/>
    <cellStyle name="Comma 4 5 12" xfId="9737" xr:uid="{E6FC0CBD-3F13-482E-BC35-2FBD64283972}"/>
    <cellStyle name="Comma 4 5 2" xfId="158" xr:uid="{00000000-0005-0000-0000-0000270A0000}"/>
    <cellStyle name="Comma 4 5 2 10" xfId="9056" xr:uid="{C7C2153B-7EAA-4A13-9C28-1151ACD100A8}"/>
    <cellStyle name="Comma 4 5 2 10 2" xfId="18380" xr:uid="{BC760804-7919-46C3-B74E-7A0CB91B9617}"/>
    <cellStyle name="Comma 4 5 2 11" xfId="9738" xr:uid="{32819836-A2B7-4D9D-9AB4-20713A771F67}"/>
    <cellStyle name="Comma 4 5 2 2" xfId="695" xr:uid="{00000000-0005-0000-0000-0000280A0000}"/>
    <cellStyle name="Comma 4 5 2 2 2" xfId="2966" xr:uid="{00000000-0005-0000-0000-0000290A0000}"/>
    <cellStyle name="Comma 4 5 2 2 2 2" xfId="7188" xr:uid="{00000000-0005-0000-0000-00002A0A0000}"/>
    <cellStyle name="Comma 4 5 2 2 2 2 2" xfId="16514" xr:uid="{75EF6B6F-E4B9-4C4F-A697-06EA58933A18}"/>
    <cellStyle name="Comma 4 5 2 2 2 3" xfId="12297" xr:uid="{8CB9D324-1787-41F8-88E0-B93BBC4384BA}"/>
    <cellStyle name="Comma 4 5 2 2 3" xfId="5043" xr:uid="{00000000-0005-0000-0000-00002B0A0000}"/>
    <cellStyle name="Comma 4 5 2 2 3 2" xfId="14369" xr:uid="{89BE5812-52CE-4372-84B5-32AE2011124E}"/>
    <cellStyle name="Comma 4 5 2 2 4" xfId="9481" xr:uid="{47C88F6D-21B1-4457-908C-FFAB8FF83BD1}"/>
    <cellStyle name="Comma 4 5 2 2 4 2" xfId="18796" xr:uid="{64541AF7-4B95-4A47-B173-03EC9874E584}"/>
    <cellStyle name="Comma 4 5 2 2 5" xfId="10152" xr:uid="{CEA55FF0-B03E-457B-91E3-2EBD0DA57167}"/>
    <cellStyle name="Comma 4 5 2 3" xfId="1148" xr:uid="{00000000-0005-0000-0000-00002C0A0000}"/>
    <cellStyle name="Comma 4 5 2 3 2" xfId="3379" xr:uid="{00000000-0005-0000-0000-00002D0A0000}"/>
    <cellStyle name="Comma 4 5 2 3 2 2" xfId="7601" xr:uid="{00000000-0005-0000-0000-00002E0A0000}"/>
    <cellStyle name="Comma 4 5 2 3 2 2 2" xfId="16927" xr:uid="{8BA154A9-2E94-4AA3-B85D-13DE95947B66}"/>
    <cellStyle name="Comma 4 5 2 3 2 3" xfId="12710" xr:uid="{68059142-4F01-4323-9314-E3BF6ECC31EA}"/>
    <cellStyle name="Comma 4 5 2 3 3" xfId="5456" xr:uid="{00000000-0005-0000-0000-00002F0A0000}"/>
    <cellStyle name="Comma 4 5 2 3 3 2" xfId="14782" xr:uid="{70093E64-838D-4D0C-AF58-AFE1D5A76454}"/>
    <cellStyle name="Comma 4 5 2 3 4" xfId="10565" xr:uid="{38E86F61-85DA-45C1-853A-F1DF7CF9481A}"/>
    <cellStyle name="Comma 4 5 2 4" xfId="1562" xr:uid="{00000000-0005-0000-0000-0000300A0000}"/>
    <cellStyle name="Comma 4 5 2 4 2" xfId="3792" xr:uid="{00000000-0005-0000-0000-0000310A0000}"/>
    <cellStyle name="Comma 4 5 2 4 2 2" xfId="8014" xr:uid="{00000000-0005-0000-0000-0000320A0000}"/>
    <cellStyle name="Comma 4 5 2 4 2 2 2" xfId="17340" xr:uid="{98CCA6C1-85B1-403E-AF2C-8C0E96429191}"/>
    <cellStyle name="Comma 4 5 2 4 2 3" xfId="13123" xr:uid="{60369FDB-6004-44DE-B455-D78F2DCAFD19}"/>
    <cellStyle name="Comma 4 5 2 4 3" xfId="5869" xr:uid="{00000000-0005-0000-0000-0000330A0000}"/>
    <cellStyle name="Comma 4 5 2 4 3 2" xfId="15195" xr:uid="{7A12321B-BE2C-47BF-8940-0B997CE2AAD4}"/>
    <cellStyle name="Comma 4 5 2 4 4" xfId="10978" xr:uid="{FDB019F4-1B7B-4292-8B21-4773A4CC5C67}"/>
    <cellStyle name="Comma 4 5 2 5" xfId="1976" xr:uid="{00000000-0005-0000-0000-0000340A0000}"/>
    <cellStyle name="Comma 4 5 2 5 2" xfId="4205" xr:uid="{00000000-0005-0000-0000-0000350A0000}"/>
    <cellStyle name="Comma 4 5 2 5 2 2" xfId="8427" xr:uid="{00000000-0005-0000-0000-0000360A0000}"/>
    <cellStyle name="Comma 4 5 2 5 2 2 2" xfId="17753" xr:uid="{5094E85F-3549-47F6-ACC8-21E1AD04D50B}"/>
    <cellStyle name="Comma 4 5 2 5 2 3" xfId="13536" xr:uid="{39F6B8E8-8083-41BF-AD82-04425D00796E}"/>
    <cellStyle name="Comma 4 5 2 5 3" xfId="6282" xr:uid="{00000000-0005-0000-0000-0000370A0000}"/>
    <cellStyle name="Comma 4 5 2 5 3 2" xfId="15608" xr:uid="{A034050E-BA7A-4E20-A26A-90AA1326E844}"/>
    <cellStyle name="Comma 4 5 2 5 4" xfId="11391" xr:uid="{D9456628-89ED-4F90-9FF9-11A2F2F97F6A}"/>
    <cellStyle name="Comma 4 5 2 6" xfId="2411" xr:uid="{00000000-0005-0000-0000-0000380A0000}"/>
    <cellStyle name="Comma 4 5 2 6 2" xfId="6695" xr:uid="{00000000-0005-0000-0000-0000390A0000}"/>
    <cellStyle name="Comma 4 5 2 6 2 2" xfId="16021" xr:uid="{31F87AAB-C927-4F73-97A5-692DFB5287E4}"/>
    <cellStyle name="Comma 4 5 2 6 3" xfId="11804" xr:uid="{517BD3BB-A074-4F08-8405-5891AC587EBD}"/>
    <cellStyle name="Comma 4 5 2 7" xfId="2707" xr:uid="{00000000-0005-0000-0000-00003A0A0000}"/>
    <cellStyle name="Comma 4 5 2 8" xfId="2789" xr:uid="{00000000-0005-0000-0000-00003B0A0000}"/>
    <cellStyle name="Comma 4 5 2 8 2" xfId="7012" xr:uid="{00000000-0005-0000-0000-00003C0A0000}"/>
    <cellStyle name="Comma 4 5 2 8 2 2" xfId="16338" xr:uid="{8B995CB4-3E9B-4FC5-9B5A-0C6404DFB794}"/>
    <cellStyle name="Comma 4 5 2 8 3" xfId="12121" xr:uid="{CEC5852E-56CD-44D1-AB94-1BA352FD0279}"/>
    <cellStyle name="Comma 4 5 2 9" xfId="4629" xr:uid="{00000000-0005-0000-0000-00003D0A0000}"/>
    <cellStyle name="Comma 4 5 2 9 2" xfId="13955" xr:uid="{DCB0CFAB-6F88-4DEE-8B4F-6ED3022EE6DC}"/>
    <cellStyle name="Comma 4 5 3" xfId="694" xr:uid="{00000000-0005-0000-0000-00003E0A0000}"/>
    <cellStyle name="Comma 4 5 3 2" xfId="2965" xr:uid="{00000000-0005-0000-0000-00003F0A0000}"/>
    <cellStyle name="Comma 4 5 3 2 2" xfId="7187" xr:uid="{00000000-0005-0000-0000-0000400A0000}"/>
    <cellStyle name="Comma 4 5 3 2 2 2" xfId="16513" xr:uid="{CED96DD0-D0FE-48DF-B353-DFF316E750F2}"/>
    <cellStyle name="Comma 4 5 3 2 3" xfId="12296" xr:uid="{E2039042-6227-4927-95BE-9D1E9A99EC8D}"/>
    <cellStyle name="Comma 4 5 3 3" xfId="5042" xr:uid="{00000000-0005-0000-0000-0000410A0000}"/>
    <cellStyle name="Comma 4 5 3 3 2" xfId="14368" xr:uid="{2D7A4886-B225-4D4E-A0EA-77E8B2EE1874}"/>
    <cellStyle name="Comma 4 5 3 4" xfId="9274" xr:uid="{04AC3EF2-4A78-4DC5-BAB4-87936023C7E5}"/>
    <cellStyle name="Comma 4 5 3 4 2" xfId="18589" xr:uid="{90532533-CB45-4A41-8614-1342E5178960}"/>
    <cellStyle name="Comma 4 5 3 5" xfId="10151" xr:uid="{FA02AA4A-FA8A-431C-87B4-7B35A308FC21}"/>
    <cellStyle name="Comma 4 5 4" xfId="1147" xr:uid="{00000000-0005-0000-0000-0000420A0000}"/>
    <cellStyle name="Comma 4 5 4 2" xfId="3378" xr:uid="{00000000-0005-0000-0000-0000430A0000}"/>
    <cellStyle name="Comma 4 5 4 2 2" xfId="7600" xr:uid="{00000000-0005-0000-0000-0000440A0000}"/>
    <cellStyle name="Comma 4 5 4 2 2 2" xfId="16926" xr:uid="{C929C7A3-6C6E-4CA3-A290-97A4F4B3B93D}"/>
    <cellStyle name="Comma 4 5 4 2 3" xfId="12709" xr:uid="{5EAF8BDF-5476-47C5-A90A-BDDD800D0C9F}"/>
    <cellStyle name="Comma 4 5 4 3" xfId="5455" xr:uid="{00000000-0005-0000-0000-0000450A0000}"/>
    <cellStyle name="Comma 4 5 4 3 2" xfId="14781" xr:uid="{6DE4DFF3-76AE-4AB0-98E3-93A0FF57A546}"/>
    <cellStyle name="Comma 4 5 4 4" xfId="10564" xr:uid="{F4B21E34-2BBC-427A-B0C5-70B14E2CCE9E}"/>
    <cellStyle name="Comma 4 5 5" xfId="1561" xr:uid="{00000000-0005-0000-0000-0000460A0000}"/>
    <cellStyle name="Comma 4 5 5 2" xfId="3791" xr:uid="{00000000-0005-0000-0000-0000470A0000}"/>
    <cellStyle name="Comma 4 5 5 2 2" xfId="8013" xr:uid="{00000000-0005-0000-0000-0000480A0000}"/>
    <cellStyle name="Comma 4 5 5 2 2 2" xfId="17339" xr:uid="{5F0925E2-78A1-4B3F-A345-70875B7D5ACC}"/>
    <cellStyle name="Comma 4 5 5 2 3" xfId="13122" xr:uid="{EC749221-424B-4992-AE3A-B2E83D610EDA}"/>
    <cellStyle name="Comma 4 5 5 3" xfId="5868" xr:uid="{00000000-0005-0000-0000-0000490A0000}"/>
    <cellStyle name="Comma 4 5 5 3 2" xfId="15194" xr:uid="{58F11806-55E1-4B22-A5C8-4EBFBB0803D5}"/>
    <cellStyle name="Comma 4 5 5 4" xfId="10977" xr:uid="{71719986-E562-4017-982F-96F08D956090}"/>
    <cellStyle name="Comma 4 5 6" xfId="1975" xr:uid="{00000000-0005-0000-0000-00004A0A0000}"/>
    <cellStyle name="Comma 4 5 6 2" xfId="4204" xr:uid="{00000000-0005-0000-0000-00004B0A0000}"/>
    <cellStyle name="Comma 4 5 6 2 2" xfId="8426" xr:uid="{00000000-0005-0000-0000-00004C0A0000}"/>
    <cellStyle name="Comma 4 5 6 2 2 2" xfId="17752" xr:uid="{879F71C9-5828-4E09-AC28-CF74E23BDDB9}"/>
    <cellStyle name="Comma 4 5 6 2 3" xfId="13535" xr:uid="{C1569707-A34E-408E-B77E-28724ABACA85}"/>
    <cellStyle name="Comma 4 5 6 3" xfId="6281" xr:uid="{00000000-0005-0000-0000-00004D0A0000}"/>
    <cellStyle name="Comma 4 5 6 3 2" xfId="15607" xr:uid="{A6ADDBAD-0E9C-4EFF-AD33-2A27FD3E2D42}"/>
    <cellStyle name="Comma 4 5 6 4" xfId="11390" xr:uid="{33C2C397-57B6-43F0-86A6-380FDAE3A1A4}"/>
    <cellStyle name="Comma 4 5 7" xfId="2410" xr:uid="{00000000-0005-0000-0000-00004E0A0000}"/>
    <cellStyle name="Comma 4 5 7 2" xfId="6694" xr:uid="{00000000-0005-0000-0000-00004F0A0000}"/>
    <cellStyle name="Comma 4 5 7 2 2" xfId="16020" xr:uid="{B2DA0A55-52BE-4B0B-8BB2-F7D9E3673259}"/>
    <cellStyle name="Comma 4 5 7 3" xfId="11803" xr:uid="{41B66BA5-0EB1-4DBE-A9D5-8C94D40B7BF2}"/>
    <cellStyle name="Comma 4 5 8" xfId="2706" xr:uid="{00000000-0005-0000-0000-0000500A0000}"/>
    <cellStyle name="Comma 4 5 9" xfId="2788" xr:uid="{00000000-0005-0000-0000-0000510A0000}"/>
    <cellStyle name="Comma 4 5 9 2" xfId="7011" xr:uid="{00000000-0005-0000-0000-0000520A0000}"/>
    <cellStyle name="Comma 4 5 9 2 2" xfId="16337" xr:uid="{2ABA1DA5-C5DD-44D4-891A-76873B9517A1}"/>
    <cellStyle name="Comma 4 5 9 3" xfId="12120" xr:uid="{5CDD4853-A4C2-4761-8247-918022F8E335}"/>
    <cellStyle name="Comma 4 6" xfId="159" xr:uid="{00000000-0005-0000-0000-0000530A0000}"/>
    <cellStyle name="Comma 4 6 10" xfId="8965" xr:uid="{FDA33E7D-96B8-46F2-87D8-5CB6C30A4CC6}"/>
    <cellStyle name="Comma 4 6 10 2" xfId="18289" xr:uid="{5C61E292-548D-404A-AB5A-CE0A390918C0}"/>
    <cellStyle name="Comma 4 6 11" xfId="9739" xr:uid="{784B72E1-4099-4B57-B47E-C73EFE44A7D6}"/>
    <cellStyle name="Comma 4 6 2" xfId="696" xr:uid="{00000000-0005-0000-0000-0000540A0000}"/>
    <cellStyle name="Comma 4 6 2 2" xfId="2967" xr:uid="{00000000-0005-0000-0000-0000550A0000}"/>
    <cellStyle name="Comma 4 6 2 2 2" xfId="7189" xr:uid="{00000000-0005-0000-0000-0000560A0000}"/>
    <cellStyle name="Comma 4 6 2 2 2 2" xfId="16515" xr:uid="{4B44AA4F-1027-4627-8CB4-2A3361F23646}"/>
    <cellStyle name="Comma 4 6 2 2 3" xfId="12298" xr:uid="{85303EFD-F0F2-48EE-9ADE-A705DFDA7B95}"/>
    <cellStyle name="Comma 4 6 2 3" xfId="5044" xr:uid="{00000000-0005-0000-0000-0000570A0000}"/>
    <cellStyle name="Comma 4 6 2 3 2" xfId="14370" xr:uid="{ABBEC070-54EC-49C8-B5E9-27742786542C}"/>
    <cellStyle name="Comma 4 6 2 4" xfId="9390" xr:uid="{F8012948-A58F-476A-B4CF-A63C8F36D5B6}"/>
    <cellStyle name="Comma 4 6 2 4 2" xfId="18705" xr:uid="{6650EF33-48E9-4E38-BD35-92252BBBF6D4}"/>
    <cellStyle name="Comma 4 6 2 5" xfId="10153" xr:uid="{DBB721B6-7BF1-4273-BCF4-BDA1FAAE6CCC}"/>
    <cellStyle name="Comma 4 6 3" xfId="1149" xr:uid="{00000000-0005-0000-0000-0000580A0000}"/>
    <cellStyle name="Comma 4 6 3 2" xfId="3380" xr:uid="{00000000-0005-0000-0000-0000590A0000}"/>
    <cellStyle name="Comma 4 6 3 2 2" xfId="7602" xr:uid="{00000000-0005-0000-0000-00005A0A0000}"/>
    <cellStyle name="Comma 4 6 3 2 2 2" xfId="16928" xr:uid="{0C94C1A5-A660-4F47-AE56-29FA541A889E}"/>
    <cellStyle name="Comma 4 6 3 2 3" xfId="12711" xr:uid="{90580261-279B-4275-9E38-D4F996BFF72D}"/>
    <cellStyle name="Comma 4 6 3 3" xfId="5457" xr:uid="{00000000-0005-0000-0000-00005B0A0000}"/>
    <cellStyle name="Comma 4 6 3 3 2" xfId="14783" xr:uid="{D40DB957-EC18-4C15-B667-D97611E53B42}"/>
    <cellStyle name="Comma 4 6 3 4" xfId="10566" xr:uid="{A5435A56-4FA8-4747-BDC0-F72A7CABBAE4}"/>
    <cellStyle name="Comma 4 6 4" xfId="1563" xr:uid="{00000000-0005-0000-0000-00005C0A0000}"/>
    <cellStyle name="Comma 4 6 4 2" xfId="3793" xr:uid="{00000000-0005-0000-0000-00005D0A0000}"/>
    <cellStyle name="Comma 4 6 4 2 2" xfId="8015" xr:uid="{00000000-0005-0000-0000-00005E0A0000}"/>
    <cellStyle name="Comma 4 6 4 2 2 2" xfId="17341" xr:uid="{A0730282-FFDE-47B0-A109-CF9FFFB42DB1}"/>
    <cellStyle name="Comma 4 6 4 2 3" xfId="13124" xr:uid="{33CA23B2-2F2D-4643-B620-53424C948DF5}"/>
    <cellStyle name="Comma 4 6 4 3" xfId="5870" xr:uid="{00000000-0005-0000-0000-00005F0A0000}"/>
    <cellStyle name="Comma 4 6 4 3 2" xfId="15196" xr:uid="{656A3532-C48A-4531-BF7F-BE613589B81B}"/>
    <cellStyle name="Comma 4 6 4 4" xfId="10979" xr:uid="{988DA8BF-B6E2-4340-A19D-EB5EC5D6D2F0}"/>
    <cellStyle name="Comma 4 6 5" xfId="1977" xr:uid="{00000000-0005-0000-0000-0000600A0000}"/>
    <cellStyle name="Comma 4 6 5 2" xfId="4206" xr:uid="{00000000-0005-0000-0000-0000610A0000}"/>
    <cellStyle name="Comma 4 6 5 2 2" xfId="8428" xr:uid="{00000000-0005-0000-0000-0000620A0000}"/>
    <cellStyle name="Comma 4 6 5 2 2 2" xfId="17754" xr:uid="{D3B70704-7882-48DF-87A9-966282286293}"/>
    <cellStyle name="Comma 4 6 5 2 3" xfId="13537" xr:uid="{C66530C7-FD66-49EB-ACEE-FE7AEA3650D2}"/>
    <cellStyle name="Comma 4 6 5 3" xfId="6283" xr:uid="{00000000-0005-0000-0000-0000630A0000}"/>
    <cellStyle name="Comma 4 6 5 3 2" xfId="15609" xr:uid="{1EE271B3-F1EA-453F-8E87-9CBEDFF0E99D}"/>
    <cellStyle name="Comma 4 6 5 4" xfId="11392" xr:uid="{B6A5E6F7-CE13-4693-BEE8-C937ADAB2CB0}"/>
    <cellStyle name="Comma 4 6 6" xfId="2412" xr:uid="{00000000-0005-0000-0000-0000640A0000}"/>
    <cellStyle name="Comma 4 6 6 2" xfId="6696" xr:uid="{00000000-0005-0000-0000-0000650A0000}"/>
    <cellStyle name="Comma 4 6 6 2 2" xfId="16022" xr:uid="{6156C3B3-DC8D-4224-A148-643FCDF8A027}"/>
    <cellStyle name="Comma 4 6 6 3" xfId="11805" xr:uid="{EEECE6E2-E55E-4B31-89C4-7DC12E3A72C5}"/>
    <cellStyle name="Comma 4 6 7" xfId="2708" xr:uid="{00000000-0005-0000-0000-0000660A0000}"/>
    <cellStyle name="Comma 4 6 8" xfId="2790" xr:uid="{00000000-0005-0000-0000-0000670A0000}"/>
    <cellStyle name="Comma 4 6 8 2" xfId="7013" xr:uid="{00000000-0005-0000-0000-0000680A0000}"/>
    <cellStyle name="Comma 4 6 8 2 2" xfId="16339" xr:uid="{77BACE97-D3BE-4219-8076-415CDA08FADC}"/>
    <cellStyle name="Comma 4 6 8 3" xfId="12122" xr:uid="{C57B941E-CABA-4AB9-BDAD-DEE473072C21}"/>
    <cellStyle name="Comma 4 6 9" xfId="4630" xr:uid="{00000000-0005-0000-0000-0000690A0000}"/>
    <cellStyle name="Comma 4 6 9 2" xfId="13956" xr:uid="{81E1C200-105D-4B8C-9AAA-50953C3DA9EA}"/>
    <cellStyle name="Comma 4 7" xfId="160" xr:uid="{00000000-0005-0000-0000-00006A0A0000}"/>
    <cellStyle name="Comma 4 7 10" xfId="9168" xr:uid="{C5EF0C72-87BD-43A9-8A23-92F9D9423F50}"/>
    <cellStyle name="Comma 4 7 10 2" xfId="18486" xr:uid="{BA370E7C-6B48-4EB3-81DF-96EC47685AAA}"/>
    <cellStyle name="Comma 4 7 11" xfId="9740" xr:uid="{4D477765-1CA8-400B-B689-3E08EDE0F42C}"/>
    <cellStyle name="Comma 4 7 2" xfId="697" xr:uid="{00000000-0005-0000-0000-00006B0A0000}"/>
    <cellStyle name="Comma 4 7 2 2" xfId="2968" xr:uid="{00000000-0005-0000-0000-00006C0A0000}"/>
    <cellStyle name="Comma 4 7 2 2 2" xfId="7190" xr:uid="{00000000-0005-0000-0000-00006D0A0000}"/>
    <cellStyle name="Comma 4 7 2 2 2 2" xfId="16516" xr:uid="{793D5ADE-8D7C-4B12-AA2B-42C7E4A3F289}"/>
    <cellStyle name="Comma 4 7 2 2 3" xfId="12299" xr:uid="{0725B758-9FF2-44C0-B9D0-4B969C2992FA}"/>
    <cellStyle name="Comma 4 7 2 3" xfId="5045" xr:uid="{00000000-0005-0000-0000-00006E0A0000}"/>
    <cellStyle name="Comma 4 7 2 3 2" xfId="14371" xr:uid="{F8173F72-2496-48A1-A558-E41627D8BB13}"/>
    <cellStyle name="Comma 4 7 2 4" xfId="9596" xr:uid="{F4A1C070-02C1-4F2A-89F2-15465D9BEBB2}"/>
    <cellStyle name="Comma 4 7 2 4 2" xfId="18900" xr:uid="{5011E47A-C549-4FB4-8361-CB3E810DE5FE}"/>
    <cellStyle name="Comma 4 7 2 5" xfId="10154" xr:uid="{C3870183-F9F4-45E1-8D13-D1B49A5695D6}"/>
    <cellStyle name="Comma 4 7 3" xfId="1150" xr:uid="{00000000-0005-0000-0000-00006F0A0000}"/>
    <cellStyle name="Comma 4 7 3 2" xfId="3381" xr:uid="{00000000-0005-0000-0000-0000700A0000}"/>
    <cellStyle name="Comma 4 7 3 2 2" xfId="7603" xr:uid="{00000000-0005-0000-0000-0000710A0000}"/>
    <cellStyle name="Comma 4 7 3 2 2 2" xfId="16929" xr:uid="{548B90B6-8A51-4843-91E8-F4F401C58097}"/>
    <cellStyle name="Comma 4 7 3 2 3" xfId="12712" xr:uid="{2F1D0238-F3BD-42A3-B5FE-9F9BD4454299}"/>
    <cellStyle name="Comma 4 7 3 3" xfId="5458" xr:uid="{00000000-0005-0000-0000-0000720A0000}"/>
    <cellStyle name="Comma 4 7 3 3 2" xfId="14784" xr:uid="{F7F59F6C-14D5-490E-B676-F32512139A0B}"/>
    <cellStyle name="Comma 4 7 3 4" xfId="10567" xr:uid="{E10BC3FB-689C-474D-A0A7-42D635C5FFDA}"/>
    <cellStyle name="Comma 4 7 4" xfId="1564" xr:uid="{00000000-0005-0000-0000-0000730A0000}"/>
    <cellStyle name="Comma 4 7 4 2" xfId="3794" xr:uid="{00000000-0005-0000-0000-0000740A0000}"/>
    <cellStyle name="Comma 4 7 4 2 2" xfId="8016" xr:uid="{00000000-0005-0000-0000-0000750A0000}"/>
    <cellStyle name="Comma 4 7 4 2 2 2" xfId="17342" xr:uid="{4D14372B-59E0-455E-89EA-8A749B66CA3E}"/>
    <cellStyle name="Comma 4 7 4 2 3" xfId="13125" xr:uid="{A1AAE44E-AC6A-43A8-BFEE-996C29CAA67C}"/>
    <cellStyle name="Comma 4 7 4 3" xfId="5871" xr:uid="{00000000-0005-0000-0000-0000760A0000}"/>
    <cellStyle name="Comma 4 7 4 3 2" xfId="15197" xr:uid="{1108505C-D4F6-4794-BD59-3E9AE692A66D}"/>
    <cellStyle name="Comma 4 7 4 4" xfId="10980" xr:uid="{32F28419-ADE1-48A5-BF15-93BE30F52031}"/>
    <cellStyle name="Comma 4 7 5" xfId="1978" xr:uid="{00000000-0005-0000-0000-0000770A0000}"/>
    <cellStyle name="Comma 4 7 5 2" xfId="4207" xr:uid="{00000000-0005-0000-0000-0000780A0000}"/>
    <cellStyle name="Comma 4 7 5 2 2" xfId="8429" xr:uid="{00000000-0005-0000-0000-0000790A0000}"/>
    <cellStyle name="Comma 4 7 5 2 2 2" xfId="17755" xr:uid="{FF8FB194-99F8-47DC-B3D7-1F9A2CD8F5F4}"/>
    <cellStyle name="Comma 4 7 5 2 3" xfId="13538" xr:uid="{23029FBD-1B80-4056-9D55-6E7359FB2D5D}"/>
    <cellStyle name="Comma 4 7 5 3" xfId="6284" xr:uid="{00000000-0005-0000-0000-00007A0A0000}"/>
    <cellStyle name="Comma 4 7 5 3 2" xfId="15610" xr:uid="{F813A39D-ABFE-4584-A85C-CB83062C0AA6}"/>
    <cellStyle name="Comma 4 7 5 4" xfId="11393" xr:uid="{558483BC-7AC5-4F4D-A8F5-70C1566B963E}"/>
    <cellStyle name="Comma 4 7 6" xfId="2413" xr:uid="{00000000-0005-0000-0000-00007B0A0000}"/>
    <cellStyle name="Comma 4 7 6 2" xfId="6697" xr:uid="{00000000-0005-0000-0000-00007C0A0000}"/>
    <cellStyle name="Comma 4 7 6 2 2" xfId="16023" xr:uid="{168BF4DF-CA9C-4748-A645-6C6082830624}"/>
    <cellStyle name="Comma 4 7 6 3" xfId="11806" xr:uid="{DB748B65-757B-44C1-950D-063C12059650}"/>
    <cellStyle name="Comma 4 7 7" xfId="2709" xr:uid="{00000000-0005-0000-0000-00007D0A0000}"/>
    <cellStyle name="Comma 4 7 8" xfId="2791" xr:uid="{00000000-0005-0000-0000-00007E0A0000}"/>
    <cellStyle name="Comma 4 7 8 2" xfId="7014" xr:uid="{00000000-0005-0000-0000-00007F0A0000}"/>
    <cellStyle name="Comma 4 7 8 2 2" xfId="16340" xr:uid="{E8EDF706-BA76-4C81-B4CF-A14DDA4D4A37}"/>
    <cellStyle name="Comma 4 7 8 3" xfId="12123" xr:uid="{280A52E5-0B94-4698-89F9-145ED84EEC8E}"/>
    <cellStyle name="Comma 4 7 9" xfId="4631" xr:uid="{00000000-0005-0000-0000-0000800A0000}"/>
    <cellStyle name="Comma 4 7 9 2" xfId="13957" xr:uid="{DC4B22CB-D862-4A81-97E8-B8EC448A442A}"/>
    <cellStyle name="Comma 4 8" xfId="9193" xr:uid="{D2F7B7D5-1187-4B94-96D8-1D61B28E4E34}"/>
    <cellStyle name="Comma 4 9" xfId="8746" xr:uid="{EB6F8E1D-15EE-4A1C-A7FF-36C2A43F5A26}"/>
    <cellStyle name="Comma 4 9 2" xfId="18070" xr:uid="{62B8EBE4-EBBE-48F6-A951-2A47BE8C500E}"/>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2 2" xfId="18895" xr:uid="{1B0144B3-AAEF-41FE-BBB3-0FF449B8B76B}"/>
    <cellStyle name="Comma 7 3" xfId="9589" xr:uid="{E5FB568C-33F4-49EE-BE6E-4022B43BCBB9}"/>
    <cellStyle name="Comma 7 4" xfId="13825" xr:uid="{975A7018-AFD5-4CFA-8C56-FE615C22996E}"/>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8042" xr:uid="{2471CDA7-ACBB-4D10-A95E-9EC7D3497E19}"/>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2 2" xfId="18061" xr:uid="{C37DD33F-81D3-4D81-A8CD-4163BF736EF1}"/>
    <cellStyle name="Currency 14 3 2 2 2 2 3" xfId="18058" xr:uid="{5B9F9D93-86B4-4B9C-95AC-EE0B618BC20F}"/>
    <cellStyle name="Currency 14 3 2 2 2 3" xfId="18055" xr:uid="{B3AE4506-F6B3-4C3D-85F6-2EB39F63A050}"/>
    <cellStyle name="Currency 14 3 2 2 3" xfId="18051" xr:uid="{E543CBA2-184F-4597-A657-1689DCF910CA}"/>
    <cellStyle name="Currency 14 3 2 3" xfId="18048" xr:uid="{01AD61AE-D9C6-4DE7-ABAF-E353CA4C2379}"/>
    <cellStyle name="Currency 14 3 3" xfId="18045" xr:uid="{C039A500-D012-4BFC-A7C9-C5844EAA7E79}"/>
    <cellStyle name="Currency 14 4" xfId="13828" xr:uid="{3198FBC4-3B90-4FED-BE53-941D5197AAA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341" xr:uid="{DA103539-5DE4-4379-891F-35C8B1B20599}"/>
    <cellStyle name="Currency 3 2 2 10 3" xfId="12124" xr:uid="{54C2567F-4561-436A-8C29-1C9A0737E6DD}"/>
    <cellStyle name="Currency 3 2 2 11" xfId="4632" xr:uid="{00000000-0005-0000-0000-0000A50A0000}"/>
    <cellStyle name="Currency 3 2 2 11 2" xfId="13958" xr:uid="{7701A5B8-0725-4840-B973-FD0D2D0ECAF1}"/>
    <cellStyle name="Currency 3 2 2 12" xfId="8808" xr:uid="{5CD24693-181E-456A-9199-DC057509AC96}"/>
    <cellStyle name="Currency 3 2 2 12 2" xfId="18132" xr:uid="{CCB82587-15C1-4A05-BF56-CBF59DE7773D}"/>
    <cellStyle name="Currency 3 2 2 13" xfId="9741" xr:uid="{72EAD4BA-A684-479D-B319-20667A852423}"/>
    <cellStyle name="Currency 3 2 2 2" xfId="179" xr:uid="{00000000-0005-0000-0000-0000A60A0000}"/>
    <cellStyle name="Currency 3 2 2 2 10" xfId="4633" xr:uid="{00000000-0005-0000-0000-0000A70A0000}"/>
    <cellStyle name="Currency 3 2 2 2 10 2" xfId="13959" xr:uid="{41E44D19-CB36-41A1-9132-6355F2BAA12D}"/>
    <cellStyle name="Currency 3 2 2 2 11" xfId="8911" xr:uid="{177A45F7-B130-49DA-829A-AA3BF41B848C}"/>
    <cellStyle name="Currency 3 2 2 2 11 2" xfId="18235" xr:uid="{D9673F2F-550F-4B44-9DE8-4F66C4F2AE0E}"/>
    <cellStyle name="Currency 3 2 2 2 12" xfId="9742" xr:uid="{282E2F9D-9C90-4E98-BCD1-94CEC239B7AE}"/>
    <cellStyle name="Currency 3 2 2 2 2" xfId="180" xr:uid="{00000000-0005-0000-0000-0000A80A0000}"/>
    <cellStyle name="Currency 3 2 2 2 2 10" xfId="9118" xr:uid="{4DDBDF88-B997-49F5-AF34-322CC93508E5}"/>
    <cellStyle name="Currency 3 2 2 2 2 10 2" xfId="18442" xr:uid="{C9F6D48C-F9A5-4320-82E4-0A85A48E412F}"/>
    <cellStyle name="Currency 3 2 2 2 2 11" xfId="9743" xr:uid="{CF2C4746-D466-47AD-B76F-B93904694696}"/>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519" xr:uid="{1FB819FB-EA33-4E9D-AFDA-33EC86A69532}"/>
    <cellStyle name="Currency 3 2 2 2 2 2 2 3" xfId="12302" xr:uid="{8C048B8B-AA96-43B0-8D61-A624E69C0937}"/>
    <cellStyle name="Currency 3 2 2 2 2 2 3" xfId="5048" xr:uid="{00000000-0005-0000-0000-0000AC0A0000}"/>
    <cellStyle name="Currency 3 2 2 2 2 2 3 2" xfId="14374" xr:uid="{461D55BF-BC0F-4B74-8FAF-639A8C3B34E4}"/>
    <cellStyle name="Currency 3 2 2 2 2 2 4" xfId="9543" xr:uid="{08990697-BAC1-4B06-A86B-C554A35267E6}"/>
    <cellStyle name="Currency 3 2 2 2 2 2 4 2" xfId="18858" xr:uid="{F920D92D-F764-42F0-8CDA-A45CF25BDC8C}"/>
    <cellStyle name="Currency 3 2 2 2 2 2 5" xfId="10157" xr:uid="{1DAB6C77-0DC5-44E9-836F-B5E111650969}"/>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932" xr:uid="{6229E348-03E4-4549-B231-3AEECDD521C1}"/>
    <cellStyle name="Currency 3 2 2 2 2 3 2 3" xfId="12715" xr:uid="{2955AE01-A599-4EC1-B2AD-61117FEAB668}"/>
    <cellStyle name="Currency 3 2 2 2 2 3 3" xfId="5461" xr:uid="{00000000-0005-0000-0000-0000B00A0000}"/>
    <cellStyle name="Currency 3 2 2 2 2 3 3 2" xfId="14787" xr:uid="{E7DD5843-4C8D-4A9E-9475-120196E22F88}"/>
    <cellStyle name="Currency 3 2 2 2 2 3 4" xfId="10570" xr:uid="{A5E91A9A-FA82-471E-8D3C-38EAFE70B1C3}"/>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45" xr:uid="{43AF862D-83D3-4FEA-99CC-4AC6F888CC8C}"/>
    <cellStyle name="Currency 3 2 2 2 2 4 2 3" xfId="13128" xr:uid="{2E78771B-3932-4835-BAC8-8C1F34322E25}"/>
    <cellStyle name="Currency 3 2 2 2 2 4 3" xfId="5874" xr:uid="{00000000-0005-0000-0000-0000B40A0000}"/>
    <cellStyle name="Currency 3 2 2 2 2 4 3 2" xfId="15200" xr:uid="{838C1669-7EC6-4138-ABC9-6F86960D797C}"/>
    <cellStyle name="Currency 3 2 2 2 2 4 4" xfId="10983" xr:uid="{885B681B-CDB9-4412-98BE-4F030FA70B83}"/>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58" xr:uid="{171903AA-2A8D-4FCF-A525-6E48A0301C91}"/>
    <cellStyle name="Currency 3 2 2 2 2 5 2 3" xfId="13541" xr:uid="{E28628CE-0343-4982-B765-42B1E2546AA2}"/>
    <cellStyle name="Currency 3 2 2 2 2 5 3" xfId="6287" xr:uid="{00000000-0005-0000-0000-0000B80A0000}"/>
    <cellStyle name="Currency 3 2 2 2 2 5 3 2" xfId="15613" xr:uid="{47CE85B2-2DED-4AD8-B4D1-16017594FCFF}"/>
    <cellStyle name="Currency 3 2 2 2 2 5 4" xfId="11396" xr:uid="{D54C8BA7-4C71-499F-BA0D-7DB31F92EC2A}"/>
    <cellStyle name="Currency 3 2 2 2 2 6" xfId="2416" xr:uid="{00000000-0005-0000-0000-0000B90A0000}"/>
    <cellStyle name="Currency 3 2 2 2 2 6 2" xfId="6700" xr:uid="{00000000-0005-0000-0000-0000BA0A0000}"/>
    <cellStyle name="Currency 3 2 2 2 2 6 2 2" xfId="16026" xr:uid="{33F0C41E-0245-4357-AD0D-AD87D55A7A67}"/>
    <cellStyle name="Currency 3 2 2 2 2 6 3" xfId="11809" xr:uid="{1FDF05AA-48FD-4E5C-8BE5-EC54DD7624D2}"/>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343" xr:uid="{7C61E2B9-51FA-4D82-98A2-7953805B649B}"/>
    <cellStyle name="Currency 3 2 2 2 2 8 3" xfId="12126" xr:uid="{F3D640B6-3E86-4B60-AF5C-9E51DB9C9959}"/>
    <cellStyle name="Currency 3 2 2 2 2 9" xfId="4634" xr:uid="{00000000-0005-0000-0000-0000BE0A0000}"/>
    <cellStyle name="Currency 3 2 2 2 2 9 2" xfId="13960" xr:uid="{D14F4078-FE39-4948-832E-367C9CBA0F48}"/>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518" xr:uid="{D3633223-C8F6-4ACA-A16B-D63CB621A8ED}"/>
    <cellStyle name="Currency 3 2 2 2 3 2 3" xfId="12301" xr:uid="{94872C1E-AFDC-4850-A944-82C4DEB3B7F3}"/>
    <cellStyle name="Currency 3 2 2 2 3 3" xfId="5047" xr:uid="{00000000-0005-0000-0000-0000C20A0000}"/>
    <cellStyle name="Currency 3 2 2 2 3 3 2" xfId="14373" xr:uid="{80EA89C2-7034-4C13-9025-7381755B5D51}"/>
    <cellStyle name="Currency 3 2 2 2 3 4" xfId="9336" xr:uid="{F86D5454-A503-484B-B8F3-81FF219E49D0}"/>
    <cellStyle name="Currency 3 2 2 2 3 4 2" xfId="18651" xr:uid="{407F1D5E-D22C-47DB-9EF0-8B0205504D4A}"/>
    <cellStyle name="Currency 3 2 2 2 3 5" xfId="10156" xr:uid="{F7B45EE5-4EA1-4B7A-AA15-6D07F51526A8}"/>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931" xr:uid="{033FE439-3300-4F71-A1F9-25ED7755EE86}"/>
    <cellStyle name="Currency 3 2 2 2 4 2 3" xfId="12714" xr:uid="{17D1393E-DF74-4846-AF38-80DF9F483963}"/>
    <cellStyle name="Currency 3 2 2 2 4 3" xfId="5460" xr:uid="{00000000-0005-0000-0000-0000C60A0000}"/>
    <cellStyle name="Currency 3 2 2 2 4 3 2" xfId="14786" xr:uid="{F66F0DB4-4719-4918-8693-355CADD812F1}"/>
    <cellStyle name="Currency 3 2 2 2 4 4" xfId="10569" xr:uid="{C67493EF-4A97-4064-A8B9-E0196F526642}"/>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44" xr:uid="{4ACBAC85-7839-4B5E-A062-E002540B90DB}"/>
    <cellStyle name="Currency 3 2 2 2 5 2 3" xfId="13127" xr:uid="{7572338C-60E4-4A6C-963B-B6BAFC29105F}"/>
    <cellStyle name="Currency 3 2 2 2 5 3" xfId="5873" xr:uid="{00000000-0005-0000-0000-0000CA0A0000}"/>
    <cellStyle name="Currency 3 2 2 2 5 3 2" xfId="15199" xr:uid="{BA0F5D73-E1BA-44A6-9E19-F7B20619F674}"/>
    <cellStyle name="Currency 3 2 2 2 5 4" xfId="10982" xr:uid="{57EF7D4E-C282-461D-BA70-9FD789455C88}"/>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57" xr:uid="{DCA5F683-D8B2-4F88-AB61-FA5D54199E18}"/>
    <cellStyle name="Currency 3 2 2 2 6 2 3" xfId="13540" xr:uid="{C103F166-D235-4E35-AD4F-6D0B96EB592B}"/>
    <cellStyle name="Currency 3 2 2 2 6 3" xfId="6286" xr:uid="{00000000-0005-0000-0000-0000CE0A0000}"/>
    <cellStyle name="Currency 3 2 2 2 6 3 2" xfId="15612" xr:uid="{1DE43BE1-6BC2-4C73-B5B6-16BFF1E6E66D}"/>
    <cellStyle name="Currency 3 2 2 2 6 4" xfId="11395" xr:uid="{72793D37-EB44-493F-92C2-D631FCAD7689}"/>
    <cellStyle name="Currency 3 2 2 2 7" xfId="2415" xr:uid="{00000000-0005-0000-0000-0000CF0A0000}"/>
    <cellStyle name="Currency 3 2 2 2 7 2" xfId="6699" xr:uid="{00000000-0005-0000-0000-0000D00A0000}"/>
    <cellStyle name="Currency 3 2 2 2 7 2 2" xfId="16025" xr:uid="{612BF513-2171-4463-94B5-7773321F456B}"/>
    <cellStyle name="Currency 3 2 2 2 7 3" xfId="11808" xr:uid="{84983B1B-B050-43B3-B830-D8C46C1F60B8}"/>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342" xr:uid="{2ECA1BBD-2BB9-4B1C-8513-4C2F4275DB3D}"/>
    <cellStyle name="Currency 3 2 2 2 9 3" xfId="12125" xr:uid="{D3E3E150-E04D-4871-9DAC-90235AC072C8}"/>
    <cellStyle name="Currency 3 2 2 3" xfId="181" xr:uid="{00000000-0005-0000-0000-0000D40A0000}"/>
    <cellStyle name="Currency 3 2 2 3 10" xfId="9015" xr:uid="{A1C3FAFC-6FB9-45C5-A279-C90E61794A63}"/>
    <cellStyle name="Currency 3 2 2 3 10 2" xfId="18339" xr:uid="{D0BDDBBB-A56F-4769-BD94-6E0F5AFAAC82}"/>
    <cellStyle name="Currency 3 2 2 3 11" xfId="9744" xr:uid="{2973DFAD-E5C8-40D7-AA55-C7F2FA04E875}"/>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520" xr:uid="{1D022541-09AA-4996-846B-50C7F734A002}"/>
    <cellStyle name="Currency 3 2 2 3 2 2 3" xfId="12303" xr:uid="{3A824BF8-92AB-4061-A110-D59E5532AB07}"/>
    <cellStyle name="Currency 3 2 2 3 2 3" xfId="5049" xr:uid="{00000000-0005-0000-0000-0000D80A0000}"/>
    <cellStyle name="Currency 3 2 2 3 2 3 2" xfId="14375" xr:uid="{B58E94F6-9B9F-4592-B867-2414F0E51DBD}"/>
    <cellStyle name="Currency 3 2 2 3 2 4" xfId="9440" xr:uid="{774D5512-BCA5-4224-A909-3336A63369C8}"/>
    <cellStyle name="Currency 3 2 2 3 2 4 2" xfId="18755" xr:uid="{28E49E51-136C-4201-AB19-DDF8E06AA12D}"/>
    <cellStyle name="Currency 3 2 2 3 2 5" xfId="10158" xr:uid="{AD7103AD-9409-4F37-9541-B123C48CB751}"/>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933" xr:uid="{D49B8622-7F33-4670-8BC9-F64ABD45EF67}"/>
    <cellStyle name="Currency 3 2 2 3 3 2 3" xfId="12716" xr:uid="{13307D7C-5459-492F-9F5E-536D3A827437}"/>
    <cellStyle name="Currency 3 2 2 3 3 3" xfId="5462" xr:uid="{00000000-0005-0000-0000-0000DC0A0000}"/>
    <cellStyle name="Currency 3 2 2 3 3 3 2" xfId="14788" xr:uid="{240D3BBE-EA16-49EA-97E8-DE02A3B4369E}"/>
    <cellStyle name="Currency 3 2 2 3 3 4" xfId="10571" xr:uid="{2FB88DB1-F67A-40A0-BB5A-8E1139857C94}"/>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46" xr:uid="{A65DFC19-ED5F-4424-A4B4-AD6AE4515E2A}"/>
    <cellStyle name="Currency 3 2 2 3 4 2 3" xfId="13129" xr:uid="{608FEB26-9969-4258-94F4-45F9C83BC08E}"/>
    <cellStyle name="Currency 3 2 2 3 4 3" xfId="5875" xr:uid="{00000000-0005-0000-0000-0000E00A0000}"/>
    <cellStyle name="Currency 3 2 2 3 4 3 2" xfId="15201" xr:uid="{54272F9B-93B5-4F29-8E57-CF53AF89DF6D}"/>
    <cellStyle name="Currency 3 2 2 3 4 4" xfId="10984" xr:uid="{F38E229F-114C-4BA4-A90A-74515BF589E1}"/>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59" xr:uid="{D122E46C-E5AD-450F-B98F-D499081A1A06}"/>
    <cellStyle name="Currency 3 2 2 3 5 2 3" xfId="13542" xr:uid="{C4DC08A0-199B-4070-A44B-71CB8106C127}"/>
    <cellStyle name="Currency 3 2 2 3 5 3" xfId="6288" xr:uid="{00000000-0005-0000-0000-0000E40A0000}"/>
    <cellStyle name="Currency 3 2 2 3 5 3 2" xfId="15614" xr:uid="{7328F540-4994-470E-B529-60837F09DDFF}"/>
    <cellStyle name="Currency 3 2 2 3 5 4" xfId="11397" xr:uid="{DC2ABE3F-950D-4B7A-A3A8-7B49E6CE383B}"/>
    <cellStyle name="Currency 3 2 2 3 6" xfId="2417" xr:uid="{00000000-0005-0000-0000-0000E50A0000}"/>
    <cellStyle name="Currency 3 2 2 3 6 2" xfId="6701" xr:uid="{00000000-0005-0000-0000-0000E60A0000}"/>
    <cellStyle name="Currency 3 2 2 3 6 2 2" xfId="16027" xr:uid="{88198D69-D42C-42D8-84F1-E81E54875240}"/>
    <cellStyle name="Currency 3 2 2 3 6 3" xfId="11810" xr:uid="{51D1E2C7-9799-46D1-825F-8F035F0CA89D}"/>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44" xr:uid="{85793E5B-9F17-4B14-95DC-5695F94DDDA0}"/>
    <cellStyle name="Currency 3 2 2 3 8 3" xfId="12127" xr:uid="{809EE852-52B8-43AB-87D1-E399D2487544}"/>
    <cellStyle name="Currency 3 2 2 3 9" xfId="4635" xr:uid="{00000000-0005-0000-0000-0000EA0A0000}"/>
    <cellStyle name="Currency 3 2 2 3 9 2" xfId="13961" xr:uid="{4BA8D40F-DC7A-4ED0-84BA-9938F9467926}"/>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517" xr:uid="{AFEA3FD3-42F7-4480-90FC-91E83EEB9F0F}"/>
    <cellStyle name="Currency 3 2 2 4 2 3" xfId="12300" xr:uid="{0849B4F6-B3FA-47B1-8699-8878401410F4}"/>
    <cellStyle name="Currency 3 2 2 4 3" xfId="5046" xr:uid="{00000000-0005-0000-0000-0000EE0A0000}"/>
    <cellStyle name="Currency 3 2 2 4 3 2" xfId="14372" xr:uid="{9F637FE9-A0BD-4A25-A569-B5DB86E092DC}"/>
    <cellStyle name="Currency 3 2 2 4 4" xfId="9233" xr:uid="{A90843BF-65B1-48E5-9C93-A2651D7B4B13}"/>
    <cellStyle name="Currency 3 2 2 4 4 2" xfId="18548" xr:uid="{B0F55799-8C80-4AA7-9650-7C4F8F11CF92}"/>
    <cellStyle name="Currency 3 2 2 4 5" xfId="10155" xr:uid="{3C79A55C-5EF2-409D-9D5C-C42E85A6F0F6}"/>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930" xr:uid="{C4C134A5-3E83-433F-B1DE-F7C53256A95C}"/>
    <cellStyle name="Currency 3 2 2 5 2 3" xfId="12713" xr:uid="{237A8FCE-128E-45CB-A482-C87DEB30A6DC}"/>
    <cellStyle name="Currency 3 2 2 5 3" xfId="5459" xr:uid="{00000000-0005-0000-0000-0000F20A0000}"/>
    <cellStyle name="Currency 3 2 2 5 3 2" xfId="14785" xr:uid="{ECD5ABE8-6581-4BF8-8455-8C0CEA1D2AE7}"/>
    <cellStyle name="Currency 3 2 2 5 4" xfId="10568" xr:uid="{459823F4-BE83-4D0C-9E7F-41A7F962AA2D}"/>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343" xr:uid="{D87DA9CA-2F82-472C-BF4B-2989D506F8EB}"/>
    <cellStyle name="Currency 3 2 2 6 2 3" xfId="13126" xr:uid="{A358D5F5-7472-4419-8C96-6331C7C92B94}"/>
    <cellStyle name="Currency 3 2 2 6 3" xfId="5872" xr:uid="{00000000-0005-0000-0000-0000F60A0000}"/>
    <cellStyle name="Currency 3 2 2 6 3 2" xfId="15198" xr:uid="{083A3C0B-E8F9-4A62-B560-DAC8F2BFA3C6}"/>
    <cellStyle name="Currency 3 2 2 6 4" xfId="10981" xr:uid="{BC9B3677-01F5-4690-B017-604D27E1B5DA}"/>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56" xr:uid="{74B06AB8-BE13-4C02-896C-1EC1DC91A308}"/>
    <cellStyle name="Currency 3 2 2 7 2 3" xfId="13539" xr:uid="{37C7555D-34BD-4DEF-A8BA-30D0BC24AD99}"/>
    <cellStyle name="Currency 3 2 2 7 3" xfId="6285" xr:uid="{00000000-0005-0000-0000-0000FA0A0000}"/>
    <cellStyle name="Currency 3 2 2 7 3 2" xfId="15611" xr:uid="{BF325DBF-B506-4F3F-B8E3-A2B7A549A2A2}"/>
    <cellStyle name="Currency 3 2 2 7 4" xfId="11394" xr:uid="{B56FA24F-25A8-48EE-96E4-3108E22E3341}"/>
    <cellStyle name="Currency 3 2 2 8" xfId="2414" xr:uid="{00000000-0005-0000-0000-0000FB0A0000}"/>
    <cellStyle name="Currency 3 2 2 8 2" xfId="6698" xr:uid="{00000000-0005-0000-0000-0000FC0A0000}"/>
    <cellStyle name="Currency 3 2 2 8 2 2" xfId="16024" xr:uid="{2679D70F-EC22-436A-9107-D3FC71B91169}"/>
    <cellStyle name="Currency 3 2 2 8 3" xfId="11807" xr:uid="{427D0898-9A83-46B5-A09E-F218BB88DABC}"/>
    <cellStyle name="Currency 3 2 2 9" xfId="2711" xr:uid="{00000000-0005-0000-0000-0000FD0A0000}"/>
    <cellStyle name="Currency 3 2 3" xfId="182" xr:uid="{00000000-0005-0000-0000-0000FE0A0000}"/>
    <cellStyle name="Currency 3 2 3 10" xfId="4636" xr:uid="{00000000-0005-0000-0000-0000FF0A0000}"/>
    <cellStyle name="Currency 3 2 3 10 2" xfId="13962" xr:uid="{99D602B3-C43C-4B9B-A326-55E53EEF95F9}"/>
    <cellStyle name="Currency 3 2 3 11" xfId="8893" xr:uid="{8CE28714-D587-402C-9A17-1A08799662D4}"/>
    <cellStyle name="Currency 3 2 3 11 2" xfId="18217" xr:uid="{8315F2C4-6BAF-4C59-96DA-BCF8D7D525DA}"/>
    <cellStyle name="Currency 3 2 3 12" xfId="9745" xr:uid="{847D0FE2-053B-441F-8A4B-1F336BA5B2DB}"/>
    <cellStyle name="Currency 3 2 3 2" xfId="183" xr:uid="{00000000-0005-0000-0000-0000000B0000}"/>
    <cellStyle name="Currency 3 2 3 2 10" xfId="9100" xr:uid="{CEBE1F40-0923-46C6-AB84-DD4DAB20CD81}"/>
    <cellStyle name="Currency 3 2 3 2 10 2" xfId="18424" xr:uid="{F4958CCB-2B25-4FDF-9CB5-CA82D346C9BF}"/>
    <cellStyle name="Currency 3 2 3 2 11" xfId="9746" xr:uid="{AE26DE59-20B0-4ACB-BC31-5513E437F52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522" xr:uid="{CB88DE08-C2B2-4A2E-9A0B-50B87E65C8CB}"/>
    <cellStyle name="Currency 3 2 3 2 2 2 3" xfId="12305" xr:uid="{62401D30-7064-4DF9-B138-CC9E3062D16A}"/>
    <cellStyle name="Currency 3 2 3 2 2 3" xfId="5051" xr:uid="{00000000-0005-0000-0000-0000040B0000}"/>
    <cellStyle name="Currency 3 2 3 2 2 3 2" xfId="14377" xr:uid="{9A261817-A4E1-47F6-8BD9-5BA4A83CE9B7}"/>
    <cellStyle name="Currency 3 2 3 2 2 4" xfId="9525" xr:uid="{759374BA-DDD8-4F33-9655-B300986F8700}"/>
    <cellStyle name="Currency 3 2 3 2 2 4 2" xfId="18840" xr:uid="{3B4B9C54-895C-40A5-9705-8918A886C42D}"/>
    <cellStyle name="Currency 3 2 3 2 2 5" xfId="10160" xr:uid="{C6F3BA09-EA6E-42DF-80F8-3791F21E2216}"/>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935" xr:uid="{B114ABEF-1300-48BB-BE1F-2F191F903525}"/>
    <cellStyle name="Currency 3 2 3 2 3 2 3" xfId="12718" xr:uid="{D5DADE0F-DDC2-438B-8097-03C7633D5AF7}"/>
    <cellStyle name="Currency 3 2 3 2 3 3" xfId="5464" xr:uid="{00000000-0005-0000-0000-0000080B0000}"/>
    <cellStyle name="Currency 3 2 3 2 3 3 2" xfId="14790" xr:uid="{7F5AF8DB-0C0E-4928-92A3-93CBCD0F212E}"/>
    <cellStyle name="Currency 3 2 3 2 3 4" xfId="10573" xr:uid="{E6A89BCD-1BAA-49FE-83DF-BA50C3C5DCDA}"/>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48" xr:uid="{1FBA2BE2-971F-4882-A330-102BFB68271E}"/>
    <cellStyle name="Currency 3 2 3 2 4 2 3" xfId="13131" xr:uid="{3CADBC90-078F-44A1-B35C-E9A8390FFBA5}"/>
    <cellStyle name="Currency 3 2 3 2 4 3" xfId="5877" xr:uid="{00000000-0005-0000-0000-00000C0B0000}"/>
    <cellStyle name="Currency 3 2 3 2 4 3 2" xfId="15203" xr:uid="{57F12339-8B05-45BC-9DE5-4B761D8778F8}"/>
    <cellStyle name="Currency 3 2 3 2 4 4" xfId="10986" xr:uid="{05702489-F802-43CE-8C9E-2658E6DEFE33}"/>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61" xr:uid="{C0211B21-F835-4E6F-995A-C5CC19AE24C6}"/>
    <cellStyle name="Currency 3 2 3 2 5 2 3" xfId="13544" xr:uid="{1018C142-B0AD-4252-925B-7A2F9DD231BF}"/>
    <cellStyle name="Currency 3 2 3 2 5 3" xfId="6290" xr:uid="{00000000-0005-0000-0000-0000100B0000}"/>
    <cellStyle name="Currency 3 2 3 2 5 3 2" xfId="15616" xr:uid="{94F1404F-0082-40E8-A728-CCE6E85DC683}"/>
    <cellStyle name="Currency 3 2 3 2 5 4" xfId="11399" xr:uid="{F8B78C56-82D8-4F89-9BBD-EF1B587A06A3}"/>
    <cellStyle name="Currency 3 2 3 2 6" xfId="2419" xr:uid="{00000000-0005-0000-0000-0000110B0000}"/>
    <cellStyle name="Currency 3 2 3 2 6 2" xfId="6703" xr:uid="{00000000-0005-0000-0000-0000120B0000}"/>
    <cellStyle name="Currency 3 2 3 2 6 2 2" xfId="16029" xr:uid="{1B034104-DED4-4FE5-905E-C925F0E0E298}"/>
    <cellStyle name="Currency 3 2 3 2 6 3" xfId="11812" xr:uid="{425257E0-6446-447F-BA9E-337E91B6185F}"/>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46" xr:uid="{216D091A-56F9-4849-BA05-03C791D2EF56}"/>
    <cellStyle name="Currency 3 2 3 2 8 3" xfId="12129" xr:uid="{36355B37-DD12-4045-A1CA-265084944274}"/>
    <cellStyle name="Currency 3 2 3 2 9" xfId="4637" xr:uid="{00000000-0005-0000-0000-0000160B0000}"/>
    <cellStyle name="Currency 3 2 3 2 9 2" xfId="13963" xr:uid="{5F25CDD4-31A0-4448-B773-0E4E5725F749}"/>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521" xr:uid="{0288BE83-6904-43D5-B9D6-6673EA02B7F1}"/>
    <cellStyle name="Currency 3 2 3 3 2 3" xfId="12304" xr:uid="{68D20C01-A646-422F-BD8A-9E85D17BA2CF}"/>
    <cellStyle name="Currency 3 2 3 3 3" xfId="5050" xr:uid="{00000000-0005-0000-0000-00001A0B0000}"/>
    <cellStyle name="Currency 3 2 3 3 3 2" xfId="14376" xr:uid="{11D4E12F-8397-4729-8897-6AD9F9BBDB5C}"/>
    <cellStyle name="Currency 3 2 3 3 4" xfId="9318" xr:uid="{AA73873E-8E72-4FDE-A22E-F5D80E2A87B1}"/>
    <cellStyle name="Currency 3 2 3 3 4 2" xfId="18633" xr:uid="{813AECB7-FA2D-4A20-A9DF-116CCBF3441D}"/>
    <cellStyle name="Currency 3 2 3 3 5" xfId="10159" xr:uid="{FDB80669-0982-462D-8125-C224FCA3E217}"/>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934" xr:uid="{994D7419-0C8A-4F22-8F61-19A3D039161D}"/>
    <cellStyle name="Currency 3 2 3 4 2 3" xfId="12717" xr:uid="{D030236E-0DC9-4690-A16C-8F94849ECCD4}"/>
    <cellStyle name="Currency 3 2 3 4 3" xfId="5463" xr:uid="{00000000-0005-0000-0000-00001E0B0000}"/>
    <cellStyle name="Currency 3 2 3 4 3 2" xfId="14789" xr:uid="{E81E0336-86C0-4BE9-8107-08819AF1F9ED}"/>
    <cellStyle name="Currency 3 2 3 4 4" xfId="10572" xr:uid="{62C00EDB-482B-4931-94DE-1091699F1A2A}"/>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47" xr:uid="{8BDD2273-1EA6-4095-BB6A-048FDFAF72E4}"/>
    <cellStyle name="Currency 3 2 3 5 2 3" xfId="13130" xr:uid="{264EC53A-2FAA-496D-BDB6-A60845C16930}"/>
    <cellStyle name="Currency 3 2 3 5 3" xfId="5876" xr:uid="{00000000-0005-0000-0000-0000220B0000}"/>
    <cellStyle name="Currency 3 2 3 5 3 2" xfId="15202" xr:uid="{46D25571-DF9B-4E72-90F9-235AFAF1DCCE}"/>
    <cellStyle name="Currency 3 2 3 5 4" xfId="10985" xr:uid="{F59C8B52-B62E-48CC-97E5-09B243F25F2B}"/>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60" xr:uid="{39569057-575C-42FB-9E9A-D29425794EB3}"/>
    <cellStyle name="Currency 3 2 3 6 2 3" xfId="13543" xr:uid="{98B64D04-81D0-483C-9B95-92544B06AC7A}"/>
    <cellStyle name="Currency 3 2 3 6 3" xfId="6289" xr:uid="{00000000-0005-0000-0000-0000260B0000}"/>
    <cellStyle name="Currency 3 2 3 6 3 2" xfId="15615" xr:uid="{D9A7CDC7-53EC-413B-B844-54856A84C931}"/>
    <cellStyle name="Currency 3 2 3 6 4" xfId="11398" xr:uid="{20C7F2B5-7CE7-489E-AD44-B411A19B645A}"/>
    <cellStyle name="Currency 3 2 3 7" xfId="2418" xr:uid="{00000000-0005-0000-0000-0000270B0000}"/>
    <cellStyle name="Currency 3 2 3 7 2" xfId="6702" xr:uid="{00000000-0005-0000-0000-0000280B0000}"/>
    <cellStyle name="Currency 3 2 3 7 2 2" xfId="16028" xr:uid="{8877F5B8-4461-49AC-9C72-938C9CDE8610}"/>
    <cellStyle name="Currency 3 2 3 7 3" xfId="11811" xr:uid="{FA863413-2749-42D4-A006-806872C8D019}"/>
    <cellStyle name="Currency 3 2 3 8" xfId="2715" xr:uid="{00000000-0005-0000-0000-0000290B0000}"/>
    <cellStyle name="Currency 3 2 3 9" xfId="2796" xr:uid="{00000000-0005-0000-0000-00002A0B0000}"/>
    <cellStyle name="Currency 3 2 3 9 2" xfId="7019" xr:uid="{00000000-0005-0000-0000-00002B0B0000}"/>
    <cellStyle name="Currency 3 2 3 9 2 2" xfId="16345" xr:uid="{011A7690-9C1A-42A5-8D81-6DB56F19FA64}"/>
    <cellStyle name="Currency 3 2 3 9 3" xfId="12128" xr:uid="{B720EFDC-55DE-4CCA-A6D3-697FDE122359}"/>
    <cellStyle name="Currency 3 2 4" xfId="184" xr:uid="{00000000-0005-0000-0000-00002C0B0000}"/>
    <cellStyle name="Currency 3 2 4 10" xfId="8997" xr:uid="{DF9FC022-A382-4135-990F-F43A472E13BA}"/>
    <cellStyle name="Currency 3 2 4 10 2" xfId="18321" xr:uid="{5858B2F8-243D-404E-BB9D-14FB8C5B8B8A}"/>
    <cellStyle name="Currency 3 2 4 11" xfId="9747" xr:uid="{45E0CA91-0A89-4E01-B2B1-0D75D74738FB}"/>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523" xr:uid="{A908B6E1-EF3A-40E0-969D-A18FF972718D}"/>
    <cellStyle name="Currency 3 2 4 2 2 3" xfId="12306" xr:uid="{B58B619B-EFE3-41A9-900D-2ACDD1B23DF3}"/>
    <cellStyle name="Currency 3 2 4 2 3" xfId="5052" xr:uid="{00000000-0005-0000-0000-0000300B0000}"/>
    <cellStyle name="Currency 3 2 4 2 3 2" xfId="14378" xr:uid="{A14933CD-4503-40AA-8FF9-D43D42ED1546}"/>
    <cellStyle name="Currency 3 2 4 2 4" xfId="9422" xr:uid="{3049B7CE-611E-437A-AD0B-2E3AA5E2E50D}"/>
    <cellStyle name="Currency 3 2 4 2 4 2" xfId="18737" xr:uid="{F142D338-E55B-44C5-AE3E-3FBA96506B00}"/>
    <cellStyle name="Currency 3 2 4 2 5" xfId="10161" xr:uid="{B653CE90-5662-45B1-8A9A-DF4A37898B7E}"/>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936" xr:uid="{9FF8609E-0900-469B-A50C-E42B246033B4}"/>
    <cellStyle name="Currency 3 2 4 3 2 3" xfId="12719" xr:uid="{C27A8AEF-05A1-4DF1-BB0B-4C70B96B74AF}"/>
    <cellStyle name="Currency 3 2 4 3 3" xfId="5465" xr:uid="{00000000-0005-0000-0000-0000340B0000}"/>
    <cellStyle name="Currency 3 2 4 3 3 2" xfId="14791" xr:uid="{19A91F87-59C0-4FBE-AE6A-57D63FB94FF9}"/>
    <cellStyle name="Currency 3 2 4 3 4" xfId="10574" xr:uid="{E7147EBB-2779-4F9E-920C-F9D155D3B04E}"/>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49" xr:uid="{8C5A55F3-4255-465C-9C87-DB5022E4F38A}"/>
    <cellStyle name="Currency 3 2 4 4 2 3" xfId="13132" xr:uid="{8E427E37-64CC-44B5-937E-583A5B49B691}"/>
    <cellStyle name="Currency 3 2 4 4 3" xfId="5878" xr:uid="{00000000-0005-0000-0000-0000380B0000}"/>
    <cellStyle name="Currency 3 2 4 4 3 2" xfId="15204" xr:uid="{98953C0D-A45E-44F8-B5F8-5C069B8BC032}"/>
    <cellStyle name="Currency 3 2 4 4 4" xfId="10987" xr:uid="{97683F5E-67B8-4D10-9D9E-2D0478487C56}"/>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62" xr:uid="{6803AEDD-3EF7-445C-9EA9-4848D28C66A0}"/>
    <cellStyle name="Currency 3 2 4 5 2 3" xfId="13545" xr:uid="{529055C3-4398-4930-824D-3CDB4A8B2E29}"/>
    <cellStyle name="Currency 3 2 4 5 3" xfId="6291" xr:uid="{00000000-0005-0000-0000-00003C0B0000}"/>
    <cellStyle name="Currency 3 2 4 5 3 2" xfId="15617" xr:uid="{D3CDF50A-CE49-44A8-9CF6-82A942452680}"/>
    <cellStyle name="Currency 3 2 4 5 4" xfId="11400" xr:uid="{26FB6986-F108-40C2-BF3F-E9A9E2931E2F}"/>
    <cellStyle name="Currency 3 2 4 6" xfId="2420" xr:uid="{00000000-0005-0000-0000-00003D0B0000}"/>
    <cellStyle name="Currency 3 2 4 6 2" xfId="6704" xr:uid="{00000000-0005-0000-0000-00003E0B0000}"/>
    <cellStyle name="Currency 3 2 4 6 2 2" xfId="16030" xr:uid="{1CB4EAB0-DF17-4AD6-9B3C-8C016EE4A356}"/>
    <cellStyle name="Currency 3 2 4 6 3" xfId="11813" xr:uid="{3B97C886-ECB1-4819-ACA6-E80496BACA71}"/>
    <cellStyle name="Currency 3 2 4 7" xfId="2717" xr:uid="{00000000-0005-0000-0000-00003F0B0000}"/>
    <cellStyle name="Currency 3 2 4 8" xfId="2798" xr:uid="{00000000-0005-0000-0000-0000400B0000}"/>
    <cellStyle name="Currency 3 2 4 8 2" xfId="7021" xr:uid="{00000000-0005-0000-0000-0000410B0000}"/>
    <cellStyle name="Currency 3 2 4 8 2 2" xfId="16347" xr:uid="{055F8BDF-775B-47F3-9295-58CB90C85EDC}"/>
    <cellStyle name="Currency 3 2 4 8 3" xfId="12130" xr:uid="{28E197F9-3042-4C9A-BE2C-198A52054AB8}"/>
    <cellStyle name="Currency 3 2 4 9" xfId="4638" xr:uid="{00000000-0005-0000-0000-0000420B0000}"/>
    <cellStyle name="Currency 3 2 4 9 2" xfId="13964" xr:uid="{DF9C4056-E7D5-4BDF-BF15-4F3D84D1E173}"/>
    <cellStyle name="Currency 3 2 5" xfId="185" xr:uid="{00000000-0005-0000-0000-0000430B0000}"/>
    <cellStyle name="Currency 3 2 5 10" xfId="9214" xr:uid="{3D0A867F-0B9D-4759-A509-3EC1084E197B}"/>
    <cellStyle name="Currency 3 2 5 10 2" xfId="18530" xr:uid="{19017E1E-A06E-48A7-85BB-CE4F2973F755}"/>
    <cellStyle name="Currency 3 2 5 11" xfId="9748" xr:uid="{5EC017D2-8373-466F-841C-F2CD8A5568B9}"/>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524" xr:uid="{9E8428C8-A120-4AF5-9DB0-3BB1AA261A35}"/>
    <cellStyle name="Currency 3 2 5 2 2 3" xfId="12307" xr:uid="{481428F1-3E4C-4334-A156-FF5C6AE50813}"/>
    <cellStyle name="Currency 3 2 5 2 3" xfId="5053" xr:uid="{00000000-0005-0000-0000-0000470B0000}"/>
    <cellStyle name="Currency 3 2 5 2 3 2" xfId="14379" xr:uid="{88A80716-0C3F-4D88-B37A-36FB13B42620}"/>
    <cellStyle name="Currency 3 2 5 2 4" xfId="9597" xr:uid="{6E2F978E-96E4-4AD8-B4BD-1BE9D7E96A2F}"/>
    <cellStyle name="Currency 3 2 5 2 4 2" xfId="18901" xr:uid="{C299EA7F-FEDF-43E1-99A1-F7B5E2174504}"/>
    <cellStyle name="Currency 3 2 5 2 5" xfId="10162" xr:uid="{05DFB2FF-D387-417C-BE2A-B4A887E76BB0}"/>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937" xr:uid="{20C19696-9C69-4581-ACDF-580759FA5BBB}"/>
    <cellStyle name="Currency 3 2 5 3 2 3" xfId="12720" xr:uid="{1B62DF39-D15C-4DBE-AACF-84E3BD89B699}"/>
    <cellStyle name="Currency 3 2 5 3 3" xfId="5466" xr:uid="{00000000-0005-0000-0000-00004B0B0000}"/>
    <cellStyle name="Currency 3 2 5 3 3 2" xfId="14792" xr:uid="{5E398910-02AE-44CC-81C5-7443B59C884B}"/>
    <cellStyle name="Currency 3 2 5 3 4" xfId="10575" xr:uid="{939B1E77-7683-47E5-8FB1-441DE65EAB90}"/>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50" xr:uid="{696F4EDD-165B-4D63-BE10-1E1610E5B9B8}"/>
    <cellStyle name="Currency 3 2 5 4 2 3" xfId="13133" xr:uid="{3D994E22-718D-4643-90D0-7AB311BF70D7}"/>
    <cellStyle name="Currency 3 2 5 4 3" xfId="5879" xr:uid="{00000000-0005-0000-0000-00004F0B0000}"/>
    <cellStyle name="Currency 3 2 5 4 3 2" xfId="15205" xr:uid="{28FD3E45-A508-40A9-AD02-D65FC502C83F}"/>
    <cellStyle name="Currency 3 2 5 4 4" xfId="10988" xr:uid="{D0D1DC77-EC23-4190-9C4D-69A8FABAD9EE}"/>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63" xr:uid="{B1B6524B-E4ED-44FF-871C-7C809CEFC507}"/>
    <cellStyle name="Currency 3 2 5 5 2 3" xfId="13546" xr:uid="{278392C8-63E9-476A-9C59-5AE76EF96FEE}"/>
    <cellStyle name="Currency 3 2 5 5 3" xfId="6292" xr:uid="{00000000-0005-0000-0000-0000530B0000}"/>
    <cellStyle name="Currency 3 2 5 5 3 2" xfId="15618" xr:uid="{B12DBED5-69DC-46FE-B6E9-47543BBE767C}"/>
    <cellStyle name="Currency 3 2 5 5 4" xfId="11401" xr:uid="{A41AF959-916B-4307-8B31-0EC057C9BA8D}"/>
    <cellStyle name="Currency 3 2 5 6" xfId="2421" xr:uid="{00000000-0005-0000-0000-0000540B0000}"/>
    <cellStyle name="Currency 3 2 5 6 2" xfId="6705" xr:uid="{00000000-0005-0000-0000-0000550B0000}"/>
    <cellStyle name="Currency 3 2 5 6 2 2" xfId="16031" xr:uid="{29492A40-ACD8-4EC3-A7FA-7C6AA0AA290B}"/>
    <cellStyle name="Currency 3 2 5 6 3" xfId="11814" xr:uid="{28F17523-FC3E-455F-B341-649D71103492}"/>
    <cellStyle name="Currency 3 2 5 7" xfId="2718" xr:uid="{00000000-0005-0000-0000-0000560B0000}"/>
    <cellStyle name="Currency 3 2 5 8" xfId="2799" xr:uid="{00000000-0005-0000-0000-0000570B0000}"/>
    <cellStyle name="Currency 3 2 5 8 2" xfId="7022" xr:uid="{00000000-0005-0000-0000-0000580B0000}"/>
    <cellStyle name="Currency 3 2 5 8 2 2" xfId="16348" xr:uid="{491AA626-93F5-42A9-925E-0C9EE5FA9D71}"/>
    <cellStyle name="Currency 3 2 5 8 3" xfId="12131" xr:uid="{5F04AA27-0F75-4786-A0E0-F9E09B7296BC}"/>
    <cellStyle name="Currency 3 2 5 9" xfId="4639" xr:uid="{00000000-0005-0000-0000-0000590B0000}"/>
    <cellStyle name="Currency 3 2 5 9 2" xfId="13965" xr:uid="{A5A4A074-ED01-4CCA-B21A-11B501181EED}"/>
    <cellStyle name="Currency 3 2 6" xfId="9583" xr:uid="{653EC571-6DFB-4D44-8156-8097E74D2DD4}"/>
    <cellStyle name="Currency 3 2 7" xfId="8790" xr:uid="{4F16186C-C154-4E9A-B12A-0E13D64C3701}"/>
    <cellStyle name="Currency 3 2 7 2" xfId="18114" xr:uid="{634A3FA9-8890-48A6-A498-5AB3735AA223}"/>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49" xr:uid="{1BBBA1FD-76E0-4A96-A349-DE1259A71B9C}"/>
    <cellStyle name="Currency 5 2 2 2 10 3" xfId="12132" xr:uid="{CF66F460-C9C5-49BF-B97B-0C76140C5735}"/>
    <cellStyle name="Currency 5 2 2 2 11" xfId="4640" xr:uid="{00000000-0005-0000-0000-00006C0B0000}"/>
    <cellStyle name="Currency 5 2 2 2 11 2" xfId="13966" xr:uid="{4C69B758-4CE8-4765-B15A-F91B3FDE37BF}"/>
    <cellStyle name="Currency 5 2 2 2 12" xfId="8809" xr:uid="{6E2B58BA-BC61-49BF-A0FE-5BC79A050654}"/>
    <cellStyle name="Currency 5 2 2 2 12 2" xfId="18133" xr:uid="{5FA93174-2FE8-4E0B-BDA9-D8A8DF73EB64}"/>
    <cellStyle name="Currency 5 2 2 2 13" xfId="9749" xr:uid="{CB73DA55-F888-4F79-82DB-341AA0C968FC}"/>
    <cellStyle name="Currency 5 2 2 2 2" xfId="197" xr:uid="{00000000-0005-0000-0000-00006D0B0000}"/>
    <cellStyle name="Currency 5 2 2 2 2 10" xfId="4641" xr:uid="{00000000-0005-0000-0000-00006E0B0000}"/>
    <cellStyle name="Currency 5 2 2 2 2 10 2" xfId="13967" xr:uid="{73DFD1D7-216B-4578-B8C3-560145A4AB27}"/>
    <cellStyle name="Currency 5 2 2 2 2 11" xfId="8912" xr:uid="{4079D27E-F98B-4445-AE20-FFD848158756}"/>
    <cellStyle name="Currency 5 2 2 2 2 11 2" xfId="18236" xr:uid="{03225E0B-3671-4EE8-9219-1FDB4B656641}"/>
    <cellStyle name="Currency 5 2 2 2 2 12" xfId="9750" xr:uid="{A87A3512-E569-424A-9563-5D5A0F31500D}"/>
    <cellStyle name="Currency 5 2 2 2 2 2" xfId="198" xr:uid="{00000000-0005-0000-0000-00006F0B0000}"/>
    <cellStyle name="Currency 5 2 2 2 2 2 10" xfId="9119" xr:uid="{2B97CFE9-E9FD-476D-A341-C695293642F3}"/>
    <cellStyle name="Currency 5 2 2 2 2 2 10 2" xfId="18443" xr:uid="{31C6ADA8-79E4-4503-9ECE-732362259762}"/>
    <cellStyle name="Currency 5 2 2 2 2 2 11" xfId="9751" xr:uid="{A4F10C43-3B06-46D3-AD0C-DEFC7C8C68D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527" xr:uid="{12C49D42-0B88-4677-80AD-388433D12B30}"/>
    <cellStyle name="Currency 5 2 2 2 2 2 2 2 3" xfId="12310" xr:uid="{07239C31-9DD9-4FF6-B217-3750134B9A73}"/>
    <cellStyle name="Currency 5 2 2 2 2 2 2 3" xfId="5056" xr:uid="{00000000-0005-0000-0000-0000730B0000}"/>
    <cellStyle name="Currency 5 2 2 2 2 2 2 3 2" xfId="14382" xr:uid="{BE98A6D3-9948-40AB-9E63-7D92CA195150}"/>
    <cellStyle name="Currency 5 2 2 2 2 2 2 4" xfId="9544" xr:uid="{77881B28-843C-4677-B92C-D2A5804BDB97}"/>
    <cellStyle name="Currency 5 2 2 2 2 2 2 4 2" xfId="18859" xr:uid="{9EB05C22-C159-49EB-8222-091C534A008F}"/>
    <cellStyle name="Currency 5 2 2 2 2 2 2 5" xfId="10165" xr:uid="{555FD59D-0271-4E8E-9690-CC3551668E98}"/>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940" xr:uid="{FA496455-8D7C-4923-AB61-909C4A442E0B}"/>
    <cellStyle name="Currency 5 2 2 2 2 2 3 2 3" xfId="12723" xr:uid="{CC4FCE9A-EAE8-4672-B496-CC1A3F3CFEC1}"/>
    <cellStyle name="Currency 5 2 2 2 2 2 3 3" xfId="5469" xr:uid="{00000000-0005-0000-0000-0000770B0000}"/>
    <cellStyle name="Currency 5 2 2 2 2 2 3 3 2" xfId="14795" xr:uid="{DCBC4018-06B2-4A64-B834-8D2BAE7019C0}"/>
    <cellStyle name="Currency 5 2 2 2 2 2 3 4" xfId="10578" xr:uid="{E55828C1-3E11-4090-A63C-FC71850DE5D8}"/>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53" xr:uid="{72ED6CE4-9BDD-4A09-8639-2E0CA6CD703D}"/>
    <cellStyle name="Currency 5 2 2 2 2 2 4 2 3" xfId="13136" xr:uid="{5D194701-DE69-4C2B-91C4-64ECDE619E37}"/>
    <cellStyle name="Currency 5 2 2 2 2 2 4 3" xfId="5882" xr:uid="{00000000-0005-0000-0000-00007B0B0000}"/>
    <cellStyle name="Currency 5 2 2 2 2 2 4 3 2" xfId="15208" xr:uid="{2CE99E51-A826-48C9-B7DF-BA15ABAD40BD}"/>
    <cellStyle name="Currency 5 2 2 2 2 2 4 4" xfId="10991" xr:uid="{D387530A-94B3-4963-BB74-0B3DB62B2954}"/>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66" xr:uid="{6E9FC485-03C9-4DCE-9B1C-AAE3C6269A1D}"/>
    <cellStyle name="Currency 5 2 2 2 2 2 5 2 3" xfId="13549" xr:uid="{BBBD6E2F-D166-49B2-8315-13A668118860}"/>
    <cellStyle name="Currency 5 2 2 2 2 2 5 3" xfId="6295" xr:uid="{00000000-0005-0000-0000-00007F0B0000}"/>
    <cellStyle name="Currency 5 2 2 2 2 2 5 3 2" xfId="15621" xr:uid="{3EBFD5DE-9071-4F13-B0C0-2F26CE31AF6D}"/>
    <cellStyle name="Currency 5 2 2 2 2 2 5 4" xfId="11404" xr:uid="{82CAC6EA-4097-481D-B68C-C31C5AA33CB1}"/>
    <cellStyle name="Currency 5 2 2 2 2 2 6" xfId="2424" xr:uid="{00000000-0005-0000-0000-0000800B0000}"/>
    <cellStyle name="Currency 5 2 2 2 2 2 6 2" xfId="6708" xr:uid="{00000000-0005-0000-0000-0000810B0000}"/>
    <cellStyle name="Currency 5 2 2 2 2 2 6 2 2" xfId="16034" xr:uid="{9EF84FDC-949B-4F31-8EF7-4B393A8AB1CB}"/>
    <cellStyle name="Currency 5 2 2 2 2 2 6 3" xfId="11817" xr:uid="{FE3D13DF-FC87-4552-A113-B0DC5476A4CE}"/>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51" xr:uid="{82D01488-9726-4FF8-B88F-B2F7D8C9D6CE}"/>
    <cellStyle name="Currency 5 2 2 2 2 2 8 3" xfId="12134" xr:uid="{9F456547-0FE9-4D64-A151-26E0B7B3AC11}"/>
    <cellStyle name="Currency 5 2 2 2 2 2 9" xfId="4642" xr:uid="{00000000-0005-0000-0000-0000850B0000}"/>
    <cellStyle name="Currency 5 2 2 2 2 2 9 2" xfId="13968" xr:uid="{F59B594F-8440-4249-B20C-58CF78F0D65A}"/>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526" xr:uid="{14335C2D-A87E-4426-9C8A-776416062DA5}"/>
    <cellStyle name="Currency 5 2 2 2 2 3 2 3" xfId="12309" xr:uid="{DB28DBBC-A286-42B1-AB7F-50595903A87E}"/>
    <cellStyle name="Currency 5 2 2 2 2 3 3" xfId="5055" xr:uid="{00000000-0005-0000-0000-0000890B0000}"/>
    <cellStyle name="Currency 5 2 2 2 2 3 3 2" xfId="14381" xr:uid="{9BB61DF9-48D0-46BC-AC94-85DC2B8250A6}"/>
    <cellStyle name="Currency 5 2 2 2 2 3 4" xfId="9337" xr:uid="{A1FF44B9-A8E0-4A4E-9BE9-DA7FD7E326AE}"/>
    <cellStyle name="Currency 5 2 2 2 2 3 4 2" xfId="18652" xr:uid="{C5DF988A-776D-456D-8CD8-2B04D2850B5A}"/>
    <cellStyle name="Currency 5 2 2 2 2 3 5" xfId="10164" xr:uid="{24B317B1-B46B-4867-BEB7-CBB48DAC361C}"/>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939" xr:uid="{44DC012B-D4B1-430C-8544-FB70AADF3710}"/>
    <cellStyle name="Currency 5 2 2 2 2 4 2 3" xfId="12722" xr:uid="{C026F6E8-B145-4628-9EBB-7630925FCC78}"/>
    <cellStyle name="Currency 5 2 2 2 2 4 3" xfId="5468" xr:uid="{00000000-0005-0000-0000-00008D0B0000}"/>
    <cellStyle name="Currency 5 2 2 2 2 4 3 2" xfId="14794" xr:uid="{4D13275F-47EE-4BA5-89CE-EDEFB1AD364C}"/>
    <cellStyle name="Currency 5 2 2 2 2 4 4" xfId="10577" xr:uid="{339CBC3B-F33D-48BF-A810-870738F0AF94}"/>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52" xr:uid="{20AD90EB-A3EF-4622-A1E5-548BE15B13CC}"/>
    <cellStyle name="Currency 5 2 2 2 2 5 2 3" xfId="13135" xr:uid="{D2CDF16F-6777-4107-8FCC-0A1716CD9EFF}"/>
    <cellStyle name="Currency 5 2 2 2 2 5 3" xfId="5881" xr:uid="{00000000-0005-0000-0000-0000910B0000}"/>
    <cellStyle name="Currency 5 2 2 2 2 5 3 2" xfId="15207" xr:uid="{DC71A0ED-89AB-43BD-AEEF-9715F4D013F5}"/>
    <cellStyle name="Currency 5 2 2 2 2 5 4" xfId="10990" xr:uid="{EC30C323-080D-4134-A61B-34624776972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65" xr:uid="{B5DB8C71-C92B-4C26-A980-1307C96CA36E}"/>
    <cellStyle name="Currency 5 2 2 2 2 6 2 3" xfId="13548" xr:uid="{E28A2E9F-436F-4CF3-B155-1C614760611C}"/>
    <cellStyle name="Currency 5 2 2 2 2 6 3" xfId="6294" xr:uid="{00000000-0005-0000-0000-0000950B0000}"/>
    <cellStyle name="Currency 5 2 2 2 2 6 3 2" xfId="15620" xr:uid="{A09D6FE9-CD11-4EA5-A134-87C5824582C3}"/>
    <cellStyle name="Currency 5 2 2 2 2 6 4" xfId="11403" xr:uid="{0C23BAF7-9A1F-490A-8EF2-05ADF7517EE8}"/>
    <cellStyle name="Currency 5 2 2 2 2 7" xfId="2423" xr:uid="{00000000-0005-0000-0000-0000960B0000}"/>
    <cellStyle name="Currency 5 2 2 2 2 7 2" xfId="6707" xr:uid="{00000000-0005-0000-0000-0000970B0000}"/>
    <cellStyle name="Currency 5 2 2 2 2 7 2 2" xfId="16033" xr:uid="{F5550B3F-5027-4579-A86B-32F4C6217DDD}"/>
    <cellStyle name="Currency 5 2 2 2 2 7 3" xfId="11816" xr:uid="{1163F991-04FA-4871-BD9B-6BE10464A11B}"/>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50" xr:uid="{67C13B52-F77B-44B7-9D6F-3F8A75415D81}"/>
    <cellStyle name="Currency 5 2 2 2 2 9 3" xfId="12133" xr:uid="{985628F5-3468-4C99-82D3-E56DEE2A6B4B}"/>
    <cellStyle name="Currency 5 2 2 2 3" xfId="199" xr:uid="{00000000-0005-0000-0000-00009B0B0000}"/>
    <cellStyle name="Currency 5 2 2 2 3 10" xfId="9016" xr:uid="{706F9706-E49D-4995-B402-A842C879DBC8}"/>
    <cellStyle name="Currency 5 2 2 2 3 10 2" xfId="18340" xr:uid="{1BD6CC02-9AA4-481C-93B8-D6E55C7AEC45}"/>
    <cellStyle name="Currency 5 2 2 2 3 11" xfId="9752" xr:uid="{4F75CA8C-C989-4191-829E-B875311F5229}"/>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528" xr:uid="{49F24FFE-F858-4DDD-AC35-D2A9616A91FA}"/>
    <cellStyle name="Currency 5 2 2 2 3 2 2 3" xfId="12311" xr:uid="{FC632FB4-707C-43E3-AD65-5D2FEACFDAAE}"/>
    <cellStyle name="Currency 5 2 2 2 3 2 3" xfId="5057" xr:uid="{00000000-0005-0000-0000-00009F0B0000}"/>
    <cellStyle name="Currency 5 2 2 2 3 2 3 2" xfId="14383" xr:uid="{A3A38C54-C2FF-4269-BCBF-4B2195C4EDB6}"/>
    <cellStyle name="Currency 5 2 2 2 3 2 4" xfId="9441" xr:uid="{B7048274-E02F-4E6A-9C9A-FAD4299F19B1}"/>
    <cellStyle name="Currency 5 2 2 2 3 2 4 2" xfId="18756" xr:uid="{61045296-3801-4B6D-9E84-8E4308732BCE}"/>
    <cellStyle name="Currency 5 2 2 2 3 2 5" xfId="10166" xr:uid="{5B49EFF4-1D37-41EB-A98E-EF39AD1F09C8}"/>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941" xr:uid="{41286714-712F-4727-A4EF-4EA1B0DED4C7}"/>
    <cellStyle name="Currency 5 2 2 2 3 3 2 3" xfId="12724" xr:uid="{9B3357B1-EE4E-4E42-9E2B-F1A381A96338}"/>
    <cellStyle name="Currency 5 2 2 2 3 3 3" xfId="5470" xr:uid="{00000000-0005-0000-0000-0000A30B0000}"/>
    <cellStyle name="Currency 5 2 2 2 3 3 3 2" xfId="14796" xr:uid="{DB508988-775F-4CC6-AFE1-0BE1CF30F40B}"/>
    <cellStyle name="Currency 5 2 2 2 3 3 4" xfId="10579" xr:uid="{1EA282E3-00CF-4AB0-91CD-AE46EB1F1F29}"/>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54" xr:uid="{FE7C4077-0DAC-421E-86DA-8826F4EF98AF}"/>
    <cellStyle name="Currency 5 2 2 2 3 4 2 3" xfId="13137" xr:uid="{4731B468-A7C7-4CCB-95C5-F31B5F358693}"/>
    <cellStyle name="Currency 5 2 2 2 3 4 3" xfId="5883" xr:uid="{00000000-0005-0000-0000-0000A70B0000}"/>
    <cellStyle name="Currency 5 2 2 2 3 4 3 2" xfId="15209" xr:uid="{EBBF5AA4-14D1-408E-8975-5C2F22CF4C48}"/>
    <cellStyle name="Currency 5 2 2 2 3 4 4" xfId="10992" xr:uid="{7DF265D1-8A43-470B-A927-141B7A99A61C}"/>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67" xr:uid="{A6AEA76D-0439-418F-8DFB-F4AA1BFBD982}"/>
    <cellStyle name="Currency 5 2 2 2 3 5 2 3" xfId="13550" xr:uid="{05FB8E1F-FE54-4415-B20F-73908F764188}"/>
    <cellStyle name="Currency 5 2 2 2 3 5 3" xfId="6296" xr:uid="{00000000-0005-0000-0000-0000AB0B0000}"/>
    <cellStyle name="Currency 5 2 2 2 3 5 3 2" xfId="15622" xr:uid="{BFAFC181-4255-4E4A-BB53-534779761FA0}"/>
    <cellStyle name="Currency 5 2 2 2 3 5 4" xfId="11405" xr:uid="{110292D5-23F1-427B-8463-E90333F39E10}"/>
    <cellStyle name="Currency 5 2 2 2 3 6" xfId="2425" xr:uid="{00000000-0005-0000-0000-0000AC0B0000}"/>
    <cellStyle name="Currency 5 2 2 2 3 6 2" xfId="6709" xr:uid="{00000000-0005-0000-0000-0000AD0B0000}"/>
    <cellStyle name="Currency 5 2 2 2 3 6 2 2" xfId="16035" xr:uid="{3363877E-9D45-4F1B-977A-8EDC38AB690D}"/>
    <cellStyle name="Currency 5 2 2 2 3 6 3" xfId="11818" xr:uid="{7474959E-00C7-4960-A44F-D1A644D6FDA1}"/>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52" xr:uid="{AECC226D-F30D-41B0-A176-F9D1F867D5A5}"/>
    <cellStyle name="Currency 5 2 2 2 3 8 3" xfId="12135" xr:uid="{C044425B-388C-4E0B-A96E-6CC8F63C14AD}"/>
    <cellStyle name="Currency 5 2 2 2 3 9" xfId="4643" xr:uid="{00000000-0005-0000-0000-0000B10B0000}"/>
    <cellStyle name="Currency 5 2 2 2 3 9 2" xfId="13969" xr:uid="{319ED9AD-2601-4629-991C-021EF63D5A19}"/>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525" xr:uid="{40BDA61A-4397-4AA1-907A-85F4C173A531}"/>
    <cellStyle name="Currency 5 2 2 2 4 2 3" xfId="12308" xr:uid="{92E040C0-6A51-4514-8847-534936E81473}"/>
    <cellStyle name="Currency 5 2 2 2 4 3" xfId="5054" xr:uid="{00000000-0005-0000-0000-0000B50B0000}"/>
    <cellStyle name="Currency 5 2 2 2 4 3 2" xfId="14380" xr:uid="{7023886D-35DF-4888-BEEE-830D11583AB3}"/>
    <cellStyle name="Currency 5 2 2 2 4 4" xfId="9234" xr:uid="{AAF147FE-13D8-48BD-A722-062B96166D61}"/>
    <cellStyle name="Currency 5 2 2 2 4 4 2" xfId="18549" xr:uid="{E93C88B7-1C81-4F78-BF68-FF3460EECCF1}"/>
    <cellStyle name="Currency 5 2 2 2 4 5" xfId="10163" xr:uid="{F91BD981-BA4F-4446-9842-52516D7439FD}"/>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938" xr:uid="{E500D8A5-0CD2-4863-B02E-200CCBC96BFD}"/>
    <cellStyle name="Currency 5 2 2 2 5 2 3" xfId="12721" xr:uid="{BA9D9CEE-CB5F-4192-B516-51E698E645E3}"/>
    <cellStyle name="Currency 5 2 2 2 5 3" xfId="5467" xr:uid="{00000000-0005-0000-0000-0000B90B0000}"/>
    <cellStyle name="Currency 5 2 2 2 5 3 2" xfId="14793" xr:uid="{6108D9FC-96AE-4E6B-93E6-7F537332633C}"/>
    <cellStyle name="Currency 5 2 2 2 5 4" xfId="10576" xr:uid="{CE5FF9A2-5DBA-41AC-AB49-C3C61B6E262A}"/>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51" xr:uid="{3B0F2DA9-76A3-4843-A89B-67B37B980C25}"/>
    <cellStyle name="Currency 5 2 2 2 6 2 3" xfId="13134" xr:uid="{365A38E1-3F89-4FC9-AC44-6D7766F03D2F}"/>
    <cellStyle name="Currency 5 2 2 2 6 3" xfId="5880" xr:uid="{00000000-0005-0000-0000-0000BD0B0000}"/>
    <cellStyle name="Currency 5 2 2 2 6 3 2" xfId="15206" xr:uid="{5356F059-34A9-4355-938D-A17FC818913F}"/>
    <cellStyle name="Currency 5 2 2 2 6 4" xfId="10989" xr:uid="{782C10F4-06B7-4E98-B193-EC961531FABC}"/>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64" xr:uid="{85B47DFE-221D-490D-A6AD-1F0899150330}"/>
    <cellStyle name="Currency 5 2 2 2 7 2 3" xfId="13547" xr:uid="{46982F51-9D00-4A20-9B23-0683E1189661}"/>
    <cellStyle name="Currency 5 2 2 2 7 3" xfId="6293" xr:uid="{00000000-0005-0000-0000-0000C10B0000}"/>
    <cellStyle name="Currency 5 2 2 2 7 3 2" xfId="15619" xr:uid="{6511EBBD-97A1-4FAD-828A-2E8ECD79C974}"/>
    <cellStyle name="Currency 5 2 2 2 7 4" xfId="11402" xr:uid="{EB82BB00-CF78-45BD-A346-4DA0A2EBBF4A}"/>
    <cellStyle name="Currency 5 2 2 2 8" xfId="2422" xr:uid="{00000000-0005-0000-0000-0000C20B0000}"/>
    <cellStyle name="Currency 5 2 2 2 8 2" xfId="6706" xr:uid="{00000000-0005-0000-0000-0000C30B0000}"/>
    <cellStyle name="Currency 5 2 2 2 8 2 2" xfId="16032" xr:uid="{7FAF564E-D200-4630-88C5-B968CD69198B}"/>
    <cellStyle name="Currency 5 2 2 2 8 3" xfId="11815" xr:uid="{AD4F589D-AE78-48A0-B69B-41EA17A7B146}"/>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70" xr:uid="{7224DB49-215E-4C34-BCBE-546B5C8A6B16}"/>
    <cellStyle name="Currency 5 2 2 3 11" xfId="8890" xr:uid="{F313D4EC-7666-4BAA-9452-39176957C213}"/>
    <cellStyle name="Currency 5 2 2 3 11 2" xfId="18214" xr:uid="{0F543AB1-D324-4852-B90A-999B2EF4BED1}"/>
    <cellStyle name="Currency 5 2 2 3 12" xfId="9753" xr:uid="{0D7103BC-9346-4DDA-8D78-DE6471741EF6}"/>
    <cellStyle name="Currency 5 2 2 3 2" xfId="201" xr:uid="{00000000-0005-0000-0000-0000C70B0000}"/>
    <cellStyle name="Currency 5 2 2 3 2 10" xfId="9097" xr:uid="{74199D2F-F17A-42DD-AC8B-D958FBFFCA8B}"/>
    <cellStyle name="Currency 5 2 2 3 2 10 2" xfId="18421" xr:uid="{28CEA4FF-D860-44DC-892E-298323F83073}"/>
    <cellStyle name="Currency 5 2 2 3 2 11" xfId="9754" xr:uid="{ECEBE2FD-24EA-41CF-A1B2-358C4877108D}"/>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530" xr:uid="{AF49A306-9B82-47FE-A1AE-C5CDA6C47409}"/>
    <cellStyle name="Currency 5 2 2 3 2 2 2 3" xfId="12313" xr:uid="{D0D2198A-E826-473E-BC18-1692D6661122}"/>
    <cellStyle name="Currency 5 2 2 3 2 2 3" xfId="5059" xr:uid="{00000000-0005-0000-0000-0000CB0B0000}"/>
    <cellStyle name="Currency 5 2 2 3 2 2 3 2" xfId="14385" xr:uid="{E66DB95C-8C64-48FB-B20F-A1E1A0D509BB}"/>
    <cellStyle name="Currency 5 2 2 3 2 2 4" xfId="9522" xr:uid="{58EAFCD4-DA5B-47CB-A637-29DA003AA3FD}"/>
    <cellStyle name="Currency 5 2 2 3 2 2 4 2" xfId="18837" xr:uid="{4817C0FD-7A3A-482F-9520-86F084AF1202}"/>
    <cellStyle name="Currency 5 2 2 3 2 2 5" xfId="10168" xr:uid="{12F9CB95-BE3C-4E8B-A517-EE4944B6134F}"/>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943" xr:uid="{30EF0F44-0DEB-4654-ABE7-4CBF47DFA02D}"/>
    <cellStyle name="Currency 5 2 2 3 2 3 2 3" xfId="12726" xr:uid="{9861F1C1-A0D8-4974-8BF4-9E1C7DC95BA3}"/>
    <cellStyle name="Currency 5 2 2 3 2 3 3" xfId="5472" xr:uid="{00000000-0005-0000-0000-0000CF0B0000}"/>
    <cellStyle name="Currency 5 2 2 3 2 3 3 2" xfId="14798" xr:uid="{5A499A70-5E7F-49E3-91F1-438C70615227}"/>
    <cellStyle name="Currency 5 2 2 3 2 3 4" xfId="10581" xr:uid="{F5BC0DD2-E845-466F-B585-F3B3E0729742}"/>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56" xr:uid="{D6263002-3101-4487-A4F8-6C4B500FFA0B}"/>
    <cellStyle name="Currency 5 2 2 3 2 4 2 3" xfId="13139" xr:uid="{14BF5B3B-307E-4A07-93A4-B05E4511640C}"/>
    <cellStyle name="Currency 5 2 2 3 2 4 3" xfId="5885" xr:uid="{00000000-0005-0000-0000-0000D30B0000}"/>
    <cellStyle name="Currency 5 2 2 3 2 4 3 2" xfId="15211" xr:uid="{E9DFC929-121B-4B04-BA6B-0EC7F7917F58}"/>
    <cellStyle name="Currency 5 2 2 3 2 4 4" xfId="10994" xr:uid="{60C6B6C0-93BC-4DD4-9FD6-9FE90A4A8BE3}"/>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69" xr:uid="{25D5AFC7-4691-4475-B5B4-CD25484100F0}"/>
    <cellStyle name="Currency 5 2 2 3 2 5 2 3" xfId="13552" xr:uid="{ABBBB6C9-9111-496E-A0E8-170FE8032626}"/>
    <cellStyle name="Currency 5 2 2 3 2 5 3" xfId="6298" xr:uid="{00000000-0005-0000-0000-0000D70B0000}"/>
    <cellStyle name="Currency 5 2 2 3 2 5 3 2" xfId="15624" xr:uid="{56C3B9BF-09A1-409F-B46F-01C20C4A7572}"/>
    <cellStyle name="Currency 5 2 2 3 2 5 4" xfId="11407" xr:uid="{A0BDC8A2-032A-4B2B-820C-A8591907A7E3}"/>
    <cellStyle name="Currency 5 2 2 3 2 6" xfId="2427" xr:uid="{00000000-0005-0000-0000-0000D80B0000}"/>
    <cellStyle name="Currency 5 2 2 3 2 6 2" xfId="6711" xr:uid="{00000000-0005-0000-0000-0000D90B0000}"/>
    <cellStyle name="Currency 5 2 2 3 2 6 2 2" xfId="16037" xr:uid="{768185B0-EBA9-497B-B4BC-48906FFD894D}"/>
    <cellStyle name="Currency 5 2 2 3 2 6 3" xfId="11820" xr:uid="{7212A085-5CA8-4E25-9E79-F52371EFBB5D}"/>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54" xr:uid="{A0F10EAF-4DF5-4995-8B87-CD5B6D7CC590}"/>
    <cellStyle name="Currency 5 2 2 3 2 8 3" xfId="12137" xr:uid="{64A63625-E507-46EB-BB15-6D7039920D4E}"/>
    <cellStyle name="Currency 5 2 2 3 2 9" xfId="4645" xr:uid="{00000000-0005-0000-0000-0000DD0B0000}"/>
    <cellStyle name="Currency 5 2 2 3 2 9 2" xfId="13971" xr:uid="{16727C76-5C5A-4303-B85B-A9A869235B6A}"/>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529" xr:uid="{510DA2E1-595D-4E90-A8B7-6630227C9339}"/>
    <cellStyle name="Currency 5 2 2 3 3 2 3" xfId="12312" xr:uid="{AEE7CD36-A35B-47B4-8E20-A74286AE85FD}"/>
    <cellStyle name="Currency 5 2 2 3 3 3" xfId="5058" xr:uid="{00000000-0005-0000-0000-0000E10B0000}"/>
    <cellStyle name="Currency 5 2 2 3 3 3 2" xfId="14384" xr:uid="{C5CCCFCA-8165-4CFB-971A-9165BCCBC8C2}"/>
    <cellStyle name="Currency 5 2 2 3 3 4" xfId="9315" xr:uid="{A76EC348-1CDB-41C1-B9B8-9215FF30C619}"/>
    <cellStyle name="Currency 5 2 2 3 3 4 2" xfId="18630" xr:uid="{A9C0E7EF-D6A9-479E-AE40-6B9CF4D03B6F}"/>
    <cellStyle name="Currency 5 2 2 3 3 5" xfId="10167" xr:uid="{4E30BDD2-019D-4387-ADF1-A019A7E4EC68}"/>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942" xr:uid="{7634DECB-5675-4188-8AF2-6D363F147302}"/>
    <cellStyle name="Currency 5 2 2 3 4 2 3" xfId="12725" xr:uid="{D17B7A57-078A-42AA-A98F-F5F16168CAB5}"/>
    <cellStyle name="Currency 5 2 2 3 4 3" xfId="5471" xr:uid="{00000000-0005-0000-0000-0000E50B0000}"/>
    <cellStyle name="Currency 5 2 2 3 4 3 2" xfId="14797" xr:uid="{6DF8DF2A-D9EF-49A7-84ED-C016F419087B}"/>
    <cellStyle name="Currency 5 2 2 3 4 4" xfId="10580" xr:uid="{063E308F-EDC4-44D9-A4D7-281EFBF30495}"/>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55" xr:uid="{4675CC2C-6B36-4D9E-A8AB-528511032B8A}"/>
    <cellStyle name="Currency 5 2 2 3 5 2 3" xfId="13138" xr:uid="{9B24B9C5-6DF2-4988-9BB8-B59AF47B27E4}"/>
    <cellStyle name="Currency 5 2 2 3 5 3" xfId="5884" xr:uid="{00000000-0005-0000-0000-0000E90B0000}"/>
    <cellStyle name="Currency 5 2 2 3 5 3 2" xfId="15210" xr:uid="{932CE03C-082A-4C0F-AD58-7B82D1ECD883}"/>
    <cellStyle name="Currency 5 2 2 3 5 4" xfId="10993" xr:uid="{1FD64506-30C9-4451-86D0-F7C1B43A2C46}"/>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68" xr:uid="{440D3312-1E33-48BA-8359-F56D3C9B6A72}"/>
    <cellStyle name="Currency 5 2 2 3 6 2 3" xfId="13551" xr:uid="{6DFC3515-1B45-4302-AC21-EF37900BCF70}"/>
    <cellStyle name="Currency 5 2 2 3 6 3" xfId="6297" xr:uid="{00000000-0005-0000-0000-0000ED0B0000}"/>
    <cellStyle name="Currency 5 2 2 3 6 3 2" xfId="15623" xr:uid="{057069AB-74ED-4DAE-A237-8D1681D2F187}"/>
    <cellStyle name="Currency 5 2 2 3 6 4" xfId="11406" xr:uid="{9BEEC9B6-5DF8-44C2-A738-26C2ACE39B6D}"/>
    <cellStyle name="Currency 5 2 2 3 7" xfId="2426" xr:uid="{00000000-0005-0000-0000-0000EE0B0000}"/>
    <cellStyle name="Currency 5 2 2 3 7 2" xfId="6710" xr:uid="{00000000-0005-0000-0000-0000EF0B0000}"/>
    <cellStyle name="Currency 5 2 2 3 7 2 2" xfId="16036" xr:uid="{0B561E23-1434-485A-9691-3A30ADBF0455}"/>
    <cellStyle name="Currency 5 2 2 3 7 3" xfId="11819" xr:uid="{38C8535A-DD76-48B9-80AB-7BBD6E048E36}"/>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53" xr:uid="{DDF10152-31C1-4D0F-A2FD-A09D728F696E}"/>
    <cellStyle name="Currency 5 2 2 3 9 3" xfId="12136" xr:uid="{8F386AFF-0D3D-4E52-926F-963F154412D3}"/>
    <cellStyle name="Currency 5 2 2 4" xfId="202" xr:uid="{00000000-0005-0000-0000-0000F30B0000}"/>
    <cellStyle name="Currency 5 2 2 4 10" xfId="8994" xr:uid="{484CCE7A-1288-4C7F-ABD6-C45948DC4EC0}"/>
    <cellStyle name="Currency 5 2 2 4 10 2" xfId="18318" xr:uid="{67268EC0-964B-4845-A395-3ADFB0E0A4EE}"/>
    <cellStyle name="Currency 5 2 2 4 11" xfId="9755" xr:uid="{C9A6479B-8F4C-4814-8AF9-6E4DC76F70FC}"/>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531" xr:uid="{BE86107F-D100-4D20-AF03-59970B700099}"/>
    <cellStyle name="Currency 5 2 2 4 2 2 3" xfId="12314" xr:uid="{1360305B-F29B-4FDE-96E8-A7B8E07C4372}"/>
    <cellStyle name="Currency 5 2 2 4 2 3" xfId="5060" xr:uid="{00000000-0005-0000-0000-0000F70B0000}"/>
    <cellStyle name="Currency 5 2 2 4 2 3 2" xfId="14386" xr:uid="{2919ABA7-D672-4AD1-8469-ED35423D5CEA}"/>
    <cellStyle name="Currency 5 2 2 4 2 4" xfId="9419" xr:uid="{F03E4D2E-3BA9-4D5B-9C35-959DB128CBAE}"/>
    <cellStyle name="Currency 5 2 2 4 2 4 2" xfId="18734" xr:uid="{C3BE9F63-F6C6-4BC8-95E7-5CFA7452484A}"/>
    <cellStyle name="Currency 5 2 2 4 2 5" xfId="10169" xr:uid="{4B664992-E744-447D-AECB-06151CA19E6F}"/>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44" xr:uid="{F1B08CEB-5DED-4B4A-939F-BAC3B73E0EC8}"/>
    <cellStyle name="Currency 5 2 2 4 3 2 3" xfId="12727" xr:uid="{42A73027-6A8D-4CCE-BF92-4BA0506C58C5}"/>
    <cellStyle name="Currency 5 2 2 4 3 3" xfId="5473" xr:uid="{00000000-0005-0000-0000-0000FB0B0000}"/>
    <cellStyle name="Currency 5 2 2 4 3 3 2" xfId="14799" xr:uid="{E062C7EA-22F4-4FFC-954E-0D9AA7E2CD6B}"/>
    <cellStyle name="Currency 5 2 2 4 3 4" xfId="10582" xr:uid="{EDBD8A08-6D37-4DF4-8050-EB15F786E672}"/>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57" xr:uid="{1F668324-0988-4754-92F7-D0F57BD6C174}"/>
    <cellStyle name="Currency 5 2 2 4 4 2 3" xfId="13140" xr:uid="{D1808DD3-15FA-45A5-B9AF-EE4C192970AF}"/>
    <cellStyle name="Currency 5 2 2 4 4 3" xfId="5886" xr:uid="{00000000-0005-0000-0000-0000FF0B0000}"/>
    <cellStyle name="Currency 5 2 2 4 4 3 2" xfId="15212" xr:uid="{CE8EBEE2-DCD4-4F9E-BFDD-0CF59C7E2842}"/>
    <cellStyle name="Currency 5 2 2 4 4 4" xfId="10995" xr:uid="{F98BB61C-26EC-4B43-A6FB-436D3C554979}"/>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70" xr:uid="{BDA95E71-5A75-4554-A9BE-78334384573F}"/>
    <cellStyle name="Currency 5 2 2 4 5 2 3" xfId="13553" xr:uid="{81FDA9AC-3309-4946-99B2-438BBB1DD2FA}"/>
    <cellStyle name="Currency 5 2 2 4 5 3" xfId="6299" xr:uid="{00000000-0005-0000-0000-0000030C0000}"/>
    <cellStyle name="Currency 5 2 2 4 5 3 2" xfId="15625" xr:uid="{CD351AAB-9063-4A5F-AC6A-7E0B304D1C2C}"/>
    <cellStyle name="Currency 5 2 2 4 5 4" xfId="11408" xr:uid="{3F3D63A1-B569-4389-A97C-6CF8DE3197C4}"/>
    <cellStyle name="Currency 5 2 2 4 6" xfId="2428" xr:uid="{00000000-0005-0000-0000-0000040C0000}"/>
    <cellStyle name="Currency 5 2 2 4 6 2" xfId="6712" xr:uid="{00000000-0005-0000-0000-0000050C0000}"/>
    <cellStyle name="Currency 5 2 2 4 6 2 2" xfId="16038" xr:uid="{34C44236-8F04-4730-9211-7110061B2B38}"/>
    <cellStyle name="Currency 5 2 2 4 6 3" xfId="11821" xr:uid="{4E98E178-0C8B-4120-8BED-F007D41C995E}"/>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55" xr:uid="{50CB4D1A-E743-4191-A483-C5DC56B5C0D1}"/>
    <cellStyle name="Currency 5 2 2 4 8 3" xfId="12138" xr:uid="{AD1B4ED1-A9C7-4221-9EF9-1598FC368EDF}"/>
    <cellStyle name="Currency 5 2 2 4 9" xfId="4646" xr:uid="{00000000-0005-0000-0000-0000090C0000}"/>
    <cellStyle name="Currency 5 2 2 4 9 2" xfId="13972" xr:uid="{C76A3285-2E64-41C9-B248-C57FD4AB82C7}"/>
    <cellStyle name="Currency 5 2 2 5" xfId="203" xr:uid="{00000000-0005-0000-0000-00000A0C0000}"/>
    <cellStyle name="Currency 5 2 2 5 10" xfId="9211" xr:uid="{586E1D8D-A72F-44A2-BAB5-A0BAD4827F6D}"/>
    <cellStyle name="Currency 5 2 2 5 10 2" xfId="18527" xr:uid="{AAE0765A-CD2B-4D25-9A3F-D3CC88E47D96}"/>
    <cellStyle name="Currency 5 2 2 5 11" xfId="9756" xr:uid="{C4FD6B6E-1BF1-49F7-ACA6-EEC23A385AFA}"/>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532" xr:uid="{7B954231-7F31-4596-940D-C41D8889709C}"/>
    <cellStyle name="Currency 5 2 2 5 2 2 3" xfId="12315" xr:uid="{CFFDE0CC-987C-41D7-B430-0BB34975D77A}"/>
    <cellStyle name="Currency 5 2 2 5 2 3" xfId="5061" xr:uid="{00000000-0005-0000-0000-00000E0C0000}"/>
    <cellStyle name="Currency 5 2 2 5 2 3 2" xfId="14387" xr:uid="{5C1616E1-8AE2-4809-80E6-77A74F53412E}"/>
    <cellStyle name="Currency 5 2 2 5 2 4" xfId="9598" xr:uid="{EBD3270B-608E-49E1-8A20-C5ADF81FBC1B}"/>
    <cellStyle name="Currency 5 2 2 5 2 4 2" xfId="18902" xr:uid="{E0480504-7D7E-4F2A-97DA-3BB9A18FF605}"/>
    <cellStyle name="Currency 5 2 2 5 2 5" xfId="10170" xr:uid="{18D191D2-F6FA-4039-8B81-F0DC014D28BC}"/>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45" xr:uid="{64CC856F-34E6-4E42-B730-F45F73DBE725}"/>
    <cellStyle name="Currency 5 2 2 5 3 2 3" xfId="12728" xr:uid="{027BF9D2-9B30-4E7C-B314-F6727FE3D375}"/>
    <cellStyle name="Currency 5 2 2 5 3 3" xfId="5474" xr:uid="{00000000-0005-0000-0000-0000120C0000}"/>
    <cellStyle name="Currency 5 2 2 5 3 3 2" xfId="14800" xr:uid="{8ADA71DA-3652-46AE-A007-C7E1B78A8EC3}"/>
    <cellStyle name="Currency 5 2 2 5 3 4" xfId="10583" xr:uid="{974F6C36-E344-41B9-9410-1B13CC7671F2}"/>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58" xr:uid="{4DCCC73E-A148-454F-8CC0-63448132068D}"/>
    <cellStyle name="Currency 5 2 2 5 4 2 3" xfId="13141" xr:uid="{093C7AC5-3224-4E55-9B93-13B9DDAA190D}"/>
    <cellStyle name="Currency 5 2 2 5 4 3" xfId="5887" xr:uid="{00000000-0005-0000-0000-0000160C0000}"/>
    <cellStyle name="Currency 5 2 2 5 4 3 2" xfId="15213" xr:uid="{807E371A-AAD1-401F-926D-80010925A883}"/>
    <cellStyle name="Currency 5 2 2 5 4 4" xfId="10996" xr:uid="{A75AE851-BC78-44B9-A37A-50A4DBE2AE63}"/>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71" xr:uid="{6FBE0AE7-1BA7-4955-8B77-B9FBF80C69F6}"/>
    <cellStyle name="Currency 5 2 2 5 5 2 3" xfId="13554" xr:uid="{19D33B5E-6B45-45EE-BB82-B65EC9B72CBA}"/>
    <cellStyle name="Currency 5 2 2 5 5 3" xfId="6300" xr:uid="{00000000-0005-0000-0000-00001A0C0000}"/>
    <cellStyle name="Currency 5 2 2 5 5 3 2" xfId="15626" xr:uid="{BEC73741-EEF8-43A2-8CEE-5E57F593C7C6}"/>
    <cellStyle name="Currency 5 2 2 5 5 4" xfId="11409" xr:uid="{6EB747E9-E78E-4FB0-80A2-89031A014395}"/>
    <cellStyle name="Currency 5 2 2 5 6" xfId="2429" xr:uid="{00000000-0005-0000-0000-00001B0C0000}"/>
    <cellStyle name="Currency 5 2 2 5 6 2" xfId="6713" xr:uid="{00000000-0005-0000-0000-00001C0C0000}"/>
    <cellStyle name="Currency 5 2 2 5 6 2 2" xfId="16039" xr:uid="{3BDC572B-CCDC-489D-B78E-027E706D289B}"/>
    <cellStyle name="Currency 5 2 2 5 6 3" xfId="11822" xr:uid="{FC178674-CFDF-443A-9BCA-1955885F3942}"/>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56" xr:uid="{19A9C649-B75E-4D71-A650-E3580B16A8B9}"/>
    <cellStyle name="Currency 5 2 2 5 8 3" xfId="12139" xr:uid="{1378DD61-87EF-40B3-80B6-BCD3EB1E507D}"/>
    <cellStyle name="Currency 5 2 2 5 9" xfId="4647" xr:uid="{00000000-0005-0000-0000-0000200C0000}"/>
    <cellStyle name="Currency 5 2 2 5 9 2" xfId="13973" xr:uid="{9F60818A-D0D4-4E54-8A32-E96BA0824937}"/>
    <cellStyle name="Currency 5 2 2 6" xfId="9584" xr:uid="{DC5749FB-A314-4F8C-B61F-309C27A570F5}"/>
    <cellStyle name="Currency 5 2 2 7" xfId="8787" xr:uid="{822EE7D8-70A6-49D7-843D-E84C848DC397}"/>
    <cellStyle name="Currency 5 2 2 7 2" xfId="18111" xr:uid="{2B11BEA0-79FB-4C4F-8D1F-0C905CF61736}"/>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74" xr:uid="{6DF8707E-DCC6-4D85-A549-693FB5E29359}"/>
    <cellStyle name="Currency 5 2 4 11" xfId="8859" xr:uid="{D3A5F8AD-5F4E-4BEA-A9B4-9A705A015524}"/>
    <cellStyle name="Currency 5 2 4 11 2" xfId="18183" xr:uid="{74A9B812-0D65-45FE-A7B6-9CD6CD1B2C94}"/>
    <cellStyle name="Currency 5 2 4 12" xfId="9757" xr:uid="{C754C7E5-B7BB-4AAB-9902-00D1E905B0C1}"/>
    <cellStyle name="Currency 5 2 4 2" xfId="206" xr:uid="{00000000-0005-0000-0000-0000250C0000}"/>
    <cellStyle name="Currency 5 2 4 2 10" xfId="9066" xr:uid="{2F7A28AF-2120-4AAF-A58B-33C2E07F597D}"/>
    <cellStyle name="Currency 5 2 4 2 10 2" xfId="18390" xr:uid="{0EA1D226-1295-4362-A70E-99AE4967BC5F}"/>
    <cellStyle name="Currency 5 2 4 2 11" xfId="9758" xr:uid="{8E1DDCA5-4009-458E-B209-CAFB169FF651}"/>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534" xr:uid="{5FCC08C1-239E-4B69-89CD-DDAA1A9DBCD7}"/>
    <cellStyle name="Currency 5 2 4 2 2 2 3" xfId="12317" xr:uid="{66671AEA-CCF1-41AE-A04B-5EF8524E414E}"/>
    <cellStyle name="Currency 5 2 4 2 2 3" xfId="5063" xr:uid="{00000000-0005-0000-0000-0000290C0000}"/>
    <cellStyle name="Currency 5 2 4 2 2 3 2" xfId="14389" xr:uid="{F8C32392-A802-4A56-B23B-6F2D61C57D35}"/>
    <cellStyle name="Currency 5 2 4 2 2 4" xfId="9491" xr:uid="{64B868C7-9024-4970-9E74-7DF82417BD7A}"/>
    <cellStyle name="Currency 5 2 4 2 2 4 2" xfId="18806" xr:uid="{94B4C353-72BA-4834-80BD-95AC18D6F760}"/>
    <cellStyle name="Currency 5 2 4 2 2 5" xfId="10172" xr:uid="{7FC13B25-246A-4EBD-8C45-41A9E9B78FA7}"/>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47" xr:uid="{95682351-1F1C-4283-AC8B-96A6D46A2E41}"/>
    <cellStyle name="Currency 5 2 4 2 3 2 3" xfId="12730" xr:uid="{F0B711D3-5911-4D90-8B0D-05F37194282E}"/>
    <cellStyle name="Currency 5 2 4 2 3 3" xfId="5476" xr:uid="{00000000-0005-0000-0000-00002D0C0000}"/>
    <cellStyle name="Currency 5 2 4 2 3 3 2" xfId="14802" xr:uid="{C150DD3F-82B6-4270-8245-DE7887EE1555}"/>
    <cellStyle name="Currency 5 2 4 2 3 4" xfId="10585" xr:uid="{55F35FC1-E42B-4928-B8C5-B93146A6BFB2}"/>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60" xr:uid="{4C18B88D-A102-49AB-B657-654ED20B6104}"/>
    <cellStyle name="Currency 5 2 4 2 4 2 3" xfId="13143" xr:uid="{F82EB6BB-1C4E-4266-BC01-E05ACEB67207}"/>
    <cellStyle name="Currency 5 2 4 2 4 3" xfId="5889" xr:uid="{00000000-0005-0000-0000-0000310C0000}"/>
    <cellStyle name="Currency 5 2 4 2 4 3 2" xfId="15215" xr:uid="{EBA94C9C-BA5C-4E0B-9C70-A2D25D1CACA7}"/>
    <cellStyle name="Currency 5 2 4 2 4 4" xfId="10998" xr:uid="{FD895C39-A724-4F4D-A5BB-8DBA6E02D2C6}"/>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73" xr:uid="{F6C5CA9E-C71F-4F26-A184-A615A58C2EF5}"/>
    <cellStyle name="Currency 5 2 4 2 5 2 3" xfId="13556" xr:uid="{406303BF-10C0-4C9D-A013-486A9417EF60}"/>
    <cellStyle name="Currency 5 2 4 2 5 3" xfId="6302" xr:uid="{00000000-0005-0000-0000-0000350C0000}"/>
    <cellStyle name="Currency 5 2 4 2 5 3 2" xfId="15628" xr:uid="{BEBB8D23-1145-498B-B88B-08402D61FBA3}"/>
    <cellStyle name="Currency 5 2 4 2 5 4" xfId="11411" xr:uid="{7461C735-702B-40A7-82D7-84CA3AC6E706}"/>
    <cellStyle name="Currency 5 2 4 2 6" xfId="2431" xr:uid="{00000000-0005-0000-0000-0000360C0000}"/>
    <cellStyle name="Currency 5 2 4 2 6 2" xfId="6715" xr:uid="{00000000-0005-0000-0000-0000370C0000}"/>
    <cellStyle name="Currency 5 2 4 2 6 2 2" xfId="16041" xr:uid="{87E4B719-ADB4-486F-AFCA-59810C7B5EAD}"/>
    <cellStyle name="Currency 5 2 4 2 6 3" xfId="11824" xr:uid="{A5B87E67-26E2-4180-96A7-6D63DE960BBC}"/>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58" xr:uid="{D7640D97-539B-48EE-86D9-427D6FC36A5B}"/>
    <cellStyle name="Currency 5 2 4 2 8 3" xfId="12141" xr:uid="{77C75D00-FDCE-4C83-82DC-0FBCC97E936E}"/>
    <cellStyle name="Currency 5 2 4 2 9" xfId="4649" xr:uid="{00000000-0005-0000-0000-00003B0C0000}"/>
    <cellStyle name="Currency 5 2 4 2 9 2" xfId="13975" xr:uid="{90646AA4-803E-41A9-85BF-C6E741F3747F}"/>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533" xr:uid="{2C77D690-9BBB-4EDF-A3E8-1D6CB0A5A4CC}"/>
    <cellStyle name="Currency 5 2 4 3 2 3" xfId="12316" xr:uid="{B52E59EB-4432-4EDB-B498-8B61C0191FB2}"/>
    <cellStyle name="Currency 5 2 4 3 3" xfId="5062" xr:uid="{00000000-0005-0000-0000-00003F0C0000}"/>
    <cellStyle name="Currency 5 2 4 3 3 2" xfId="14388" xr:uid="{CBC7BD95-3413-4495-AAE0-8353F3878799}"/>
    <cellStyle name="Currency 5 2 4 3 4" xfId="9284" xr:uid="{1D0B72AC-AFAC-428F-8BF0-6DFF9565613D}"/>
    <cellStyle name="Currency 5 2 4 3 4 2" xfId="18599" xr:uid="{FBA59987-0117-4CE8-8082-BB9B8C292448}"/>
    <cellStyle name="Currency 5 2 4 3 5" xfId="10171" xr:uid="{A6985AD4-A4BC-404F-AD74-6BD2C617A001}"/>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46" xr:uid="{24B4A21C-9137-42C1-B36D-B0C21370AF66}"/>
    <cellStyle name="Currency 5 2 4 4 2 3" xfId="12729" xr:uid="{0E2FC759-4A14-41B5-B043-D94C19AD1370}"/>
    <cellStyle name="Currency 5 2 4 4 3" xfId="5475" xr:uid="{00000000-0005-0000-0000-0000430C0000}"/>
    <cellStyle name="Currency 5 2 4 4 3 2" xfId="14801" xr:uid="{7680D98E-06E9-4F10-A2CB-4115316F9209}"/>
    <cellStyle name="Currency 5 2 4 4 4" xfId="10584" xr:uid="{8B21D8BF-5C97-423E-9320-46F91E144D3E}"/>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59" xr:uid="{A18C8511-6B8B-4552-B7E4-F1101004E16D}"/>
    <cellStyle name="Currency 5 2 4 5 2 3" xfId="13142" xr:uid="{35CDC980-6AA3-4D6D-B675-B8250D27AF06}"/>
    <cellStyle name="Currency 5 2 4 5 3" xfId="5888" xr:uid="{00000000-0005-0000-0000-0000470C0000}"/>
    <cellStyle name="Currency 5 2 4 5 3 2" xfId="15214" xr:uid="{A73EAE95-5972-4BFC-804F-F05CA35FA5FA}"/>
    <cellStyle name="Currency 5 2 4 5 4" xfId="10997" xr:uid="{B25E23B9-3FD0-4576-8876-106299AE7A31}"/>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72" xr:uid="{75BBD8E4-DA1F-45E9-A2DA-E652C2974C16}"/>
    <cellStyle name="Currency 5 2 4 6 2 3" xfId="13555" xr:uid="{2637873B-7C47-4910-8C3D-859212DB56E5}"/>
    <cellStyle name="Currency 5 2 4 6 3" xfId="6301" xr:uid="{00000000-0005-0000-0000-00004B0C0000}"/>
    <cellStyle name="Currency 5 2 4 6 3 2" xfId="15627" xr:uid="{4F780FFB-9D6F-4BC0-8F14-A63C12AD224F}"/>
    <cellStyle name="Currency 5 2 4 6 4" xfId="11410" xr:uid="{500748FC-7C5F-4063-8573-BE2285693A17}"/>
    <cellStyle name="Currency 5 2 4 7" xfId="2430" xr:uid="{00000000-0005-0000-0000-00004C0C0000}"/>
    <cellStyle name="Currency 5 2 4 7 2" xfId="6714" xr:uid="{00000000-0005-0000-0000-00004D0C0000}"/>
    <cellStyle name="Currency 5 2 4 7 2 2" xfId="16040" xr:uid="{E4F4A759-9A5B-4C6C-AA33-9C9103509360}"/>
    <cellStyle name="Currency 5 2 4 7 3" xfId="11823" xr:uid="{FB02F413-6F0F-45FA-BCC5-B3B30B3520B4}"/>
    <cellStyle name="Currency 5 2 4 8" xfId="2727" xr:uid="{00000000-0005-0000-0000-00004E0C0000}"/>
    <cellStyle name="Currency 5 2 4 9" xfId="2808" xr:uid="{00000000-0005-0000-0000-00004F0C0000}"/>
    <cellStyle name="Currency 5 2 4 9 2" xfId="7031" xr:uid="{00000000-0005-0000-0000-0000500C0000}"/>
    <cellStyle name="Currency 5 2 4 9 2 2" xfId="16357" xr:uid="{85E9625C-A604-46D5-8D6A-B0CEE7FC9072}"/>
    <cellStyle name="Currency 5 2 4 9 3" xfId="12140" xr:uid="{9E326AFF-2EBA-4E10-A21A-49B0B49AAFC5}"/>
    <cellStyle name="Currency 5 2 5" xfId="207" xr:uid="{00000000-0005-0000-0000-0000510C0000}"/>
    <cellStyle name="Currency 5 2 5 10" xfId="8975" xr:uid="{3422EC31-C47F-46E0-A50C-FE05B1979387}"/>
    <cellStyle name="Currency 5 2 5 10 2" xfId="18299" xr:uid="{79D3FA0F-A1ED-4D43-845F-940524537823}"/>
    <cellStyle name="Currency 5 2 5 11" xfId="9759" xr:uid="{0FFF2242-0D14-4AEF-B572-DD3E51436BDC}"/>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535" xr:uid="{3E384195-F668-49EF-BDD9-1F84D26F3987}"/>
    <cellStyle name="Currency 5 2 5 2 2 3" xfId="12318" xr:uid="{5DA2A158-70CC-495F-B9BE-FC7B0EDBB5CD}"/>
    <cellStyle name="Currency 5 2 5 2 3" xfId="5064" xr:uid="{00000000-0005-0000-0000-0000550C0000}"/>
    <cellStyle name="Currency 5 2 5 2 3 2" xfId="14390" xr:uid="{F287A549-C28F-4943-8709-B1E29FBAB21F}"/>
    <cellStyle name="Currency 5 2 5 2 4" xfId="9400" xr:uid="{6620DDCD-05C0-4AFD-8A83-F1190101CCB3}"/>
    <cellStyle name="Currency 5 2 5 2 4 2" xfId="18715" xr:uid="{77E98293-0F76-422E-9E7B-7BDEB8A5B59B}"/>
    <cellStyle name="Currency 5 2 5 2 5" xfId="10173" xr:uid="{236C3787-4FEE-46C8-A6EE-32DBF0272368}"/>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48" xr:uid="{5BFF3784-FFCF-44BA-9A1D-8D85C97D5F84}"/>
    <cellStyle name="Currency 5 2 5 3 2 3" xfId="12731" xr:uid="{F8F523EF-AF68-4FE9-9F64-BB0620300BE1}"/>
    <cellStyle name="Currency 5 2 5 3 3" xfId="5477" xr:uid="{00000000-0005-0000-0000-0000590C0000}"/>
    <cellStyle name="Currency 5 2 5 3 3 2" xfId="14803" xr:uid="{931AB565-54E0-44F7-848D-B5D214FEECE1}"/>
    <cellStyle name="Currency 5 2 5 3 4" xfId="10586" xr:uid="{2D06F5E9-4BF7-41B0-A4E0-5DCC3DCA04BE}"/>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61" xr:uid="{C49073C8-42CD-4A82-B35F-70C46F4C0903}"/>
    <cellStyle name="Currency 5 2 5 4 2 3" xfId="13144" xr:uid="{C415BD91-30A2-4450-BE17-AEAEE51C82BF}"/>
    <cellStyle name="Currency 5 2 5 4 3" xfId="5890" xr:uid="{00000000-0005-0000-0000-00005D0C0000}"/>
    <cellStyle name="Currency 5 2 5 4 3 2" xfId="15216" xr:uid="{67711BD7-CB87-4D4D-968B-80C347A72DA5}"/>
    <cellStyle name="Currency 5 2 5 4 4" xfId="10999" xr:uid="{3E97E283-417C-4990-BAB9-95404AD7C898}"/>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74" xr:uid="{72850689-678B-4BEF-9BB8-F105B13496D6}"/>
    <cellStyle name="Currency 5 2 5 5 2 3" xfId="13557" xr:uid="{E794A723-FE93-429F-9F9A-3CF45BD7ABB5}"/>
    <cellStyle name="Currency 5 2 5 5 3" xfId="6303" xr:uid="{00000000-0005-0000-0000-0000610C0000}"/>
    <cellStyle name="Currency 5 2 5 5 3 2" xfId="15629" xr:uid="{8D19D857-5840-4CE9-A678-6708264C6A65}"/>
    <cellStyle name="Currency 5 2 5 5 4" xfId="11412" xr:uid="{02B68B91-C8B8-470E-977F-8CF20CECDB36}"/>
    <cellStyle name="Currency 5 2 5 6" xfId="2432" xr:uid="{00000000-0005-0000-0000-0000620C0000}"/>
    <cellStyle name="Currency 5 2 5 6 2" xfId="6716" xr:uid="{00000000-0005-0000-0000-0000630C0000}"/>
    <cellStyle name="Currency 5 2 5 6 2 2" xfId="16042" xr:uid="{61E1B797-B332-4FF0-9840-969ABBC385F4}"/>
    <cellStyle name="Currency 5 2 5 6 3" xfId="11825" xr:uid="{21BA1923-04BB-4D4D-AD93-264A9FAD7228}"/>
    <cellStyle name="Currency 5 2 5 7" xfId="2729" xr:uid="{00000000-0005-0000-0000-0000640C0000}"/>
    <cellStyle name="Currency 5 2 5 8" xfId="2810" xr:uid="{00000000-0005-0000-0000-0000650C0000}"/>
    <cellStyle name="Currency 5 2 5 8 2" xfId="7033" xr:uid="{00000000-0005-0000-0000-0000660C0000}"/>
    <cellStyle name="Currency 5 2 5 8 2 2" xfId="16359" xr:uid="{869E5837-2926-415C-B793-A77DE23EC6E1}"/>
    <cellStyle name="Currency 5 2 5 8 3" xfId="12142" xr:uid="{39D22C78-CA02-4928-8B3B-D08F0DBE9F2F}"/>
    <cellStyle name="Currency 5 2 5 9" xfId="4650" xr:uid="{00000000-0005-0000-0000-0000670C0000}"/>
    <cellStyle name="Currency 5 2 5 9 2" xfId="13976" xr:uid="{296DD46B-8D2C-4946-BF5E-8CE2ABAF0E8D}"/>
    <cellStyle name="Currency 5 2 6" xfId="208" xr:uid="{00000000-0005-0000-0000-0000680C0000}"/>
    <cellStyle name="Currency 5 2 6 10" xfId="9178" xr:uid="{19F6D70E-88E4-4E39-A1A9-3FF3D840E2F9}"/>
    <cellStyle name="Currency 5 2 6 10 2" xfId="18496" xr:uid="{7BD319F5-BE90-4341-AB33-E9B6FD8405EA}"/>
    <cellStyle name="Currency 5 2 6 11" xfId="9760" xr:uid="{DD490AF1-6D2A-479E-8F28-3AE1DFC253B7}"/>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536" xr:uid="{FA06B15E-A203-4413-8CAC-5D6085A31FE5}"/>
    <cellStyle name="Currency 5 2 6 2 2 3" xfId="12319" xr:uid="{2677DBA3-87BB-4E46-B016-EE68F3F4F530}"/>
    <cellStyle name="Currency 5 2 6 2 3" xfId="5065" xr:uid="{00000000-0005-0000-0000-00006C0C0000}"/>
    <cellStyle name="Currency 5 2 6 2 3 2" xfId="14391" xr:uid="{87A1AC97-8D73-4932-9B43-6ED7BF759934}"/>
    <cellStyle name="Currency 5 2 6 2 4" xfId="9599" xr:uid="{C2EE182C-D73D-4E6C-9671-0484CB4E8D68}"/>
    <cellStyle name="Currency 5 2 6 2 4 2" xfId="18903" xr:uid="{6C793693-7CCF-4ACD-A938-BC3DD241D0E9}"/>
    <cellStyle name="Currency 5 2 6 2 5" xfId="10174" xr:uid="{8BBD1071-1000-4A46-A857-4D28607ACF49}"/>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49" xr:uid="{8440879C-AF04-414F-A84A-B4F4E3024918}"/>
    <cellStyle name="Currency 5 2 6 3 2 3" xfId="12732" xr:uid="{A196D1E5-7B96-43FF-97EE-836A82A60A42}"/>
    <cellStyle name="Currency 5 2 6 3 3" xfId="5478" xr:uid="{00000000-0005-0000-0000-0000700C0000}"/>
    <cellStyle name="Currency 5 2 6 3 3 2" xfId="14804" xr:uid="{73A1F51E-7CC2-405F-9032-87CFB61E19F7}"/>
    <cellStyle name="Currency 5 2 6 3 4" xfId="10587" xr:uid="{AEEF48BD-B54B-453E-9AC0-A7F2C6A4F785}"/>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62" xr:uid="{17D38026-B8D2-46AB-99DE-6056D3774823}"/>
    <cellStyle name="Currency 5 2 6 4 2 3" xfId="13145" xr:uid="{430B6DF2-68B2-4258-A20F-549EE765DBD2}"/>
    <cellStyle name="Currency 5 2 6 4 3" xfId="5891" xr:uid="{00000000-0005-0000-0000-0000740C0000}"/>
    <cellStyle name="Currency 5 2 6 4 3 2" xfId="15217" xr:uid="{D4775016-DF23-4304-8170-4C1D200AA1C6}"/>
    <cellStyle name="Currency 5 2 6 4 4" xfId="11000" xr:uid="{C483A4C2-484A-4CC3-8539-B33A5169F3CA}"/>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75" xr:uid="{6468544E-8651-4FFA-8B8A-C6BF84EF3E85}"/>
    <cellStyle name="Currency 5 2 6 5 2 3" xfId="13558" xr:uid="{4B6379BA-52DE-4F95-9358-606BC3ACD707}"/>
    <cellStyle name="Currency 5 2 6 5 3" xfId="6304" xr:uid="{00000000-0005-0000-0000-0000780C0000}"/>
    <cellStyle name="Currency 5 2 6 5 3 2" xfId="15630" xr:uid="{5A49310F-2046-4D9F-81F8-A6EB365479D6}"/>
    <cellStyle name="Currency 5 2 6 5 4" xfId="11413" xr:uid="{572DFEAA-64C7-4914-BE1F-536074C8B536}"/>
    <cellStyle name="Currency 5 2 6 6" xfId="2433" xr:uid="{00000000-0005-0000-0000-0000790C0000}"/>
    <cellStyle name="Currency 5 2 6 6 2" xfId="6717" xr:uid="{00000000-0005-0000-0000-00007A0C0000}"/>
    <cellStyle name="Currency 5 2 6 6 2 2" xfId="16043" xr:uid="{2BE57B41-74D8-4574-960B-ABC45EBC53A1}"/>
    <cellStyle name="Currency 5 2 6 6 3" xfId="11826" xr:uid="{E597DF12-673D-47ED-8AB8-0A891F4A685C}"/>
    <cellStyle name="Currency 5 2 6 7" xfId="2730" xr:uid="{00000000-0005-0000-0000-00007B0C0000}"/>
    <cellStyle name="Currency 5 2 6 8" xfId="2811" xr:uid="{00000000-0005-0000-0000-00007C0C0000}"/>
    <cellStyle name="Currency 5 2 6 8 2" xfId="7034" xr:uid="{00000000-0005-0000-0000-00007D0C0000}"/>
    <cellStyle name="Currency 5 2 6 8 2 2" xfId="16360" xr:uid="{F1B778AC-1A30-4683-97D7-0831767E1B12}"/>
    <cellStyle name="Currency 5 2 6 8 3" xfId="12143" xr:uid="{1DA6CAFD-EEFF-44AD-9B48-3303E1102C70}"/>
    <cellStyle name="Currency 5 2 6 9" xfId="4651" xr:uid="{00000000-0005-0000-0000-00007E0C0000}"/>
    <cellStyle name="Currency 5 2 6 9 2" xfId="13977" xr:uid="{3DF0A9E3-94F8-46F3-AE11-D0721C5A9244}"/>
    <cellStyle name="Currency 5 2 7" xfId="722" xr:uid="{00000000-0005-0000-0000-00007F0C0000}"/>
    <cellStyle name="Currency 5 2 8" xfId="8756" xr:uid="{D16196A2-D0A3-46A2-9B14-6B017B4CC82F}"/>
    <cellStyle name="Currency 5 2 8 2" xfId="18080" xr:uid="{126E83F6-280D-421F-BBC6-5AA6FC18A63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61" xr:uid="{376FF494-356C-4737-A111-C89204C1B7F3}"/>
    <cellStyle name="Currency 5 3 2 10 3" xfId="12144" xr:uid="{B2A7961E-11AA-4415-A9D7-DBCE80F01C8A}"/>
    <cellStyle name="Currency 5 3 2 11" xfId="4652" xr:uid="{00000000-0005-0000-0000-0000840C0000}"/>
    <cellStyle name="Currency 5 3 2 11 2" xfId="13978" xr:uid="{12C78280-739F-401C-859C-801260888344}"/>
    <cellStyle name="Currency 5 3 2 12" xfId="8810" xr:uid="{C5234FF9-D509-4CD8-ADA1-D3604CCF3D1F}"/>
    <cellStyle name="Currency 5 3 2 12 2" xfId="18134" xr:uid="{34AF9689-84BB-4840-A320-465B8CA8323B}"/>
    <cellStyle name="Currency 5 3 2 13" xfId="9761" xr:uid="{D3EF81F3-104C-4FEB-A6D1-79DC8657A710}"/>
    <cellStyle name="Currency 5 3 2 2" xfId="211" xr:uid="{00000000-0005-0000-0000-0000850C0000}"/>
    <cellStyle name="Currency 5 3 2 2 10" xfId="4653" xr:uid="{00000000-0005-0000-0000-0000860C0000}"/>
    <cellStyle name="Currency 5 3 2 2 10 2" xfId="13979" xr:uid="{87E8DC97-435B-4FFF-9D1B-AC7F765B0E4B}"/>
    <cellStyle name="Currency 5 3 2 2 11" xfId="8913" xr:uid="{FE033F82-2F16-4925-9899-F927AB9AA612}"/>
    <cellStyle name="Currency 5 3 2 2 11 2" xfId="18237" xr:uid="{72F2B9BB-126E-4B30-8F39-771482C1C62E}"/>
    <cellStyle name="Currency 5 3 2 2 12" xfId="9762" xr:uid="{240A035B-D080-433D-914D-4B46C5A1EA7F}"/>
    <cellStyle name="Currency 5 3 2 2 2" xfId="212" xr:uid="{00000000-0005-0000-0000-0000870C0000}"/>
    <cellStyle name="Currency 5 3 2 2 2 10" xfId="9120" xr:uid="{D5536A1F-8418-4CB5-B1E0-470AD716374A}"/>
    <cellStyle name="Currency 5 3 2 2 2 10 2" xfId="18444" xr:uid="{419027A0-8119-4BC0-B7B5-03C97616A693}"/>
    <cellStyle name="Currency 5 3 2 2 2 11" xfId="9763" xr:uid="{AC6BC089-A970-4A2B-8E87-14D0688902C1}"/>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539" xr:uid="{72059A73-EEF7-4860-B71C-3DFA6244E7F3}"/>
    <cellStyle name="Currency 5 3 2 2 2 2 2 3" xfId="12322" xr:uid="{9CDB9374-EAAB-4F84-AB08-7BC4D53B7391}"/>
    <cellStyle name="Currency 5 3 2 2 2 2 3" xfId="5068" xr:uid="{00000000-0005-0000-0000-00008B0C0000}"/>
    <cellStyle name="Currency 5 3 2 2 2 2 3 2" xfId="14394" xr:uid="{E64C28C7-AF41-48E5-809D-CC27D0935748}"/>
    <cellStyle name="Currency 5 3 2 2 2 2 4" xfId="9545" xr:uid="{F6C268D6-0334-42F7-AE4F-535ADD09B625}"/>
    <cellStyle name="Currency 5 3 2 2 2 2 4 2" xfId="18860" xr:uid="{163CDB87-846F-4D9F-9006-2BD4B221A2A6}"/>
    <cellStyle name="Currency 5 3 2 2 2 2 5" xfId="10177" xr:uid="{9620FF75-4C7A-4BA3-B597-7E2EF6BD06F9}"/>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52" xr:uid="{97C8DBED-3C8D-45FF-AD4A-BD99C17C33A2}"/>
    <cellStyle name="Currency 5 3 2 2 2 3 2 3" xfId="12735" xr:uid="{DFF196D6-DA4C-40E7-9C2E-D97968D4992C}"/>
    <cellStyle name="Currency 5 3 2 2 2 3 3" xfId="5481" xr:uid="{00000000-0005-0000-0000-00008F0C0000}"/>
    <cellStyle name="Currency 5 3 2 2 2 3 3 2" xfId="14807" xr:uid="{034CE95D-6116-4483-B0CC-D641B3E0DD38}"/>
    <cellStyle name="Currency 5 3 2 2 2 3 4" xfId="10590" xr:uid="{A0C1EA45-931C-402B-87C1-EC745B1F8A5D}"/>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65" xr:uid="{F8F3B351-C7E7-4929-BDA1-833A4C230D4A}"/>
    <cellStyle name="Currency 5 3 2 2 2 4 2 3" xfId="13148" xr:uid="{99D93044-74DF-4D5B-9F78-FE9E35CD7E5D}"/>
    <cellStyle name="Currency 5 3 2 2 2 4 3" xfId="5894" xr:uid="{00000000-0005-0000-0000-0000930C0000}"/>
    <cellStyle name="Currency 5 3 2 2 2 4 3 2" xfId="15220" xr:uid="{B2AA8277-20BB-4A81-9649-DF61E41A1988}"/>
    <cellStyle name="Currency 5 3 2 2 2 4 4" xfId="11003" xr:uid="{FAE7D5FB-8CBD-40D3-926F-14573A6D0379}"/>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78" xr:uid="{FFA897B9-AA01-4681-8848-5934C3C343E1}"/>
    <cellStyle name="Currency 5 3 2 2 2 5 2 3" xfId="13561" xr:uid="{A51AC34C-8991-4DCC-B254-97E5314D6B5F}"/>
    <cellStyle name="Currency 5 3 2 2 2 5 3" xfId="6307" xr:uid="{00000000-0005-0000-0000-0000970C0000}"/>
    <cellStyle name="Currency 5 3 2 2 2 5 3 2" xfId="15633" xr:uid="{88CD3172-61CA-4CF9-B20D-A55397498336}"/>
    <cellStyle name="Currency 5 3 2 2 2 5 4" xfId="11416" xr:uid="{0613A0DC-DD8C-493E-9699-EF2F0CC64E93}"/>
    <cellStyle name="Currency 5 3 2 2 2 6" xfId="2436" xr:uid="{00000000-0005-0000-0000-0000980C0000}"/>
    <cellStyle name="Currency 5 3 2 2 2 6 2" xfId="6720" xr:uid="{00000000-0005-0000-0000-0000990C0000}"/>
    <cellStyle name="Currency 5 3 2 2 2 6 2 2" xfId="16046" xr:uid="{A484BD9A-A459-489F-A4E7-81F29113AE88}"/>
    <cellStyle name="Currency 5 3 2 2 2 6 3" xfId="11829" xr:uid="{2ECAD575-BDA8-4A6C-8EEC-07412FF6741F}"/>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63" xr:uid="{181B73A8-F51B-4DA5-9817-541270981DC8}"/>
    <cellStyle name="Currency 5 3 2 2 2 8 3" xfId="12146" xr:uid="{5D59119D-17A9-4FCC-B130-B6B47E9510F2}"/>
    <cellStyle name="Currency 5 3 2 2 2 9" xfId="4654" xr:uid="{00000000-0005-0000-0000-00009D0C0000}"/>
    <cellStyle name="Currency 5 3 2 2 2 9 2" xfId="13980" xr:uid="{2BFFEB60-E832-4E02-964A-C4F344123932}"/>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538" xr:uid="{05ABF8F7-ABA9-46F4-8057-E2C0C821B414}"/>
    <cellStyle name="Currency 5 3 2 2 3 2 3" xfId="12321" xr:uid="{7EBC1711-57B1-42BE-870A-6670EF47C85B}"/>
    <cellStyle name="Currency 5 3 2 2 3 3" xfId="5067" xr:uid="{00000000-0005-0000-0000-0000A10C0000}"/>
    <cellStyle name="Currency 5 3 2 2 3 3 2" xfId="14393" xr:uid="{378DCE31-A23E-4915-8AC6-3737197F1A49}"/>
    <cellStyle name="Currency 5 3 2 2 3 4" xfId="9338" xr:uid="{E79296CA-9516-4DDA-84B2-A3B13AAA9D9D}"/>
    <cellStyle name="Currency 5 3 2 2 3 4 2" xfId="18653" xr:uid="{6F488FAB-60FD-4DDC-AB4F-F0C20EDD3ABF}"/>
    <cellStyle name="Currency 5 3 2 2 3 5" xfId="10176" xr:uid="{51F237F8-FFE0-4457-BE9B-2CB4DB7602B6}"/>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51" xr:uid="{FF11CD74-BEE2-43CF-B410-2A257FED58AC}"/>
    <cellStyle name="Currency 5 3 2 2 4 2 3" xfId="12734" xr:uid="{27B93A7E-CBF5-4595-A06B-F29DA4CA713B}"/>
    <cellStyle name="Currency 5 3 2 2 4 3" xfId="5480" xr:uid="{00000000-0005-0000-0000-0000A50C0000}"/>
    <cellStyle name="Currency 5 3 2 2 4 3 2" xfId="14806" xr:uid="{8B9DE5BE-50F5-4FFE-A14E-2B66EF1A0DD9}"/>
    <cellStyle name="Currency 5 3 2 2 4 4" xfId="10589" xr:uid="{70ABD06D-FB81-4D4E-A81D-191FB3691EF9}"/>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64" xr:uid="{1E83FF54-1CEB-4588-93E2-0467267D5043}"/>
    <cellStyle name="Currency 5 3 2 2 5 2 3" xfId="13147" xr:uid="{4DE03BBB-EDDD-47CE-AA24-215C03D00110}"/>
    <cellStyle name="Currency 5 3 2 2 5 3" xfId="5893" xr:uid="{00000000-0005-0000-0000-0000A90C0000}"/>
    <cellStyle name="Currency 5 3 2 2 5 3 2" xfId="15219" xr:uid="{5A030263-CE64-40FA-A3F2-582CF81F9264}"/>
    <cellStyle name="Currency 5 3 2 2 5 4" xfId="11002" xr:uid="{D224317A-EBE0-4BC2-B1F2-FDC26CE53ADF}"/>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77" xr:uid="{0A022228-2019-4897-857A-95E8D1131E9B}"/>
    <cellStyle name="Currency 5 3 2 2 6 2 3" xfId="13560" xr:uid="{AC635556-9CF4-4DD1-8B5F-04DDAA64AAAF}"/>
    <cellStyle name="Currency 5 3 2 2 6 3" xfId="6306" xr:uid="{00000000-0005-0000-0000-0000AD0C0000}"/>
    <cellStyle name="Currency 5 3 2 2 6 3 2" xfId="15632" xr:uid="{C40D2305-3546-472D-B5BF-57070202944E}"/>
    <cellStyle name="Currency 5 3 2 2 6 4" xfId="11415" xr:uid="{BA4439D6-4223-494C-90B1-C6C009AD6268}"/>
    <cellStyle name="Currency 5 3 2 2 7" xfId="2435" xr:uid="{00000000-0005-0000-0000-0000AE0C0000}"/>
    <cellStyle name="Currency 5 3 2 2 7 2" xfId="6719" xr:uid="{00000000-0005-0000-0000-0000AF0C0000}"/>
    <cellStyle name="Currency 5 3 2 2 7 2 2" xfId="16045" xr:uid="{A9B8F555-30AC-41E0-9210-873A3BC0019C}"/>
    <cellStyle name="Currency 5 3 2 2 7 3" xfId="11828" xr:uid="{A19A1376-8525-4D61-A309-9BACB885FD5C}"/>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62" xr:uid="{9FB1CDA2-E5DA-4585-BDC6-61EF7DD93F13}"/>
    <cellStyle name="Currency 5 3 2 2 9 3" xfId="12145" xr:uid="{9311A712-71A2-4C1B-9D70-04727948E608}"/>
    <cellStyle name="Currency 5 3 2 3" xfId="213" xr:uid="{00000000-0005-0000-0000-0000B30C0000}"/>
    <cellStyle name="Currency 5 3 2 3 10" xfId="9017" xr:uid="{A6213F8D-EE09-4095-B9BE-99C55DEE210F}"/>
    <cellStyle name="Currency 5 3 2 3 10 2" xfId="18341" xr:uid="{87EFE8E2-5E88-4AB1-BA95-4BB4463651C3}"/>
    <cellStyle name="Currency 5 3 2 3 11" xfId="9764" xr:uid="{54771623-F12B-48B1-A2AE-7C67C0DFA02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540" xr:uid="{A8EAE820-BA70-4B3E-B177-B36667C51EE7}"/>
    <cellStyle name="Currency 5 3 2 3 2 2 3" xfId="12323" xr:uid="{5652C5F1-9D20-42A5-AE40-A4E89B526036}"/>
    <cellStyle name="Currency 5 3 2 3 2 3" xfId="5069" xr:uid="{00000000-0005-0000-0000-0000B70C0000}"/>
    <cellStyle name="Currency 5 3 2 3 2 3 2" xfId="14395" xr:uid="{F957CC3C-A40F-432B-B2B3-7FCEE5B428FE}"/>
    <cellStyle name="Currency 5 3 2 3 2 4" xfId="9442" xr:uid="{AE48BD1F-B5DA-4007-BBEE-128FE2FE74D7}"/>
    <cellStyle name="Currency 5 3 2 3 2 4 2" xfId="18757" xr:uid="{8F49E52C-EC42-4CE6-818B-A68B87EF5370}"/>
    <cellStyle name="Currency 5 3 2 3 2 5" xfId="10178" xr:uid="{52A6F3B3-78A6-4756-8CEC-D52C5E220A54}"/>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53" xr:uid="{5F5A47EC-3E2C-41EB-9F27-DC4270B02E9A}"/>
    <cellStyle name="Currency 5 3 2 3 3 2 3" xfId="12736" xr:uid="{27035E4C-54C7-490F-B436-2FAFA3D1AE8D}"/>
    <cellStyle name="Currency 5 3 2 3 3 3" xfId="5482" xr:uid="{00000000-0005-0000-0000-0000BB0C0000}"/>
    <cellStyle name="Currency 5 3 2 3 3 3 2" xfId="14808" xr:uid="{744AE701-B91F-473F-9CA2-B4D3803B71C1}"/>
    <cellStyle name="Currency 5 3 2 3 3 4" xfId="10591" xr:uid="{7271F213-F323-4018-8C86-546480FE89D7}"/>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66" xr:uid="{C951DC08-9EDA-4B04-9C56-0CBEB4C10130}"/>
    <cellStyle name="Currency 5 3 2 3 4 2 3" xfId="13149" xr:uid="{86E7C3BF-5F1A-458A-BF5D-AD398814047A}"/>
    <cellStyle name="Currency 5 3 2 3 4 3" xfId="5895" xr:uid="{00000000-0005-0000-0000-0000BF0C0000}"/>
    <cellStyle name="Currency 5 3 2 3 4 3 2" xfId="15221" xr:uid="{15D676BF-7DA4-4F06-A71F-EDB35CDA6DCC}"/>
    <cellStyle name="Currency 5 3 2 3 4 4" xfId="11004" xr:uid="{0576A2BF-8213-47E1-9701-02A2C3915EBF}"/>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79" xr:uid="{37AB33E8-2ACD-48E4-97C0-0FAEF3213E89}"/>
    <cellStyle name="Currency 5 3 2 3 5 2 3" xfId="13562" xr:uid="{31DB791F-9138-4EC9-9311-35B703A2F528}"/>
    <cellStyle name="Currency 5 3 2 3 5 3" xfId="6308" xr:uid="{00000000-0005-0000-0000-0000C30C0000}"/>
    <cellStyle name="Currency 5 3 2 3 5 3 2" xfId="15634" xr:uid="{E033C301-5D3D-4023-9290-247506F1A4BC}"/>
    <cellStyle name="Currency 5 3 2 3 5 4" xfId="11417" xr:uid="{E0D44486-DE59-4B45-B0C1-B38DCA00E9E3}"/>
    <cellStyle name="Currency 5 3 2 3 6" xfId="2437" xr:uid="{00000000-0005-0000-0000-0000C40C0000}"/>
    <cellStyle name="Currency 5 3 2 3 6 2" xfId="6721" xr:uid="{00000000-0005-0000-0000-0000C50C0000}"/>
    <cellStyle name="Currency 5 3 2 3 6 2 2" xfId="16047" xr:uid="{1A1F5408-F610-45B3-98DC-1C18F9525D01}"/>
    <cellStyle name="Currency 5 3 2 3 6 3" xfId="11830" xr:uid="{DB7E17B9-2B5A-4E4D-A4CE-9F45069946E1}"/>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64" xr:uid="{0E4780E1-6133-4CE0-BDE1-FF6C85636D03}"/>
    <cellStyle name="Currency 5 3 2 3 8 3" xfId="12147" xr:uid="{7F7E3DC0-744A-4003-BE21-D1AB526A16CC}"/>
    <cellStyle name="Currency 5 3 2 3 9" xfId="4655" xr:uid="{00000000-0005-0000-0000-0000C90C0000}"/>
    <cellStyle name="Currency 5 3 2 3 9 2" xfId="13981" xr:uid="{3191BDEA-2641-4E61-9BC4-C1D39F1C5937}"/>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537" xr:uid="{89FF62E6-7D0C-4747-9ACD-7A19712C63CD}"/>
    <cellStyle name="Currency 5 3 2 4 2 3" xfId="12320" xr:uid="{923F226F-D90A-4185-9F70-5FF296D420B6}"/>
    <cellStyle name="Currency 5 3 2 4 3" xfId="5066" xr:uid="{00000000-0005-0000-0000-0000CD0C0000}"/>
    <cellStyle name="Currency 5 3 2 4 3 2" xfId="14392" xr:uid="{8C2C6AC9-637E-4DAB-9ABF-C3C5505C77F0}"/>
    <cellStyle name="Currency 5 3 2 4 4" xfId="9235" xr:uid="{F2FD4117-6EF1-4663-964A-AB5B57E6F469}"/>
    <cellStyle name="Currency 5 3 2 4 4 2" xfId="18550" xr:uid="{28591FE0-1B0D-4EDD-93A2-5A7D5B603758}"/>
    <cellStyle name="Currency 5 3 2 4 5" xfId="10175" xr:uid="{9B0A1608-F46B-473B-982F-18FA541C48CE}"/>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50" xr:uid="{9411EE3A-AD81-41DD-8B11-79C59E105A96}"/>
    <cellStyle name="Currency 5 3 2 5 2 3" xfId="12733" xr:uid="{CE0E39FF-27CC-4BEB-A5D5-70BAAD753953}"/>
    <cellStyle name="Currency 5 3 2 5 3" xfId="5479" xr:uid="{00000000-0005-0000-0000-0000D10C0000}"/>
    <cellStyle name="Currency 5 3 2 5 3 2" xfId="14805" xr:uid="{D375EFBB-C2F3-436E-BE79-16744C190130}"/>
    <cellStyle name="Currency 5 3 2 5 4" xfId="10588" xr:uid="{111F1F39-8D4E-4958-91BE-AABFA106234D}"/>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63" xr:uid="{1A7FEFB2-DBF2-4D58-A780-1FB812C7052D}"/>
    <cellStyle name="Currency 5 3 2 6 2 3" xfId="13146" xr:uid="{1DD966F2-9CBE-4BFC-9792-1D25F03D5E32}"/>
    <cellStyle name="Currency 5 3 2 6 3" xfId="5892" xr:uid="{00000000-0005-0000-0000-0000D50C0000}"/>
    <cellStyle name="Currency 5 3 2 6 3 2" xfId="15218" xr:uid="{F9A4A1D0-E2E3-418F-94E7-EBB093526D3B}"/>
    <cellStyle name="Currency 5 3 2 6 4" xfId="11001" xr:uid="{E54EB3B0-7E9E-4452-8C79-A3E0C9D5BDBA}"/>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76" xr:uid="{8AD44946-8139-43F0-935C-7F4CE4ABC8BE}"/>
    <cellStyle name="Currency 5 3 2 7 2 3" xfId="13559" xr:uid="{9CEB40BF-B196-4FB4-8E72-77365212364C}"/>
    <cellStyle name="Currency 5 3 2 7 3" xfId="6305" xr:uid="{00000000-0005-0000-0000-0000D90C0000}"/>
    <cellStyle name="Currency 5 3 2 7 3 2" xfId="15631" xr:uid="{4EE7AEF2-E68D-4C4A-A853-7660ADE6E2DD}"/>
    <cellStyle name="Currency 5 3 2 7 4" xfId="11414" xr:uid="{AC740A95-1F38-4065-9D5F-34542DDCE016}"/>
    <cellStyle name="Currency 5 3 2 8" xfId="2434" xr:uid="{00000000-0005-0000-0000-0000DA0C0000}"/>
    <cellStyle name="Currency 5 3 2 8 2" xfId="6718" xr:uid="{00000000-0005-0000-0000-0000DB0C0000}"/>
    <cellStyle name="Currency 5 3 2 8 2 2" xfId="16044" xr:uid="{359C5A11-04B0-43B1-84CA-499A06C7D696}"/>
    <cellStyle name="Currency 5 3 2 8 3" xfId="11827" xr:uid="{A6A5D20D-A815-4A16-9D2B-79A2AD36A656}"/>
    <cellStyle name="Currency 5 3 2 9" xfId="2731" xr:uid="{00000000-0005-0000-0000-0000DC0C0000}"/>
    <cellStyle name="Currency 5 3 3" xfId="214" xr:uid="{00000000-0005-0000-0000-0000DD0C0000}"/>
    <cellStyle name="Currency 5 3 3 10" xfId="4656" xr:uid="{00000000-0005-0000-0000-0000DE0C0000}"/>
    <cellStyle name="Currency 5 3 3 10 2" xfId="13982" xr:uid="{39824E11-E7C5-42F1-AAA8-E08E2802658B}"/>
    <cellStyle name="Currency 5 3 3 11" xfId="8882" xr:uid="{A86B3ED4-B552-42F3-9E77-C6763F86EEE6}"/>
    <cellStyle name="Currency 5 3 3 11 2" xfId="18206" xr:uid="{BEFA3B5A-81E9-437A-8B89-700E61E8EB95}"/>
    <cellStyle name="Currency 5 3 3 12" xfId="9765" xr:uid="{5F5CA0C9-9046-40AE-AD71-7C355661584F}"/>
    <cellStyle name="Currency 5 3 3 2" xfId="215" xr:uid="{00000000-0005-0000-0000-0000DF0C0000}"/>
    <cellStyle name="Currency 5 3 3 2 10" xfId="9089" xr:uid="{7CFB8DCC-02AE-4CC5-8E10-3D33399ECECE}"/>
    <cellStyle name="Currency 5 3 3 2 10 2" xfId="18413" xr:uid="{BD13102C-C716-46DD-81A0-F02D3268A4D2}"/>
    <cellStyle name="Currency 5 3 3 2 11" xfId="9766" xr:uid="{40498CD1-1F64-42B0-9169-F176F574CFC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542" xr:uid="{B3C12E08-3D5B-461E-9EA7-7C32BC6C68AE}"/>
    <cellStyle name="Currency 5 3 3 2 2 2 3" xfId="12325" xr:uid="{80741645-62E8-4D8A-A31E-4015BFA70A61}"/>
    <cellStyle name="Currency 5 3 3 2 2 3" xfId="5071" xr:uid="{00000000-0005-0000-0000-0000E30C0000}"/>
    <cellStyle name="Currency 5 3 3 2 2 3 2" xfId="14397" xr:uid="{2CF7911E-3435-4AB5-B665-BDADE33235BD}"/>
    <cellStyle name="Currency 5 3 3 2 2 4" xfId="9514" xr:uid="{9A504F43-6423-4200-B7AF-F17B65B2005C}"/>
    <cellStyle name="Currency 5 3 3 2 2 4 2" xfId="18829" xr:uid="{B78B1D07-12B7-43B9-A087-8F2D34B3DA00}"/>
    <cellStyle name="Currency 5 3 3 2 2 5" xfId="10180" xr:uid="{7A82DE33-7827-44D7-BA60-7CFCE7BC94BF}"/>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55" xr:uid="{A6AF5806-B247-45F8-BEB9-921C0B8759FA}"/>
    <cellStyle name="Currency 5 3 3 2 3 2 3" xfId="12738" xr:uid="{60FDE133-B338-4754-BE1E-C19D2BACE1D6}"/>
    <cellStyle name="Currency 5 3 3 2 3 3" xfId="5484" xr:uid="{00000000-0005-0000-0000-0000E70C0000}"/>
    <cellStyle name="Currency 5 3 3 2 3 3 2" xfId="14810" xr:uid="{55C1FDC6-2994-4127-94ED-C928EEC3B60F}"/>
    <cellStyle name="Currency 5 3 3 2 3 4" xfId="10593" xr:uid="{4DB6E06A-120B-4FB1-90D6-7A3D4A981D05}"/>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68" xr:uid="{A575A6A1-9F0A-46BD-BC38-40BF717A39EA}"/>
    <cellStyle name="Currency 5 3 3 2 4 2 3" xfId="13151" xr:uid="{C198544B-582E-42B4-BDD3-279D1301118C}"/>
    <cellStyle name="Currency 5 3 3 2 4 3" xfId="5897" xr:uid="{00000000-0005-0000-0000-0000EB0C0000}"/>
    <cellStyle name="Currency 5 3 3 2 4 3 2" xfId="15223" xr:uid="{99BCA10D-2C3D-4858-9FBD-5543AE366272}"/>
    <cellStyle name="Currency 5 3 3 2 4 4" xfId="11006" xr:uid="{6B3E5508-4B41-43A2-B821-3AC40696CC23}"/>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81" xr:uid="{024244A4-9CBE-4077-9D0E-82059A06E3E3}"/>
    <cellStyle name="Currency 5 3 3 2 5 2 3" xfId="13564" xr:uid="{CDC018A6-5F7A-4EA2-8E0A-9C452DFAACE8}"/>
    <cellStyle name="Currency 5 3 3 2 5 3" xfId="6310" xr:uid="{00000000-0005-0000-0000-0000EF0C0000}"/>
    <cellStyle name="Currency 5 3 3 2 5 3 2" xfId="15636" xr:uid="{CCEB28B6-9756-4E5D-B3E2-2421D63A426E}"/>
    <cellStyle name="Currency 5 3 3 2 5 4" xfId="11419" xr:uid="{7B19FB56-5E0D-4706-B1EE-3997EEBA58EC}"/>
    <cellStyle name="Currency 5 3 3 2 6" xfId="2439" xr:uid="{00000000-0005-0000-0000-0000F00C0000}"/>
    <cellStyle name="Currency 5 3 3 2 6 2" xfId="6723" xr:uid="{00000000-0005-0000-0000-0000F10C0000}"/>
    <cellStyle name="Currency 5 3 3 2 6 2 2" xfId="16049" xr:uid="{FBE81533-C9D4-4FEC-B4A1-3E8FF4FE0603}"/>
    <cellStyle name="Currency 5 3 3 2 6 3" xfId="11832" xr:uid="{48F46609-A8E9-4A3F-8355-ABCD2FE89945}"/>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66" xr:uid="{96EA57B3-CF6A-46A4-BE2F-A5034AF5F7FE}"/>
    <cellStyle name="Currency 5 3 3 2 8 3" xfId="12149" xr:uid="{35FBC75F-27C1-4A59-AD59-A1A6C21ACB9E}"/>
    <cellStyle name="Currency 5 3 3 2 9" xfId="4657" xr:uid="{00000000-0005-0000-0000-0000F50C0000}"/>
    <cellStyle name="Currency 5 3 3 2 9 2" xfId="13983" xr:uid="{8E784958-5B6B-40E0-A9FB-CBF48D980DF9}"/>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541" xr:uid="{6B47D60C-2259-4189-AAAF-6922AC73EA9F}"/>
    <cellStyle name="Currency 5 3 3 3 2 3" xfId="12324" xr:uid="{D87B8681-6E6B-45F6-9EA5-C003161460BB}"/>
    <cellStyle name="Currency 5 3 3 3 3" xfId="5070" xr:uid="{00000000-0005-0000-0000-0000F90C0000}"/>
    <cellStyle name="Currency 5 3 3 3 3 2" xfId="14396" xr:uid="{CE77FDD6-0D72-45A1-994D-33589125293A}"/>
    <cellStyle name="Currency 5 3 3 3 4" xfId="9307" xr:uid="{3F0512A0-B779-46E4-A963-62E327C6AC5F}"/>
    <cellStyle name="Currency 5 3 3 3 4 2" xfId="18622" xr:uid="{A8332601-C461-4D80-93B2-AAE9DD5B0CE8}"/>
    <cellStyle name="Currency 5 3 3 3 5" xfId="10179" xr:uid="{8CB623AD-BCFB-4023-ACD7-0F935F0CD361}"/>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54" xr:uid="{CA47A44B-0856-4967-8336-C555DB73D84E}"/>
    <cellStyle name="Currency 5 3 3 4 2 3" xfId="12737" xr:uid="{5B895158-437C-4439-8789-B227531B9D8F}"/>
    <cellStyle name="Currency 5 3 3 4 3" xfId="5483" xr:uid="{00000000-0005-0000-0000-0000FD0C0000}"/>
    <cellStyle name="Currency 5 3 3 4 3 2" xfId="14809" xr:uid="{2D3C6D6F-13AD-4B98-B49F-B80B429C824D}"/>
    <cellStyle name="Currency 5 3 3 4 4" xfId="10592" xr:uid="{B9D37A39-785C-42F5-8BD1-795451BB36A1}"/>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67" xr:uid="{5216ED1B-C471-489A-AAAB-6D77C0BBEA10}"/>
    <cellStyle name="Currency 5 3 3 5 2 3" xfId="13150" xr:uid="{1D7CA00B-F53D-46D3-943C-F27184379172}"/>
    <cellStyle name="Currency 5 3 3 5 3" xfId="5896" xr:uid="{00000000-0005-0000-0000-0000010D0000}"/>
    <cellStyle name="Currency 5 3 3 5 3 2" xfId="15222" xr:uid="{F00EEA0C-DA48-4DD5-95CF-CA74B7F7695B}"/>
    <cellStyle name="Currency 5 3 3 5 4" xfId="11005" xr:uid="{555DFD5E-647F-447D-9C76-526E606E7455}"/>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80" xr:uid="{AB9E7A3A-3884-4622-B18D-FC87A79D63DF}"/>
    <cellStyle name="Currency 5 3 3 6 2 3" xfId="13563" xr:uid="{2FCDDB36-906C-4646-8567-09994BF04A38}"/>
    <cellStyle name="Currency 5 3 3 6 3" xfId="6309" xr:uid="{00000000-0005-0000-0000-0000050D0000}"/>
    <cellStyle name="Currency 5 3 3 6 3 2" xfId="15635" xr:uid="{1997E2A1-A3C5-4213-8F54-C9ADA5C88857}"/>
    <cellStyle name="Currency 5 3 3 6 4" xfId="11418" xr:uid="{D770CA50-61E8-4B92-8130-30885562C18B}"/>
    <cellStyle name="Currency 5 3 3 7" xfId="2438" xr:uid="{00000000-0005-0000-0000-0000060D0000}"/>
    <cellStyle name="Currency 5 3 3 7 2" xfId="6722" xr:uid="{00000000-0005-0000-0000-0000070D0000}"/>
    <cellStyle name="Currency 5 3 3 7 2 2" xfId="16048" xr:uid="{2E14B3AB-F660-477F-97F3-7451224B5FE6}"/>
    <cellStyle name="Currency 5 3 3 7 3" xfId="11831" xr:uid="{A0F1D657-AF60-4901-AE74-6BACB3113882}"/>
    <cellStyle name="Currency 5 3 3 8" xfId="2735" xr:uid="{00000000-0005-0000-0000-0000080D0000}"/>
    <cellStyle name="Currency 5 3 3 9" xfId="2816" xr:uid="{00000000-0005-0000-0000-0000090D0000}"/>
    <cellStyle name="Currency 5 3 3 9 2" xfId="7039" xr:uid="{00000000-0005-0000-0000-00000A0D0000}"/>
    <cellStyle name="Currency 5 3 3 9 2 2" xfId="16365" xr:uid="{BB9835D0-D0AC-4B61-99D6-7E1897AE52A4}"/>
    <cellStyle name="Currency 5 3 3 9 3" xfId="12148" xr:uid="{AD64DBD2-4264-45D4-A493-0EE0E4C9A365}"/>
    <cellStyle name="Currency 5 3 4" xfId="216" xr:uid="{00000000-0005-0000-0000-00000B0D0000}"/>
    <cellStyle name="Currency 5 3 4 10" xfId="8986" xr:uid="{4F6CFA4A-F10A-4043-AD92-C0A3F7F06459}"/>
    <cellStyle name="Currency 5 3 4 10 2" xfId="18310" xr:uid="{19BB617C-1F29-4320-86F4-5C136BD56BCB}"/>
    <cellStyle name="Currency 5 3 4 11" xfId="9767" xr:uid="{B3109706-B61B-4CBF-BCBC-B0CA33FED7EB}"/>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543" xr:uid="{6A62781D-195A-41F4-8999-CE9E8B9565C5}"/>
    <cellStyle name="Currency 5 3 4 2 2 3" xfId="12326" xr:uid="{F3498082-ED75-4A94-8837-27F2062E7039}"/>
    <cellStyle name="Currency 5 3 4 2 3" xfId="5072" xr:uid="{00000000-0005-0000-0000-00000F0D0000}"/>
    <cellStyle name="Currency 5 3 4 2 3 2" xfId="14398" xr:uid="{0904E78D-5148-47B2-B239-3D05A14DE24B}"/>
    <cellStyle name="Currency 5 3 4 2 4" xfId="9411" xr:uid="{2729DEB6-408B-463E-B468-91D932C31FD7}"/>
    <cellStyle name="Currency 5 3 4 2 4 2" xfId="18726" xr:uid="{5CD4F68D-0E8E-4774-B382-A12905D8120E}"/>
    <cellStyle name="Currency 5 3 4 2 5" xfId="10181" xr:uid="{E861D42C-7F58-42DB-9771-8E9FE76EE738}"/>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56" xr:uid="{67BCC1C1-4D37-4C45-89FC-9A484715F561}"/>
    <cellStyle name="Currency 5 3 4 3 2 3" xfId="12739" xr:uid="{D6419BE9-BF68-4A51-8FD3-2715868CA370}"/>
    <cellStyle name="Currency 5 3 4 3 3" xfId="5485" xr:uid="{00000000-0005-0000-0000-0000130D0000}"/>
    <cellStyle name="Currency 5 3 4 3 3 2" xfId="14811" xr:uid="{5B37688C-E9BB-4DA5-ADDE-B7FB0A99BBF7}"/>
    <cellStyle name="Currency 5 3 4 3 4" xfId="10594" xr:uid="{B047DBF5-9C2F-497D-9FFA-70664339E47C}"/>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69" xr:uid="{6B8FA3BB-BC6C-419B-9FFF-864AB137B40F}"/>
    <cellStyle name="Currency 5 3 4 4 2 3" xfId="13152" xr:uid="{7F283827-1132-4FB4-874E-91E768D07BFA}"/>
    <cellStyle name="Currency 5 3 4 4 3" xfId="5898" xr:uid="{00000000-0005-0000-0000-0000170D0000}"/>
    <cellStyle name="Currency 5 3 4 4 3 2" xfId="15224" xr:uid="{BB988375-60EB-4148-A61C-CB9ABB6C87D4}"/>
    <cellStyle name="Currency 5 3 4 4 4" xfId="11007" xr:uid="{25AC938D-B950-4ED1-A284-0079E9FCA27C}"/>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82" xr:uid="{0082AB06-533C-4FF4-B79B-E53F63362791}"/>
    <cellStyle name="Currency 5 3 4 5 2 3" xfId="13565" xr:uid="{91BAAF41-1C71-4F8F-AEB3-735AA1365038}"/>
    <cellStyle name="Currency 5 3 4 5 3" xfId="6311" xr:uid="{00000000-0005-0000-0000-00001B0D0000}"/>
    <cellStyle name="Currency 5 3 4 5 3 2" xfId="15637" xr:uid="{DE7766C6-0B8D-4F85-8917-4523A1F2FF15}"/>
    <cellStyle name="Currency 5 3 4 5 4" xfId="11420" xr:uid="{50683928-6275-4330-AE59-AD5FA3684639}"/>
    <cellStyle name="Currency 5 3 4 6" xfId="2440" xr:uid="{00000000-0005-0000-0000-00001C0D0000}"/>
    <cellStyle name="Currency 5 3 4 6 2" xfId="6724" xr:uid="{00000000-0005-0000-0000-00001D0D0000}"/>
    <cellStyle name="Currency 5 3 4 6 2 2" xfId="16050" xr:uid="{87439A39-D6D7-463F-9E17-858F4231046A}"/>
    <cellStyle name="Currency 5 3 4 6 3" xfId="11833" xr:uid="{03999B8A-863D-403C-ADFD-F5B7521F1B64}"/>
    <cellStyle name="Currency 5 3 4 7" xfId="2737" xr:uid="{00000000-0005-0000-0000-00001E0D0000}"/>
    <cellStyle name="Currency 5 3 4 8" xfId="2818" xr:uid="{00000000-0005-0000-0000-00001F0D0000}"/>
    <cellStyle name="Currency 5 3 4 8 2" xfId="7041" xr:uid="{00000000-0005-0000-0000-0000200D0000}"/>
    <cellStyle name="Currency 5 3 4 8 2 2" xfId="16367" xr:uid="{1B2F89E3-B38E-4071-B95C-01E00A7BAF05}"/>
    <cellStyle name="Currency 5 3 4 8 3" xfId="12150" xr:uid="{6555C636-F379-4924-AE87-B11550588F36}"/>
    <cellStyle name="Currency 5 3 4 9" xfId="4658" xr:uid="{00000000-0005-0000-0000-0000210D0000}"/>
    <cellStyle name="Currency 5 3 4 9 2" xfId="13984" xr:uid="{F38459FD-6476-4A03-966F-7C501AAACCC1}"/>
    <cellStyle name="Currency 5 3 5" xfId="217" xr:uid="{00000000-0005-0000-0000-0000220D0000}"/>
    <cellStyle name="Currency 5 3 5 10" xfId="9203" xr:uid="{6167CBBD-227C-4457-B6B6-18EF5C089771}"/>
    <cellStyle name="Currency 5 3 5 10 2" xfId="18519" xr:uid="{B74D0872-AF9C-4526-B333-1808ADEFC866}"/>
    <cellStyle name="Currency 5 3 5 11" xfId="9768" xr:uid="{11BBEE16-398C-4294-AD4F-8CA39CF28838}"/>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44" xr:uid="{6338B459-E7EB-4992-AC9B-DDE8F0D51140}"/>
    <cellStyle name="Currency 5 3 5 2 2 3" xfId="12327" xr:uid="{00F58A7F-5B87-4567-ABF8-8B905F309311}"/>
    <cellStyle name="Currency 5 3 5 2 3" xfId="5073" xr:uid="{00000000-0005-0000-0000-0000260D0000}"/>
    <cellStyle name="Currency 5 3 5 2 3 2" xfId="14399" xr:uid="{C82062DB-8E43-447D-8065-5B47D7205BA9}"/>
    <cellStyle name="Currency 5 3 5 2 4" xfId="9600" xr:uid="{650A4058-48FE-4F3E-8845-8F52DF332026}"/>
    <cellStyle name="Currency 5 3 5 2 4 2" xfId="18904" xr:uid="{00E08E37-E681-47D3-99A9-34DA7565E497}"/>
    <cellStyle name="Currency 5 3 5 2 5" xfId="10182" xr:uid="{6E9FE452-6E67-48B7-8A1C-5A2884114B16}"/>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57" xr:uid="{3B955856-BF3B-44B0-8514-358D2AD4E386}"/>
    <cellStyle name="Currency 5 3 5 3 2 3" xfId="12740" xr:uid="{3166CC4C-19A7-41CB-BAB2-1EDF2DE00A20}"/>
    <cellStyle name="Currency 5 3 5 3 3" xfId="5486" xr:uid="{00000000-0005-0000-0000-00002A0D0000}"/>
    <cellStyle name="Currency 5 3 5 3 3 2" xfId="14812" xr:uid="{567D7E34-57AC-4F13-9CC2-E49B77FB47B1}"/>
    <cellStyle name="Currency 5 3 5 3 4" xfId="10595" xr:uid="{C6D4A7CE-2AA1-4006-9954-A100445FBB48}"/>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70" xr:uid="{ABEE26B9-961A-48EB-8FB6-907AA4E57C6A}"/>
    <cellStyle name="Currency 5 3 5 4 2 3" xfId="13153" xr:uid="{40330E6F-BDAF-4203-9E54-0E20F0732DD1}"/>
    <cellStyle name="Currency 5 3 5 4 3" xfId="5899" xr:uid="{00000000-0005-0000-0000-00002E0D0000}"/>
    <cellStyle name="Currency 5 3 5 4 3 2" xfId="15225" xr:uid="{E6A62F4B-665E-46F7-87F2-30EDBCD288AC}"/>
    <cellStyle name="Currency 5 3 5 4 4" xfId="11008" xr:uid="{CE8FEDE0-1A8A-4E00-A786-5C2EF9ECD81F}"/>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83" xr:uid="{B50F4A57-34EB-4219-BC49-4E10193BEE5E}"/>
    <cellStyle name="Currency 5 3 5 5 2 3" xfId="13566" xr:uid="{C74BEA18-E120-4D8D-8362-79DDBF742ADF}"/>
    <cellStyle name="Currency 5 3 5 5 3" xfId="6312" xr:uid="{00000000-0005-0000-0000-0000320D0000}"/>
    <cellStyle name="Currency 5 3 5 5 3 2" xfId="15638" xr:uid="{FBA3075B-3E30-44DD-A70F-59014AE31E43}"/>
    <cellStyle name="Currency 5 3 5 5 4" xfId="11421" xr:uid="{6EEFD2D2-6645-4942-B57A-B2DA0DF44598}"/>
    <cellStyle name="Currency 5 3 5 6" xfId="2441" xr:uid="{00000000-0005-0000-0000-0000330D0000}"/>
    <cellStyle name="Currency 5 3 5 6 2" xfId="6725" xr:uid="{00000000-0005-0000-0000-0000340D0000}"/>
    <cellStyle name="Currency 5 3 5 6 2 2" xfId="16051" xr:uid="{84A15F91-F38A-481D-B837-D227033C72DF}"/>
    <cellStyle name="Currency 5 3 5 6 3" xfId="11834" xr:uid="{BBA04C3D-FA99-4044-8025-3B63C724411F}"/>
    <cellStyle name="Currency 5 3 5 7" xfId="2738" xr:uid="{00000000-0005-0000-0000-0000350D0000}"/>
    <cellStyle name="Currency 5 3 5 8" xfId="2819" xr:uid="{00000000-0005-0000-0000-0000360D0000}"/>
    <cellStyle name="Currency 5 3 5 8 2" xfId="7042" xr:uid="{00000000-0005-0000-0000-0000370D0000}"/>
    <cellStyle name="Currency 5 3 5 8 2 2" xfId="16368" xr:uid="{ADFFAC10-02A0-45E6-A3CA-B6B6A681C50E}"/>
    <cellStyle name="Currency 5 3 5 8 3" xfId="12151" xr:uid="{8855DB60-1D8E-4639-A697-4FF7554C571A}"/>
    <cellStyle name="Currency 5 3 5 9" xfId="4659" xr:uid="{00000000-0005-0000-0000-0000380D0000}"/>
    <cellStyle name="Currency 5 3 5 9 2" xfId="13985" xr:uid="{BED53C8E-4DF2-4FDA-A8DB-0CBFAB11E56E}"/>
    <cellStyle name="Currency 5 3 6" xfId="9585" xr:uid="{F259418A-5AC0-4C4E-A98C-07B5BEE6D673}"/>
    <cellStyle name="Currency 5 3 7" xfId="8779" xr:uid="{856D4C12-E347-4E8F-9200-2EC71AC3E0CB}"/>
    <cellStyle name="Currency 5 3 7 2" xfId="18103" xr:uid="{1819BED7-C353-46E9-8CAC-B655383B3FC3}"/>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86" xr:uid="{0963380A-B6FF-46C8-8D54-603D59FD26EF}"/>
    <cellStyle name="Currency 5 5 11" xfId="8850" xr:uid="{8F129173-F323-478F-8B06-1E2599EB26C1}"/>
    <cellStyle name="Currency 5 5 11 2" xfId="18174" xr:uid="{0DFF63A5-0773-48DE-B84B-8E3CC7E73D8A}"/>
    <cellStyle name="Currency 5 5 12" xfId="9769" xr:uid="{B2ED416C-B30E-4A3B-BBA8-FD314A7436A4}"/>
    <cellStyle name="Currency 5 5 2" xfId="220" xr:uid="{00000000-0005-0000-0000-00003D0D0000}"/>
    <cellStyle name="Currency 5 5 2 10" xfId="9057" xr:uid="{90E61E49-0971-4EC1-90D8-E015846E4FB2}"/>
    <cellStyle name="Currency 5 5 2 10 2" xfId="18381" xr:uid="{0D7E1341-01C9-4648-A8BB-8BC17CF97402}"/>
    <cellStyle name="Currency 5 5 2 11" xfId="9770" xr:uid="{CFEA551F-F049-4F96-8296-3D8F86398531}"/>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46" xr:uid="{8551FF49-B9F9-4243-BFED-D3EC5969B435}"/>
    <cellStyle name="Currency 5 5 2 2 2 3" xfId="12329" xr:uid="{87B0B0A8-36F5-48B0-A582-4A779B5FDD5F}"/>
    <cellStyle name="Currency 5 5 2 2 3" xfId="5075" xr:uid="{00000000-0005-0000-0000-0000410D0000}"/>
    <cellStyle name="Currency 5 5 2 2 3 2" xfId="14401" xr:uid="{79A40053-D3DC-46E7-BD51-BF2309DA82FC}"/>
    <cellStyle name="Currency 5 5 2 2 4" xfId="9482" xr:uid="{ECEE3E7C-42CD-4A2D-A90F-D54FFBA7E41F}"/>
    <cellStyle name="Currency 5 5 2 2 4 2" xfId="18797" xr:uid="{6CEF6B18-B364-4004-B2F6-37B79F4942D6}"/>
    <cellStyle name="Currency 5 5 2 2 5" xfId="10184" xr:uid="{5265C472-44B2-475B-852C-D4253FE0D46A}"/>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59" xr:uid="{773EBAFE-6CA3-463F-9F84-67014E6A2DEC}"/>
    <cellStyle name="Currency 5 5 2 3 2 3" xfId="12742" xr:uid="{0D02536B-C94F-4878-A8F6-0EB72D9DE41A}"/>
    <cellStyle name="Currency 5 5 2 3 3" xfId="5488" xr:uid="{00000000-0005-0000-0000-0000450D0000}"/>
    <cellStyle name="Currency 5 5 2 3 3 2" xfId="14814" xr:uid="{D84F6601-17A7-4E6D-A8F5-97CB19F47ABD}"/>
    <cellStyle name="Currency 5 5 2 3 4" xfId="10597" xr:uid="{EC42412E-2F03-45D7-B2CA-D7ABDCFD5379}"/>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72" xr:uid="{871E295B-55AC-462A-BE3A-786813782C1C}"/>
    <cellStyle name="Currency 5 5 2 4 2 3" xfId="13155" xr:uid="{388F7948-69CA-492C-99BC-0CDB65A56DD1}"/>
    <cellStyle name="Currency 5 5 2 4 3" xfId="5901" xr:uid="{00000000-0005-0000-0000-0000490D0000}"/>
    <cellStyle name="Currency 5 5 2 4 3 2" xfId="15227" xr:uid="{491EBAEE-EC32-42AD-8AEF-98F817EAD94C}"/>
    <cellStyle name="Currency 5 5 2 4 4" xfId="11010" xr:uid="{5D243EE8-05DC-4E2F-92DB-144444A43539}"/>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85" xr:uid="{9B2368FA-E494-4780-9602-3C45B2C963AA}"/>
    <cellStyle name="Currency 5 5 2 5 2 3" xfId="13568" xr:uid="{2704C179-90B2-445F-9F1F-E65DE1CD90AD}"/>
    <cellStyle name="Currency 5 5 2 5 3" xfId="6314" xr:uid="{00000000-0005-0000-0000-00004D0D0000}"/>
    <cellStyle name="Currency 5 5 2 5 3 2" xfId="15640" xr:uid="{6957EB59-1D86-4BC8-90DA-8A1DAB599FC8}"/>
    <cellStyle name="Currency 5 5 2 5 4" xfId="11423" xr:uid="{13E08266-202E-4881-BC83-00E325F7863F}"/>
    <cellStyle name="Currency 5 5 2 6" xfId="2443" xr:uid="{00000000-0005-0000-0000-00004E0D0000}"/>
    <cellStyle name="Currency 5 5 2 6 2" xfId="6727" xr:uid="{00000000-0005-0000-0000-00004F0D0000}"/>
    <cellStyle name="Currency 5 5 2 6 2 2" xfId="16053" xr:uid="{93DE2F18-8688-4557-8EA0-F723D0AEE795}"/>
    <cellStyle name="Currency 5 5 2 6 3" xfId="11836" xr:uid="{9E0596AC-0089-4C2D-B080-DF549DF5F20B}"/>
    <cellStyle name="Currency 5 5 2 7" xfId="2740" xr:uid="{00000000-0005-0000-0000-0000500D0000}"/>
    <cellStyle name="Currency 5 5 2 8" xfId="2821" xr:uid="{00000000-0005-0000-0000-0000510D0000}"/>
    <cellStyle name="Currency 5 5 2 8 2" xfId="7044" xr:uid="{00000000-0005-0000-0000-0000520D0000}"/>
    <cellStyle name="Currency 5 5 2 8 2 2" xfId="16370" xr:uid="{FE809EC2-374A-4F73-82BA-7FE997407817}"/>
    <cellStyle name="Currency 5 5 2 8 3" xfId="12153" xr:uid="{CB27B674-75A3-4D41-ACBA-61D1BDB020E3}"/>
    <cellStyle name="Currency 5 5 2 9" xfId="4661" xr:uid="{00000000-0005-0000-0000-0000530D0000}"/>
    <cellStyle name="Currency 5 5 2 9 2" xfId="13987" xr:uid="{9C0189EC-8335-4453-A467-F4ADD3492AD4}"/>
    <cellStyle name="Currency 5 5 3" xfId="745" xr:uid="{00000000-0005-0000-0000-0000540D0000}"/>
    <cellStyle name="Currency 5 5 3 2" xfId="2997" xr:uid="{00000000-0005-0000-0000-0000550D0000}"/>
    <cellStyle name="Currency 5 5 3 2 2" xfId="7219" xr:uid="{00000000-0005-0000-0000-0000560D0000}"/>
    <cellStyle name="Currency 5 5 3 2 2 2" xfId="16545" xr:uid="{4E0EA2BC-41EA-4EE2-A612-AF74711DC71F}"/>
    <cellStyle name="Currency 5 5 3 2 3" xfId="12328" xr:uid="{B485BFE0-1057-42EE-B5CC-512E426679C7}"/>
    <cellStyle name="Currency 5 5 3 3" xfId="5074" xr:uid="{00000000-0005-0000-0000-0000570D0000}"/>
    <cellStyle name="Currency 5 5 3 3 2" xfId="14400" xr:uid="{DD361070-A76E-402C-9AAE-75D2DF3A0BB3}"/>
    <cellStyle name="Currency 5 5 3 4" xfId="9275" xr:uid="{54783F20-34E5-4A58-80AE-EC7CC69A89C9}"/>
    <cellStyle name="Currency 5 5 3 4 2" xfId="18590" xr:uid="{DE41A3A5-D207-4346-A80C-D4FC806A033D}"/>
    <cellStyle name="Currency 5 5 3 5" xfId="10183" xr:uid="{4CF56E69-8CBC-47C4-BEE3-816CE7587DCE}"/>
    <cellStyle name="Currency 5 5 4" xfId="1179" xr:uid="{00000000-0005-0000-0000-0000580D0000}"/>
    <cellStyle name="Currency 5 5 4 2" xfId="3410" xr:uid="{00000000-0005-0000-0000-0000590D0000}"/>
    <cellStyle name="Currency 5 5 4 2 2" xfId="7632" xr:uid="{00000000-0005-0000-0000-00005A0D0000}"/>
    <cellStyle name="Currency 5 5 4 2 2 2" xfId="16958" xr:uid="{8CBE46F9-DB9A-4C7B-B177-4419D6CC88A7}"/>
    <cellStyle name="Currency 5 5 4 2 3" xfId="12741" xr:uid="{DA7683A2-6475-4C0A-8CFC-240B56F3DF32}"/>
    <cellStyle name="Currency 5 5 4 3" xfId="5487" xr:uid="{00000000-0005-0000-0000-00005B0D0000}"/>
    <cellStyle name="Currency 5 5 4 3 2" xfId="14813" xr:uid="{BE3295E2-196B-4425-86D7-59EF72ECC078}"/>
    <cellStyle name="Currency 5 5 4 4" xfId="10596" xr:uid="{4E718079-E7DF-4706-ADC9-82D8E5BD8B6F}"/>
    <cellStyle name="Currency 5 5 5" xfId="1593" xr:uid="{00000000-0005-0000-0000-00005C0D0000}"/>
    <cellStyle name="Currency 5 5 5 2" xfId="3823" xr:uid="{00000000-0005-0000-0000-00005D0D0000}"/>
    <cellStyle name="Currency 5 5 5 2 2" xfId="8045" xr:uid="{00000000-0005-0000-0000-00005E0D0000}"/>
    <cellStyle name="Currency 5 5 5 2 2 2" xfId="17371" xr:uid="{58F029D6-2E70-4A29-B23D-1D512E74476C}"/>
    <cellStyle name="Currency 5 5 5 2 3" xfId="13154" xr:uid="{9DAB59CC-7A62-4A8B-9965-020EEE38D0F8}"/>
    <cellStyle name="Currency 5 5 5 3" xfId="5900" xr:uid="{00000000-0005-0000-0000-00005F0D0000}"/>
    <cellStyle name="Currency 5 5 5 3 2" xfId="15226" xr:uid="{24F08C72-8F14-4FC6-8087-92E5B1F2F3BA}"/>
    <cellStyle name="Currency 5 5 5 4" xfId="11009" xr:uid="{B9C477DF-CFC1-43C1-BD11-09F7D75FE9EF}"/>
    <cellStyle name="Currency 5 5 6" xfId="2007" xr:uid="{00000000-0005-0000-0000-0000600D0000}"/>
    <cellStyle name="Currency 5 5 6 2" xfId="4236" xr:uid="{00000000-0005-0000-0000-0000610D0000}"/>
    <cellStyle name="Currency 5 5 6 2 2" xfId="8458" xr:uid="{00000000-0005-0000-0000-0000620D0000}"/>
    <cellStyle name="Currency 5 5 6 2 2 2" xfId="17784" xr:uid="{302613EA-A62F-4FED-B40B-8CDB18A35D70}"/>
    <cellStyle name="Currency 5 5 6 2 3" xfId="13567" xr:uid="{9BE94F79-EF6C-441C-91B4-52C5CEA748B0}"/>
    <cellStyle name="Currency 5 5 6 3" xfId="6313" xr:uid="{00000000-0005-0000-0000-0000630D0000}"/>
    <cellStyle name="Currency 5 5 6 3 2" xfId="15639" xr:uid="{3B93FF7A-C7E9-400E-85F6-0595D6550DFA}"/>
    <cellStyle name="Currency 5 5 6 4" xfId="11422" xr:uid="{A3C3B7C1-9C55-4560-91F0-CAC5DA7D9F49}"/>
    <cellStyle name="Currency 5 5 7" xfId="2442" xr:uid="{00000000-0005-0000-0000-0000640D0000}"/>
    <cellStyle name="Currency 5 5 7 2" xfId="6726" xr:uid="{00000000-0005-0000-0000-0000650D0000}"/>
    <cellStyle name="Currency 5 5 7 2 2" xfId="16052" xr:uid="{55EDCDE0-4139-4CF4-98B1-05235D53A5B9}"/>
    <cellStyle name="Currency 5 5 7 3" xfId="11835" xr:uid="{C9388EB2-892D-480E-B016-F1FD2095EFED}"/>
    <cellStyle name="Currency 5 5 8" xfId="2739" xr:uid="{00000000-0005-0000-0000-0000660D0000}"/>
    <cellStyle name="Currency 5 5 9" xfId="2820" xr:uid="{00000000-0005-0000-0000-0000670D0000}"/>
    <cellStyle name="Currency 5 5 9 2" xfId="7043" xr:uid="{00000000-0005-0000-0000-0000680D0000}"/>
    <cellStyle name="Currency 5 5 9 2 2" xfId="16369" xr:uid="{2DCF8371-B774-4813-AFB4-56EE8003FBB5}"/>
    <cellStyle name="Currency 5 5 9 3" xfId="12152" xr:uid="{F1DC8198-DB58-4EEC-A514-4A02C69872F5}"/>
    <cellStyle name="Currency 5 6" xfId="221" xr:uid="{00000000-0005-0000-0000-0000690D0000}"/>
    <cellStyle name="Currency 5 6 10" xfId="8966" xr:uid="{EC95BD1E-EAA8-4043-BDA7-06F3BBDBC3D5}"/>
    <cellStyle name="Currency 5 6 10 2" xfId="18290" xr:uid="{261C750E-7FA5-4AF2-B1BC-7546F6516CD6}"/>
    <cellStyle name="Currency 5 6 11" xfId="9771" xr:uid="{BDA266A7-2871-41D5-B7B6-08716865D148}"/>
    <cellStyle name="Currency 5 6 2" xfId="747" xr:uid="{00000000-0005-0000-0000-00006A0D0000}"/>
    <cellStyle name="Currency 5 6 2 2" xfId="2999" xr:uid="{00000000-0005-0000-0000-00006B0D0000}"/>
    <cellStyle name="Currency 5 6 2 2 2" xfId="7221" xr:uid="{00000000-0005-0000-0000-00006C0D0000}"/>
    <cellStyle name="Currency 5 6 2 2 2 2" xfId="16547" xr:uid="{0C07B713-0C68-4F45-BEEE-A78CCF72B9D2}"/>
    <cellStyle name="Currency 5 6 2 2 3" xfId="12330" xr:uid="{DF79E129-AA84-46F4-BBDE-0977CA010127}"/>
    <cellStyle name="Currency 5 6 2 3" xfId="5076" xr:uid="{00000000-0005-0000-0000-00006D0D0000}"/>
    <cellStyle name="Currency 5 6 2 3 2" xfId="14402" xr:uid="{6CDC2FEF-F014-47B5-B0AB-6EF2CEE88577}"/>
    <cellStyle name="Currency 5 6 2 4" xfId="9391" xr:uid="{8CBF3F74-51EC-4402-B96A-0759E6537FC7}"/>
    <cellStyle name="Currency 5 6 2 4 2" xfId="18706" xr:uid="{19F11D30-A884-4865-AEA4-D59AB7E9CC27}"/>
    <cellStyle name="Currency 5 6 2 5" xfId="10185" xr:uid="{524D6A5B-52F3-44EB-B996-BBF46F2A3BA5}"/>
    <cellStyle name="Currency 5 6 3" xfId="1181" xr:uid="{00000000-0005-0000-0000-00006E0D0000}"/>
    <cellStyle name="Currency 5 6 3 2" xfId="3412" xr:uid="{00000000-0005-0000-0000-00006F0D0000}"/>
    <cellStyle name="Currency 5 6 3 2 2" xfId="7634" xr:uid="{00000000-0005-0000-0000-0000700D0000}"/>
    <cellStyle name="Currency 5 6 3 2 2 2" xfId="16960" xr:uid="{9E5263CC-D978-4F59-95E7-C48D52D9DD4B}"/>
    <cellStyle name="Currency 5 6 3 2 3" xfId="12743" xr:uid="{4EEAC821-69C3-442B-B1ED-93F98369D758}"/>
    <cellStyle name="Currency 5 6 3 3" xfId="5489" xr:uid="{00000000-0005-0000-0000-0000710D0000}"/>
    <cellStyle name="Currency 5 6 3 3 2" xfId="14815" xr:uid="{0132184D-F340-438C-B59F-BF76E4D5975A}"/>
    <cellStyle name="Currency 5 6 3 4" xfId="10598" xr:uid="{274CCDA6-5FC7-4F81-A00A-2C8F6D9900AE}"/>
    <cellStyle name="Currency 5 6 4" xfId="1595" xr:uid="{00000000-0005-0000-0000-0000720D0000}"/>
    <cellStyle name="Currency 5 6 4 2" xfId="3825" xr:uid="{00000000-0005-0000-0000-0000730D0000}"/>
    <cellStyle name="Currency 5 6 4 2 2" xfId="8047" xr:uid="{00000000-0005-0000-0000-0000740D0000}"/>
    <cellStyle name="Currency 5 6 4 2 2 2" xfId="17373" xr:uid="{09318FA3-4747-48A1-A78E-C807F473D750}"/>
    <cellStyle name="Currency 5 6 4 2 3" xfId="13156" xr:uid="{DBD84BD6-13D9-49B4-BA5C-EDA75057D046}"/>
    <cellStyle name="Currency 5 6 4 3" xfId="5902" xr:uid="{00000000-0005-0000-0000-0000750D0000}"/>
    <cellStyle name="Currency 5 6 4 3 2" xfId="15228" xr:uid="{2FFE7BD0-B25C-43E0-8385-8B76D6E137CE}"/>
    <cellStyle name="Currency 5 6 4 4" xfId="11011" xr:uid="{A7623B5D-454D-437C-A41C-F917C5060D82}"/>
    <cellStyle name="Currency 5 6 5" xfId="2009" xr:uid="{00000000-0005-0000-0000-0000760D0000}"/>
    <cellStyle name="Currency 5 6 5 2" xfId="4238" xr:uid="{00000000-0005-0000-0000-0000770D0000}"/>
    <cellStyle name="Currency 5 6 5 2 2" xfId="8460" xr:uid="{00000000-0005-0000-0000-0000780D0000}"/>
    <cellStyle name="Currency 5 6 5 2 2 2" xfId="17786" xr:uid="{6E125227-17CB-4702-B1C3-87C8F4FCDA99}"/>
    <cellStyle name="Currency 5 6 5 2 3" xfId="13569" xr:uid="{1C0A0B6B-BDC5-40FD-B468-04DF636BA84A}"/>
    <cellStyle name="Currency 5 6 5 3" xfId="6315" xr:uid="{00000000-0005-0000-0000-0000790D0000}"/>
    <cellStyle name="Currency 5 6 5 3 2" xfId="15641" xr:uid="{614462FA-E2C6-4EB5-ACED-96A5A8F85996}"/>
    <cellStyle name="Currency 5 6 5 4" xfId="11424" xr:uid="{1B9E6174-D416-4293-8C18-F8B06629BF68}"/>
    <cellStyle name="Currency 5 6 6" xfId="2444" xr:uid="{00000000-0005-0000-0000-00007A0D0000}"/>
    <cellStyle name="Currency 5 6 6 2" xfId="6728" xr:uid="{00000000-0005-0000-0000-00007B0D0000}"/>
    <cellStyle name="Currency 5 6 6 2 2" xfId="16054" xr:uid="{F803B229-8011-4AF3-987E-74E38C1E66B4}"/>
    <cellStyle name="Currency 5 6 6 3" xfId="11837" xr:uid="{205ABA63-BB0E-4ED7-A616-2378EA189394}"/>
    <cellStyle name="Currency 5 6 7" xfId="2741" xr:uid="{00000000-0005-0000-0000-00007C0D0000}"/>
    <cellStyle name="Currency 5 6 8" xfId="2822" xr:uid="{00000000-0005-0000-0000-00007D0D0000}"/>
    <cellStyle name="Currency 5 6 8 2" xfId="7045" xr:uid="{00000000-0005-0000-0000-00007E0D0000}"/>
    <cellStyle name="Currency 5 6 8 2 2" xfId="16371" xr:uid="{769F87B1-EEFE-4645-9A9F-82F9F8D205BE}"/>
    <cellStyle name="Currency 5 6 8 3" xfId="12154" xr:uid="{4DEDBD5B-0D3E-4A6F-95FB-36DF8EB55DC6}"/>
    <cellStyle name="Currency 5 6 9" xfId="4662" xr:uid="{00000000-0005-0000-0000-00007F0D0000}"/>
    <cellStyle name="Currency 5 6 9 2" xfId="13988" xr:uid="{B32B8CE7-CFF5-4F92-934F-28FD8454A2D6}"/>
    <cellStyle name="Currency 5 7" xfId="222" xr:uid="{00000000-0005-0000-0000-0000800D0000}"/>
    <cellStyle name="Currency 5 7 10" xfId="9169" xr:uid="{7A886DE7-136A-429E-90E2-A7C712D111D8}"/>
    <cellStyle name="Currency 5 7 10 2" xfId="18487" xr:uid="{23A85254-93F7-487E-B10F-25F1D9D10B1C}"/>
    <cellStyle name="Currency 5 7 11" xfId="9772" xr:uid="{91EE7F8C-4FFE-4313-864C-9DF6AF7B77E7}"/>
    <cellStyle name="Currency 5 7 2" xfId="748" xr:uid="{00000000-0005-0000-0000-0000810D0000}"/>
    <cellStyle name="Currency 5 7 2 2" xfId="3000" xr:uid="{00000000-0005-0000-0000-0000820D0000}"/>
    <cellStyle name="Currency 5 7 2 2 2" xfId="7222" xr:uid="{00000000-0005-0000-0000-0000830D0000}"/>
    <cellStyle name="Currency 5 7 2 2 2 2" xfId="16548" xr:uid="{23CF0D21-E99E-4534-A2C8-BF71923F870C}"/>
    <cellStyle name="Currency 5 7 2 2 3" xfId="12331" xr:uid="{58A659DA-9179-4637-8DE6-B0CDC3754DBB}"/>
    <cellStyle name="Currency 5 7 2 3" xfId="5077" xr:uid="{00000000-0005-0000-0000-0000840D0000}"/>
    <cellStyle name="Currency 5 7 2 3 2" xfId="14403" xr:uid="{C0C82D77-531E-4DF9-9898-ACF954C752B8}"/>
    <cellStyle name="Currency 5 7 2 4" xfId="9601" xr:uid="{DC93A830-0AF1-4EC4-B764-C728922F3FEF}"/>
    <cellStyle name="Currency 5 7 2 4 2" xfId="18905" xr:uid="{70D31EC6-51A2-4E34-9065-579F7824A79B}"/>
    <cellStyle name="Currency 5 7 2 5" xfId="10186" xr:uid="{E360334C-E8C5-4D8F-9E98-C156D0F41FE7}"/>
    <cellStyle name="Currency 5 7 3" xfId="1182" xr:uid="{00000000-0005-0000-0000-0000850D0000}"/>
    <cellStyle name="Currency 5 7 3 2" xfId="3413" xr:uid="{00000000-0005-0000-0000-0000860D0000}"/>
    <cellStyle name="Currency 5 7 3 2 2" xfId="7635" xr:uid="{00000000-0005-0000-0000-0000870D0000}"/>
    <cellStyle name="Currency 5 7 3 2 2 2" xfId="16961" xr:uid="{2A72FEC5-4F1A-42C9-BAD4-DB3632EEC1C1}"/>
    <cellStyle name="Currency 5 7 3 2 3" xfId="12744" xr:uid="{53DCFB31-FC8F-448F-9D37-B56813481BB6}"/>
    <cellStyle name="Currency 5 7 3 3" xfId="5490" xr:uid="{00000000-0005-0000-0000-0000880D0000}"/>
    <cellStyle name="Currency 5 7 3 3 2" xfId="14816" xr:uid="{0716930B-AFD5-4B41-8940-82E8405AA260}"/>
    <cellStyle name="Currency 5 7 3 4" xfId="10599" xr:uid="{CADB0DF4-0057-47E7-B292-147C8D20AF83}"/>
    <cellStyle name="Currency 5 7 4" xfId="1596" xr:uid="{00000000-0005-0000-0000-0000890D0000}"/>
    <cellStyle name="Currency 5 7 4 2" xfId="3826" xr:uid="{00000000-0005-0000-0000-00008A0D0000}"/>
    <cellStyle name="Currency 5 7 4 2 2" xfId="8048" xr:uid="{00000000-0005-0000-0000-00008B0D0000}"/>
    <cellStyle name="Currency 5 7 4 2 2 2" xfId="17374" xr:uid="{EFE95493-0949-4845-8FD0-05CB60D83636}"/>
    <cellStyle name="Currency 5 7 4 2 3" xfId="13157" xr:uid="{A2683E4D-2EFF-43AC-946D-3B658B549CF6}"/>
    <cellStyle name="Currency 5 7 4 3" xfId="5903" xr:uid="{00000000-0005-0000-0000-00008C0D0000}"/>
    <cellStyle name="Currency 5 7 4 3 2" xfId="15229" xr:uid="{939E09E5-92D7-401D-9580-F118A3BFC2ED}"/>
    <cellStyle name="Currency 5 7 4 4" xfId="11012" xr:uid="{C41EC597-E811-4185-A03B-DA56491C8E31}"/>
    <cellStyle name="Currency 5 7 5" xfId="2010" xr:uid="{00000000-0005-0000-0000-00008D0D0000}"/>
    <cellStyle name="Currency 5 7 5 2" xfId="4239" xr:uid="{00000000-0005-0000-0000-00008E0D0000}"/>
    <cellStyle name="Currency 5 7 5 2 2" xfId="8461" xr:uid="{00000000-0005-0000-0000-00008F0D0000}"/>
    <cellStyle name="Currency 5 7 5 2 2 2" xfId="17787" xr:uid="{C4A00FCA-05E6-4BDE-920D-A4DED41BE338}"/>
    <cellStyle name="Currency 5 7 5 2 3" xfId="13570" xr:uid="{6BFF1F21-E725-4764-9019-9CA2E3BFD63F}"/>
    <cellStyle name="Currency 5 7 5 3" xfId="6316" xr:uid="{00000000-0005-0000-0000-0000900D0000}"/>
    <cellStyle name="Currency 5 7 5 3 2" xfId="15642" xr:uid="{D8AD1C2A-EC74-43B7-869D-6AB8DE4C8FC0}"/>
    <cellStyle name="Currency 5 7 5 4" xfId="11425" xr:uid="{9491E4CF-906C-45D2-AED2-23A1D7F69888}"/>
    <cellStyle name="Currency 5 7 6" xfId="2445" xr:uid="{00000000-0005-0000-0000-0000910D0000}"/>
    <cellStyle name="Currency 5 7 6 2" xfId="6729" xr:uid="{00000000-0005-0000-0000-0000920D0000}"/>
    <cellStyle name="Currency 5 7 6 2 2" xfId="16055" xr:uid="{6C115B28-51B6-4882-9719-99501051CB4C}"/>
    <cellStyle name="Currency 5 7 6 3" xfId="11838" xr:uid="{751D0474-E139-437B-8DD6-27D83558694F}"/>
    <cellStyle name="Currency 5 7 7" xfId="2742" xr:uid="{00000000-0005-0000-0000-0000930D0000}"/>
    <cellStyle name="Currency 5 7 8" xfId="2823" xr:uid="{00000000-0005-0000-0000-0000940D0000}"/>
    <cellStyle name="Currency 5 7 8 2" xfId="7046" xr:uid="{00000000-0005-0000-0000-0000950D0000}"/>
    <cellStyle name="Currency 5 7 8 2 2" xfId="16372" xr:uid="{9DDC6025-3A03-4DD7-880F-F8CC8C314DCB}"/>
    <cellStyle name="Currency 5 7 8 3" xfId="12155" xr:uid="{14186AB8-0505-4312-B321-46DDFBEAB516}"/>
    <cellStyle name="Currency 5 7 9" xfId="4663" xr:uid="{00000000-0005-0000-0000-0000960D0000}"/>
    <cellStyle name="Currency 5 7 9 2" xfId="13989" xr:uid="{89EEBC70-BC36-44B8-9DF5-7DBBB04F7F75}"/>
    <cellStyle name="Currency 5 8" xfId="721" xr:uid="{00000000-0005-0000-0000-0000970D0000}"/>
    <cellStyle name="Currency 5 9" xfId="8747" xr:uid="{CCFF1C6E-BA46-44B7-A8DD-B170160D04FF}"/>
    <cellStyle name="Currency 5 9 2" xfId="18071" xr:uid="{853BFF19-AD5C-4493-B07C-D3FE1DC4E521}"/>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56" xr:uid="{804DC86A-A815-4D0F-8990-9017428401CA}"/>
    <cellStyle name="Normal 12 10 3" xfId="11839" xr:uid="{BD84BC8B-FA81-4F9B-A300-5482B87A2656}"/>
    <cellStyle name="Normal 12 11" xfId="4664" xr:uid="{00000000-0005-0000-0000-0000CC0D0000}"/>
    <cellStyle name="Normal 12 11 2" xfId="13990" xr:uid="{BFF00411-3CDA-48CA-8AA3-277F4DCFFD05}"/>
    <cellStyle name="Normal 12 12" xfId="8770" xr:uid="{16E7F001-A88D-4413-825E-78352A31064A}"/>
    <cellStyle name="Normal 12 12 2" xfId="18094" xr:uid="{990D75A4-E603-41E6-B973-B949A26ECEED}"/>
    <cellStyle name="Normal 12 13" xfId="9773" xr:uid="{63D40305-E7F7-43A5-A259-555D98399F03}"/>
    <cellStyle name="Normal 12 2" xfId="260" xr:uid="{00000000-0005-0000-0000-0000CD0D0000}"/>
    <cellStyle name="Normal 12 2 10" xfId="8811" xr:uid="{C610EFA7-DF28-475D-A7AA-61B6675A083B}"/>
    <cellStyle name="Normal 12 2 10 2" xfId="18135" xr:uid="{9AB298DE-7507-4CAF-9045-8251A6F450EC}"/>
    <cellStyle name="Normal 12 2 11" xfId="9774" xr:uid="{49FCDC88-2CBE-4D31-B57B-CBE0035E180A}"/>
    <cellStyle name="Normal 12 2 2" xfId="261" xr:uid="{00000000-0005-0000-0000-0000CE0D0000}"/>
    <cellStyle name="Normal 12 2 2 10" xfId="9775" xr:uid="{BB17A91F-4DC7-45B8-A53E-498863164B02}"/>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52" xr:uid="{B7446266-603D-4E8C-87B8-DF73031F6D5F}"/>
    <cellStyle name="Normal 12 2 2 2 2 2 3" xfId="12335" xr:uid="{AD53C365-970C-49B0-8486-2275DD64433B}"/>
    <cellStyle name="Normal 12 2 2 2 2 3" xfId="5081" xr:uid="{00000000-0005-0000-0000-0000D30D0000}"/>
    <cellStyle name="Normal 12 2 2 2 2 3 2" xfId="14407" xr:uid="{9328C68F-9F4A-4B5D-A0CF-66DF8B16760F}"/>
    <cellStyle name="Normal 12 2 2 2 2 4" xfId="9546" xr:uid="{609DE280-4DA3-4355-9F1C-9E01708347EA}"/>
    <cellStyle name="Normal 12 2 2 2 2 4 2" xfId="18861" xr:uid="{68FE4BD0-424F-4E0A-9759-F2DC2A490F07}"/>
    <cellStyle name="Normal 12 2 2 2 2 5" xfId="10190" xr:uid="{3B05EDD1-A952-474D-8CA3-A4C71CFE5604}"/>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65" xr:uid="{C1E25F8F-4DEA-41BF-851A-1DD13693722A}"/>
    <cellStyle name="Normal 12 2 2 2 3 2 3" xfId="12748" xr:uid="{4B04473E-B688-4330-8C77-75896771C1C7}"/>
    <cellStyle name="Normal 12 2 2 2 3 3" xfId="5494" xr:uid="{00000000-0005-0000-0000-0000D70D0000}"/>
    <cellStyle name="Normal 12 2 2 2 3 3 2" xfId="14820" xr:uid="{E87F892F-62EE-4ECE-A169-DD15585374F6}"/>
    <cellStyle name="Normal 12 2 2 2 3 4" xfId="10603" xr:uid="{0283C9BC-B98F-457B-975D-ECD5E0DB502D}"/>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78" xr:uid="{8B776A66-0217-4B7D-A572-947582C579B8}"/>
    <cellStyle name="Normal 12 2 2 2 4 2 3" xfId="13161" xr:uid="{24CE029B-9E0F-40FF-8661-7BF5E11CC3D4}"/>
    <cellStyle name="Normal 12 2 2 2 4 3" xfId="5907" xr:uid="{00000000-0005-0000-0000-0000DB0D0000}"/>
    <cellStyle name="Normal 12 2 2 2 4 3 2" xfId="15233" xr:uid="{EB5765F2-DE6E-4C4C-A470-13EB521313C7}"/>
    <cellStyle name="Normal 12 2 2 2 4 4" xfId="11016" xr:uid="{F21D0D65-4BF7-44A3-B273-8B3F2C51597D}"/>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91" xr:uid="{1697C6BB-6FB2-4745-ADE8-2373D0FCF3FE}"/>
    <cellStyle name="Normal 12 2 2 2 5 2 3" xfId="13574" xr:uid="{96BF8617-4A69-4CC4-B712-B5F3D10526A5}"/>
    <cellStyle name="Normal 12 2 2 2 5 3" xfId="6320" xr:uid="{00000000-0005-0000-0000-0000DF0D0000}"/>
    <cellStyle name="Normal 12 2 2 2 5 3 2" xfId="15646" xr:uid="{E24D0911-498C-47F1-B396-F95097153061}"/>
    <cellStyle name="Normal 12 2 2 2 5 4" xfId="11429" xr:uid="{159707AD-75FD-40FE-8D4C-BBA2A88EADD7}"/>
    <cellStyle name="Normal 12 2 2 2 6" xfId="2450" xr:uid="{00000000-0005-0000-0000-0000E00D0000}"/>
    <cellStyle name="Normal 12 2 2 2 6 2" xfId="6733" xr:uid="{00000000-0005-0000-0000-0000E10D0000}"/>
    <cellStyle name="Normal 12 2 2 2 6 2 2" xfId="16059" xr:uid="{D8E627DA-654B-4E2A-9B38-E0238B59BE37}"/>
    <cellStyle name="Normal 12 2 2 2 6 3" xfId="11842" xr:uid="{13AD91E4-86FD-4520-9676-31A68C1705A8}"/>
    <cellStyle name="Normal 12 2 2 2 7" xfId="4667" xr:uid="{00000000-0005-0000-0000-0000E20D0000}"/>
    <cellStyle name="Normal 12 2 2 2 7 2" xfId="13993" xr:uid="{632E5C54-B117-4509-BC3C-45C7E79DFA8D}"/>
    <cellStyle name="Normal 12 2 2 2 8" xfId="9121" xr:uid="{527C15BB-BE4D-46AB-9317-CC8E6838C91D}"/>
    <cellStyle name="Normal 12 2 2 2 8 2" xfId="18445" xr:uid="{0BE7EE9E-4368-4F90-A121-B81D319799EA}"/>
    <cellStyle name="Normal 12 2 2 2 9" xfId="9776" xr:uid="{F64059C0-7FDF-468E-9AA2-1EAD08F6572B}"/>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51" xr:uid="{2A614E2D-51F0-4B8D-BD8B-B2CD99A938D0}"/>
    <cellStyle name="Normal 12 2 2 3 2 3" xfId="12334" xr:uid="{0F1BC487-675E-4DBC-875A-F17A37CDCD8B}"/>
    <cellStyle name="Normal 12 2 2 3 3" xfId="5080" xr:uid="{00000000-0005-0000-0000-0000E60D0000}"/>
    <cellStyle name="Normal 12 2 2 3 3 2" xfId="14406" xr:uid="{E2448145-8411-42B8-88EE-962B9B3B3C66}"/>
    <cellStyle name="Normal 12 2 2 3 4" xfId="9339" xr:uid="{F3F800C1-92DF-4F1F-A561-C3F3C7F8BAD1}"/>
    <cellStyle name="Normal 12 2 2 3 4 2" xfId="18654" xr:uid="{CAF962C5-FE26-4C46-A6CA-C51006106C3D}"/>
    <cellStyle name="Normal 12 2 2 3 5" xfId="10189" xr:uid="{89982617-637F-47D7-A2B8-C7DDBE017927}"/>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64" xr:uid="{2BA57C0C-E252-4DC9-8739-DD32E4A0B5FD}"/>
    <cellStyle name="Normal 12 2 2 4 2 3" xfId="12747" xr:uid="{0EADFB83-2DAF-47D6-876A-C10662530225}"/>
    <cellStyle name="Normal 12 2 2 4 3" xfId="5493" xr:uid="{00000000-0005-0000-0000-0000EA0D0000}"/>
    <cellStyle name="Normal 12 2 2 4 3 2" xfId="14819" xr:uid="{875EB964-A74E-4403-81F0-2A4C86F76C9C}"/>
    <cellStyle name="Normal 12 2 2 4 4" xfId="10602" xr:uid="{5EAC00D6-999E-4BDF-9925-E5ADB7B30164}"/>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77" xr:uid="{DD18A7AC-AEFF-42F4-8B38-5B88E06B2F73}"/>
    <cellStyle name="Normal 12 2 2 5 2 3" xfId="13160" xr:uid="{7BA517B6-DB8D-494D-83B0-4902A00215EF}"/>
    <cellStyle name="Normal 12 2 2 5 3" xfId="5906" xr:uid="{00000000-0005-0000-0000-0000EE0D0000}"/>
    <cellStyle name="Normal 12 2 2 5 3 2" xfId="15232" xr:uid="{439C831D-3AAE-4715-9B95-14B06C03AE74}"/>
    <cellStyle name="Normal 12 2 2 5 4" xfId="11015" xr:uid="{83E5F314-626F-4E9D-8145-FF44E32C98CC}"/>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90" xr:uid="{B296589B-C269-4BA8-A249-41C274151331}"/>
    <cellStyle name="Normal 12 2 2 6 2 3" xfId="13573" xr:uid="{3C38FA32-CE5C-45B9-B882-FD01F5B95212}"/>
    <cellStyle name="Normal 12 2 2 6 3" xfId="6319" xr:uid="{00000000-0005-0000-0000-0000F20D0000}"/>
    <cellStyle name="Normal 12 2 2 6 3 2" xfId="15645" xr:uid="{A5A261EF-A1E3-4A22-A2DE-DBF5486E95D5}"/>
    <cellStyle name="Normal 12 2 2 6 4" xfId="11428" xr:uid="{A67FCDB4-4B3D-45FD-B00A-A4C2071A383F}"/>
    <cellStyle name="Normal 12 2 2 7" xfId="2449" xr:uid="{00000000-0005-0000-0000-0000F30D0000}"/>
    <cellStyle name="Normal 12 2 2 7 2" xfId="6732" xr:uid="{00000000-0005-0000-0000-0000F40D0000}"/>
    <cellStyle name="Normal 12 2 2 7 2 2" xfId="16058" xr:uid="{A2B1691B-FE27-4C61-8670-DD8FF5009877}"/>
    <cellStyle name="Normal 12 2 2 7 3" xfId="11841" xr:uid="{3EAD0C87-5F64-4050-BFBC-32C274F678DC}"/>
    <cellStyle name="Normal 12 2 2 8" xfId="4666" xr:uid="{00000000-0005-0000-0000-0000F50D0000}"/>
    <cellStyle name="Normal 12 2 2 8 2" xfId="13992" xr:uid="{04655A41-BF99-4886-8544-94BF19860B40}"/>
    <cellStyle name="Normal 12 2 2 9" xfId="8914" xr:uid="{85903DBC-FA0A-4A9D-9FB4-BA36A4B6F510}"/>
    <cellStyle name="Normal 12 2 2 9 2" xfId="18238" xr:uid="{7D4C0A97-9B12-4D32-864B-74F997184BC9}"/>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53" xr:uid="{D7FED7AF-BFA2-4064-A4C9-C9A91B582ACE}"/>
    <cellStyle name="Normal 12 2 3 2 2 3" xfId="12336" xr:uid="{EB551B6B-75C4-403E-862F-25A1CDFA8E52}"/>
    <cellStyle name="Normal 12 2 3 2 3" xfId="5082" xr:uid="{00000000-0005-0000-0000-0000FA0D0000}"/>
    <cellStyle name="Normal 12 2 3 2 3 2" xfId="14408" xr:uid="{FD267A8F-F312-4E30-8E42-68061B3F7077}"/>
    <cellStyle name="Normal 12 2 3 2 4" xfId="9443" xr:uid="{61F0A971-1285-4215-8170-49D07520551A}"/>
    <cellStyle name="Normal 12 2 3 2 4 2" xfId="18758" xr:uid="{9BDBB81D-0596-4790-B174-81A22E9BD7BB}"/>
    <cellStyle name="Normal 12 2 3 2 5" xfId="10191" xr:uid="{8B72A539-5278-4FCA-AB24-624F61A2B935}"/>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66" xr:uid="{AAFA185D-0F6F-4137-A22B-2D450805FFB8}"/>
    <cellStyle name="Normal 12 2 3 3 2 3" xfId="12749" xr:uid="{26B6FBE4-C802-4D1C-BA4B-C5F2893F0C5C}"/>
    <cellStyle name="Normal 12 2 3 3 3" xfId="5495" xr:uid="{00000000-0005-0000-0000-0000FE0D0000}"/>
    <cellStyle name="Normal 12 2 3 3 3 2" xfId="14821" xr:uid="{7FFC2D60-0DBE-43FE-B3A6-4DB7DD524221}"/>
    <cellStyle name="Normal 12 2 3 3 4" xfId="10604" xr:uid="{CABD9982-E124-4CD2-B0FA-91BF30F3AF86}"/>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79" xr:uid="{BDF192AD-C298-4670-8477-00BD4AD1A75D}"/>
    <cellStyle name="Normal 12 2 3 4 2 3" xfId="13162" xr:uid="{EA67A316-9A4C-4F84-8127-899D0CE42F26}"/>
    <cellStyle name="Normal 12 2 3 4 3" xfId="5908" xr:uid="{00000000-0005-0000-0000-0000020E0000}"/>
    <cellStyle name="Normal 12 2 3 4 3 2" xfId="15234" xr:uid="{EE9FD50B-1BBE-4EA3-A894-09044A3D727C}"/>
    <cellStyle name="Normal 12 2 3 4 4" xfId="11017" xr:uid="{6975362A-A79E-4CE9-A29A-FC95E2B9A9F2}"/>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92" xr:uid="{08290100-2E42-44E0-9DEF-0D316AF249B3}"/>
    <cellStyle name="Normal 12 2 3 5 2 3" xfId="13575" xr:uid="{59D9F06F-DB4B-42A2-A1A1-EE2F6EDD0618}"/>
    <cellStyle name="Normal 12 2 3 5 3" xfId="6321" xr:uid="{00000000-0005-0000-0000-0000060E0000}"/>
    <cellStyle name="Normal 12 2 3 5 3 2" xfId="15647" xr:uid="{1021129F-2698-475C-AAFA-7B74EAD42DB5}"/>
    <cellStyle name="Normal 12 2 3 5 4" xfId="11430" xr:uid="{540B1FFA-72E3-4D78-8E06-81DBB975B283}"/>
    <cellStyle name="Normal 12 2 3 6" xfId="2451" xr:uid="{00000000-0005-0000-0000-0000070E0000}"/>
    <cellStyle name="Normal 12 2 3 6 2" xfId="6734" xr:uid="{00000000-0005-0000-0000-0000080E0000}"/>
    <cellStyle name="Normal 12 2 3 6 2 2" xfId="16060" xr:uid="{C577F53C-41CD-49F6-B0F2-F8E42397BEF3}"/>
    <cellStyle name="Normal 12 2 3 6 3" xfId="11843" xr:uid="{E2F5F3CE-136B-4304-B854-51D98EC90246}"/>
    <cellStyle name="Normal 12 2 3 7" xfId="4668" xr:uid="{00000000-0005-0000-0000-0000090E0000}"/>
    <cellStyle name="Normal 12 2 3 7 2" xfId="13994" xr:uid="{05EE5D6D-2D42-47BF-8BFC-9D06DCA97110}"/>
    <cellStyle name="Normal 12 2 3 8" xfId="9018" xr:uid="{C3F41DC6-3A80-4145-A68D-169ABB54B6D0}"/>
    <cellStyle name="Normal 12 2 3 8 2" xfId="18342" xr:uid="{CFCDC3C8-00E9-4DAD-AE93-937BB36749A1}"/>
    <cellStyle name="Normal 12 2 3 9" xfId="9777" xr:uid="{35875C0E-4BA5-4627-8E21-BE83AD5EBE97}"/>
    <cellStyle name="Normal 12 2 4" xfId="761" xr:uid="{00000000-0005-0000-0000-00000A0E0000}"/>
    <cellStyle name="Normal 12 2 4 2" xfId="3002" xr:uid="{00000000-0005-0000-0000-00000B0E0000}"/>
    <cellStyle name="Normal 12 2 4 2 2" xfId="7224" xr:uid="{00000000-0005-0000-0000-00000C0E0000}"/>
    <cellStyle name="Normal 12 2 4 2 2 2" xfId="16550" xr:uid="{CEB2B637-AF82-477C-96CD-BA3F4BF08141}"/>
    <cellStyle name="Normal 12 2 4 2 3" xfId="12333" xr:uid="{18317BBA-04AE-485E-BAD1-BDB21FFFEFBE}"/>
    <cellStyle name="Normal 12 2 4 3" xfId="5079" xr:uid="{00000000-0005-0000-0000-00000D0E0000}"/>
    <cellStyle name="Normal 12 2 4 3 2" xfId="14405" xr:uid="{70C31DFE-6F7E-430A-9814-4D7AAAD6F92B}"/>
    <cellStyle name="Normal 12 2 4 4" xfId="9236" xr:uid="{C3D0196D-4BB3-4870-9762-A3CF40E5B45B}"/>
    <cellStyle name="Normal 12 2 4 4 2" xfId="18551" xr:uid="{E2B25855-58F9-4C8C-90A1-0DF2C9E98909}"/>
    <cellStyle name="Normal 12 2 4 5" xfId="10188" xr:uid="{4A0F1FA5-8A7E-4ABA-86A8-1BF782D1A728}"/>
    <cellStyle name="Normal 12 2 5" xfId="1184" xr:uid="{00000000-0005-0000-0000-00000E0E0000}"/>
    <cellStyle name="Normal 12 2 5 2" xfId="3415" xr:uid="{00000000-0005-0000-0000-00000F0E0000}"/>
    <cellStyle name="Normal 12 2 5 2 2" xfId="7637" xr:uid="{00000000-0005-0000-0000-0000100E0000}"/>
    <cellStyle name="Normal 12 2 5 2 2 2" xfId="16963" xr:uid="{589A3B56-859E-400E-BCCB-FD65F7250A3B}"/>
    <cellStyle name="Normal 12 2 5 2 3" xfId="12746" xr:uid="{D4849227-7AD7-45DA-85E8-5CEC12FCD1BB}"/>
    <cellStyle name="Normal 12 2 5 3" xfId="5492" xr:uid="{00000000-0005-0000-0000-0000110E0000}"/>
    <cellStyle name="Normal 12 2 5 3 2" xfId="14818" xr:uid="{D03BC45B-8589-4406-8D57-1C24220BFB6D}"/>
    <cellStyle name="Normal 12 2 5 4" xfId="10601" xr:uid="{9EDD11A8-6A63-423B-B312-6BDD6C33CF84}"/>
    <cellStyle name="Normal 12 2 6" xfId="1598" xr:uid="{00000000-0005-0000-0000-0000120E0000}"/>
    <cellStyle name="Normal 12 2 6 2" xfId="3828" xr:uid="{00000000-0005-0000-0000-0000130E0000}"/>
    <cellStyle name="Normal 12 2 6 2 2" xfId="8050" xr:uid="{00000000-0005-0000-0000-0000140E0000}"/>
    <cellStyle name="Normal 12 2 6 2 2 2" xfId="17376" xr:uid="{3DAB17E9-1034-4F65-85F2-A344C6E9E326}"/>
    <cellStyle name="Normal 12 2 6 2 3" xfId="13159" xr:uid="{F84E03AB-B40F-4523-BD59-1FA6EA64B356}"/>
    <cellStyle name="Normal 12 2 6 3" xfId="5905" xr:uid="{00000000-0005-0000-0000-0000150E0000}"/>
    <cellStyle name="Normal 12 2 6 3 2" xfId="15231" xr:uid="{23F8885F-90D9-4EBD-A1FC-0D35B42580D2}"/>
    <cellStyle name="Normal 12 2 6 4" xfId="11014" xr:uid="{5070403A-461A-4982-A8F2-BB58A02BFC1C}"/>
    <cellStyle name="Normal 12 2 7" xfId="2012" xr:uid="{00000000-0005-0000-0000-0000160E0000}"/>
    <cellStyle name="Normal 12 2 7 2" xfId="4241" xr:uid="{00000000-0005-0000-0000-0000170E0000}"/>
    <cellStyle name="Normal 12 2 7 2 2" xfId="8463" xr:uid="{00000000-0005-0000-0000-0000180E0000}"/>
    <cellStyle name="Normal 12 2 7 2 2 2" xfId="17789" xr:uid="{669729CB-9285-4689-A4AF-FDFBC62B86F7}"/>
    <cellStyle name="Normal 12 2 7 2 3" xfId="13572" xr:uid="{E64A91E9-A56C-4F60-AC1E-C8CCF4A8DC8D}"/>
    <cellStyle name="Normal 12 2 7 3" xfId="6318" xr:uid="{00000000-0005-0000-0000-0000190E0000}"/>
    <cellStyle name="Normal 12 2 7 3 2" xfId="15644" xr:uid="{82B611E3-0452-4085-8F80-FFAC8327C0F7}"/>
    <cellStyle name="Normal 12 2 7 4" xfId="11427" xr:uid="{4A93B12F-ADD2-4FB2-B29C-896F1DDB571D}"/>
    <cellStyle name="Normal 12 2 8" xfId="2448" xr:uid="{00000000-0005-0000-0000-00001A0E0000}"/>
    <cellStyle name="Normal 12 2 8 2" xfId="6731" xr:uid="{00000000-0005-0000-0000-00001B0E0000}"/>
    <cellStyle name="Normal 12 2 8 2 2" xfId="16057" xr:uid="{AF75F3E6-C36B-4E87-B332-14A009AB9E7E}"/>
    <cellStyle name="Normal 12 2 8 3" xfId="11840" xr:uid="{E30E562C-3EEB-4E25-A349-AC982A8C9C70}"/>
    <cellStyle name="Normal 12 2 9" xfId="4665" xr:uid="{00000000-0005-0000-0000-00001C0E0000}"/>
    <cellStyle name="Normal 12 2 9 2" xfId="13991" xr:uid="{8059E12E-6CB5-4105-9CA6-0051D27A7F1A}"/>
    <cellStyle name="Normal 12 3" xfId="264" xr:uid="{00000000-0005-0000-0000-00001D0E0000}"/>
    <cellStyle name="Normal 12 3 10" xfId="9778" xr:uid="{78AF89BF-FDC1-44B3-BA82-C63989CBAFBD}"/>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55" xr:uid="{F8532E51-6EB1-41C1-9763-5B7D46B4F21E}"/>
    <cellStyle name="Normal 12 3 2 2 2 3" xfId="12338" xr:uid="{D331A44A-8843-4291-B7E5-91BE32F06EBF}"/>
    <cellStyle name="Normal 12 3 2 2 3" xfId="5084" xr:uid="{00000000-0005-0000-0000-0000220E0000}"/>
    <cellStyle name="Normal 12 3 2 2 3 2" xfId="14410" xr:uid="{D884722C-F234-49BF-9915-542AE7BD1E65}"/>
    <cellStyle name="Normal 12 3 2 2 4" xfId="9505" xr:uid="{B127619B-367D-40AD-851E-01DDBB2DCD13}"/>
    <cellStyle name="Normal 12 3 2 2 4 2" xfId="18820" xr:uid="{0AC0FFD1-8D61-4925-BE83-49BCEC59FE20}"/>
    <cellStyle name="Normal 12 3 2 2 5" xfId="10193" xr:uid="{5F0B5752-C91E-4308-9F3F-8F921F807B06}"/>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68" xr:uid="{F370D933-1436-4E0A-9600-78299D8EA532}"/>
    <cellStyle name="Normal 12 3 2 3 2 3" xfId="12751" xr:uid="{92F51C8B-D862-4195-A54E-01DDBBA91504}"/>
    <cellStyle name="Normal 12 3 2 3 3" xfId="5497" xr:uid="{00000000-0005-0000-0000-0000260E0000}"/>
    <cellStyle name="Normal 12 3 2 3 3 2" xfId="14823" xr:uid="{BA2EB27F-7BB4-42A4-840F-BC56ACE61C97}"/>
    <cellStyle name="Normal 12 3 2 3 4" xfId="10606" xr:uid="{F8BDC46A-F776-4CB0-8C61-2FA041A7A5A2}"/>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81" xr:uid="{F8B65150-682F-4A37-A71E-B8743C5E0B50}"/>
    <cellStyle name="Normal 12 3 2 4 2 3" xfId="13164" xr:uid="{6CB3D9B3-3AB4-4A14-B880-9E444B29E9ED}"/>
    <cellStyle name="Normal 12 3 2 4 3" xfId="5910" xr:uid="{00000000-0005-0000-0000-00002A0E0000}"/>
    <cellStyle name="Normal 12 3 2 4 3 2" xfId="15236" xr:uid="{18621800-5ECD-48EA-B233-8E0607B19D76}"/>
    <cellStyle name="Normal 12 3 2 4 4" xfId="11019" xr:uid="{7B958F7F-7966-471C-A3FD-DB7C9B92BB4A}"/>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94" xr:uid="{14181CE9-02C7-4532-8D69-5B7B13D2C1D2}"/>
    <cellStyle name="Normal 12 3 2 5 2 3" xfId="13577" xr:uid="{46F173E0-A4B9-48BA-9D2C-5C721AA87B63}"/>
    <cellStyle name="Normal 12 3 2 5 3" xfId="6323" xr:uid="{00000000-0005-0000-0000-00002E0E0000}"/>
    <cellStyle name="Normal 12 3 2 5 3 2" xfId="15649" xr:uid="{DAFC2EEA-E1D6-4BB5-AB8C-E74E43B9E0B7}"/>
    <cellStyle name="Normal 12 3 2 5 4" xfId="11432" xr:uid="{47BA6B74-2BEA-4A4B-A3A1-B32A605F0531}"/>
    <cellStyle name="Normal 12 3 2 6" xfId="2453" xr:uid="{00000000-0005-0000-0000-00002F0E0000}"/>
    <cellStyle name="Normal 12 3 2 6 2" xfId="6736" xr:uid="{00000000-0005-0000-0000-0000300E0000}"/>
    <cellStyle name="Normal 12 3 2 6 2 2" xfId="16062" xr:uid="{7D2DEA9E-FA6A-4ED4-A721-58B63CEF684B}"/>
    <cellStyle name="Normal 12 3 2 6 3" xfId="11845" xr:uid="{E8F7A74E-D4C1-4AD4-850B-108BDFC6B97C}"/>
    <cellStyle name="Normal 12 3 2 7" xfId="4670" xr:uid="{00000000-0005-0000-0000-0000310E0000}"/>
    <cellStyle name="Normal 12 3 2 7 2" xfId="13996" xr:uid="{6F66DA2D-1DCC-43F9-914C-8C7DE43B1F92}"/>
    <cellStyle name="Normal 12 3 2 8" xfId="9080" xr:uid="{403F3083-4A9F-4295-B676-C31241B8936E}"/>
    <cellStyle name="Normal 12 3 2 8 2" xfId="18404" xr:uid="{7B46FD02-97FD-4D1C-8DA2-1DC7E617F334}"/>
    <cellStyle name="Normal 12 3 2 9" xfId="9779" xr:uid="{2B2E6774-E6BA-42EF-B982-BDF9BDE202A6}"/>
    <cellStyle name="Normal 12 3 3" xfId="765" xr:uid="{00000000-0005-0000-0000-0000320E0000}"/>
    <cellStyle name="Normal 12 3 3 2" xfId="3006" xr:uid="{00000000-0005-0000-0000-0000330E0000}"/>
    <cellStyle name="Normal 12 3 3 2 2" xfId="7228" xr:uid="{00000000-0005-0000-0000-0000340E0000}"/>
    <cellStyle name="Normal 12 3 3 2 2 2" xfId="16554" xr:uid="{B0F5379F-C468-406A-9940-85000703928A}"/>
    <cellStyle name="Normal 12 3 3 2 3" xfId="12337" xr:uid="{0C45F148-4066-4E4D-AD8C-46B718043649}"/>
    <cellStyle name="Normal 12 3 3 3" xfId="5083" xr:uid="{00000000-0005-0000-0000-0000350E0000}"/>
    <cellStyle name="Normal 12 3 3 3 2" xfId="14409" xr:uid="{5A718091-8915-418F-9627-0E03DE9C4C4E}"/>
    <cellStyle name="Normal 12 3 3 4" xfId="9298" xr:uid="{A6F9D711-F86A-406D-B160-91678C261745}"/>
    <cellStyle name="Normal 12 3 3 4 2" xfId="18613" xr:uid="{7825A3D7-6223-4138-8DBC-78D71EBE5891}"/>
    <cellStyle name="Normal 12 3 3 5" xfId="10192" xr:uid="{7437ED75-67F9-479A-94E6-AF07DE3841CC}"/>
    <cellStyle name="Normal 12 3 4" xfId="1188" xr:uid="{00000000-0005-0000-0000-0000360E0000}"/>
    <cellStyle name="Normal 12 3 4 2" xfId="3419" xr:uid="{00000000-0005-0000-0000-0000370E0000}"/>
    <cellStyle name="Normal 12 3 4 2 2" xfId="7641" xr:uid="{00000000-0005-0000-0000-0000380E0000}"/>
    <cellStyle name="Normal 12 3 4 2 2 2" xfId="16967" xr:uid="{945B5422-1991-46F7-9F37-A1498C59CA25}"/>
    <cellStyle name="Normal 12 3 4 2 3" xfId="12750" xr:uid="{C74DB70C-1D54-4A1C-B801-33AA79F0AF1A}"/>
    <cellStyle name="Normal 12 3 4 3" xfId="5496" xr:uid="{00000000-0005-0000-0000-0000390E0000}"/>
    <cellStyle name="Normal 12 3 4 3 2" xfId="14822" xr:uid="{6439CF2B-8996-40FD-A80B-D73AB311E77C}"/>
    <cellStyle name="Normal 12 3 4 4" xfId="10605" xr:uid="{781AFE88-16A4-49EE-97E1-0441CA5679A8}"/>
    <cellStyle name="Normal 12 3 5" xfId="1602" xr:uid="{00000000-0005-0000-0000-00003A0E0000}"/>
    <cellStyle name="Normal 12 3 5 2" xfId="3832" xr:uid="{00000000-0005-0000-0000-00003B0E0000}"/>
    <cellStyle name="Normal 12 3 5 2 2" xfId="8054" xr:uid="{00000000-0005-0000-0000-00003C0E0000}"/>
    <cellStyle name="Normal 12 3 5 2 2 2" xfId="17380" xr:uid="{36F5611E-2F65-4AB2-B914-399849DC0560}"/>
    <cellStyle name="Normal 12 3 5 2 3" xfId="13163" xr:uid="{EE51F1CA-6CB6-42BF-A38C-9F5D014840C1}"/>
    <cellStyle name="Normal 12 3 5 3" xfId="5909" xr:uid="{00000000-0005-0000-0000-00003D0E0000}"/>
    <cellStyle name="Normal 12 3 5 3 2" xfId="15235" xr:uid="{321E0B70-A596-4428-B832-FC82EAC4F8CA}"/>
    <cellStyle name="Normal 12 3 5 4" xfId="11018" xr:uid="{1A09FA73-A01C-430C-A57D-960FA5B31437}"/>
    <cellStyle name="Normal 12 3 6" xfId="2016" xr:uid="{00000000-0005-0000-0000-00003E0E0000}"/>
    <cellStyle name="Normal 12 3 6 2" xfId="4245" xr:uid="{00000000-0005-0000-0000-00003F0E0000}"/>
    <cellStyle name="Normal 12 3 6 2 2" xfId="8467" xr:uid="{00000000-0005-0000-0000-0000400E0000}"/>
    <cellStyle name="Normal 12 3 6 2 2 2" xfId="17793" xr:uid="{12889C39-94B3-4786-9E27-FCCF175EA50A}"/>
    <cellStyle name="Normal 12 3 6 2 3" xfId="13576" xr:uid="{54641741-8C51-453D-8AFD-47927BF11414}"/>
    <cellStyle name="Normal 12 3 6 3" xfId="6322" xr:uid="{00000000-0005-0000-0000-0000410E0000}"/>
    <cellStyle name="Normal 12 3 6 3 2" xfId="15648" xr:uid="{F95BD11D-4B62-44B4-A511-ADD39F63FB49}"/>
    <cellStyle name="Normal 12 3 6 4" xfId="11431" xr:uid="{F97AEC28-0616-4C93-9184-06970B73B3F9}"/>
    <cellStyle name="Normal 12 3 7" xfId="2452" xr:uid="{00000000-0005-0000-0000-0000420E0000}"/>
    <cellStyle name="Normal 12 3 7 2" xfId="6735" xr:uid="{00000000-0005-0000-0000-0000430E0000}"/>
    <cellStyle name="Normal 12 3 7 2 2" xfId="16061" xr:uid="{E56E93A4-5397-48A9-9E4E-766CBCDFA801}"/>
    <cellStyle name="Normal 12 3 7 3" xfId="11844" xr:uid="{1B49BA63-3A49-45DB-B324-05EE3F43447B}"/>
    <cellStyle name="Normal 12 3 8" xfId="4669" xr:uid="{00000000-0005-0000-0000-0000440E0000}"/>
    <cellStyle name="Normal 12 3 8 2" xfId="13995" xr:uid="{E1880887-B63E-4088-9288-1D3A7CF52711}"/>
    <cellStyle name="Normal 12 3 9" xfId="8873" xr:uid="{72AE7E6C-F254-4BFC-80A7-F73848FA4F21}"/>
    <cellStyle name="Normal 12 3 9 2" xfId="18197" xr:uid="{64D17CE0-9422-4DCE-A175-CAC74B8AAB33}"/>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6556" xr:uid="{7FD06E84-DDB6-48F5-BC0E-1CB615B9C16A}"/>
    <cellStyle name="Normal 12 4 2 2 3" xfId="12339" xr:uid="{D3A300DE-E83C-4010-B176-5414971225EE}"/>
    <cellStyle name="Normal 12 4 2 3" xfId="5085" xr:uid="{00000000-0005-0000-0000-0000490E0000}"/>
    <cellStyle name="Normal 12 4 2 3 2" xfId="14411" xr:uid="{0F61AF62-AD1F-4247-AB0A-CA821BAD85A6}"/>
    <cellStyle name="Normal 12 4 2 4" xfId="9402" xr:uid="{F40C9AB7-F4D0-4A65-BBAA-FF5409160FE5}"/>
    <cellStyle name="Normal 12 4 2 4 2" xfId="18717" xr:uid="{68871FFE-8A3C-441F-B98B-FF5698AE65EE}"/>
    <cellStyle name="Normal 12 4 2 5" xfId="10194" xr:uid="{DE8B2370-771D-4482-8CA3-3AA204B26D26}"/>
    <cellStyle name="Normal 12 4 3" xfId="1190" xr:uid="{00000000-0005-0000-0000-00004A0E0000}"/>
    <cellStyle name="Normal 12 4 3 2" xfId="3421" xr:uid="{00000000-0005-0000-0000-00004B0E0000}"/>
    <cellStyle name="Normal 12 4 3 2 2" xfId="7643" xr:uid="{00000000-0005-0000-0000-00004C0E0000}"/>
    <cellStyle name="Normal 12 4 3 2 2 2" xfId="16969" xr:uid="{BAF50D95-2DE9-423B-9F07-663AE3DF256C}"/>
    <cellStyle name="Normal 12 4 3 2 3" xfId="12752" xr:uid="{EC065587-19D3-4744-971F-75038A60B945}"/>
    <cellStyle name="Normal 12 4 3 3" xfId="5498" xr:uid="{00000000-0005-0000-0000-00004D0E0000}"/>
    <cellStyle name="Normal 12 4 3 3 2" xfId="14824" xr:uid="{FF4B6BC9-04AE-4330-A58F-65A27BC1EB1E}"/>
    <cellStyle name="Normal 12 4 3 4" xfId="10607" xr:uid="{D329CFB3-AD64-4644-B27C-CD2B9AC9D61D}"/>
    <cellStyle name="Normal 12 4 4" xfId="1604" xr:uid="{00000000-0005-0000-0000-00004E0E0000}"/>
    <cellStyle name="Normal 12 4 4 2" xfId="3834" xr:uid="{00000000-0005-0000-0000-00004F0E0000}"/>
    <cellStyle name="Normal 12 4 4 2 2" xfId="8056" xr:uid="{00000000-0005-0000-0000-0000500E0000}"/>
    <cellStyle name="Normal 12 4 4 2 2 2" xfId="17382" xr:uid="{498845F6-AB52-44E3-B857-35AB8D18780A}"/>
    <cellStyle name="Normal 12 4 4 2 3" xfId="13165" xr:uid="{995CB727-5CB1-4F38-A61E-4D3C7E056D74}"/>
    <cellStyle name="Normal 12 4 4 3" xfId="5911" xr:uid="{00000000-0005-0000-0000-0000510E0000}"/>
    <cellStyle name="Normal 12 4 4 3 2" xfId="15237" xr:uid="{08D66708-1A2A-448B-9FE7-FA96DB2CEC09}"/>
    <cellStyle name="Normal 12 4 4 4" xfId="11020" xr:uid="{9F14766C-9E8F-4A37-BE17-18FFB7C2CD38}"/>
    <cellStyle name="Normal 12 4 5" xfId="2018" xr:uid="{00000000-0005-0000-0000-0000520E0000}"/>
    <cellStyle name="Normal 12 4 5 2" xfId="4247" xr:uid="{00000000-0005-0000-0000-0000530E0000}"/>
    <cellStyle name="Normal 12 4 5 2 2" xfId="8469" xr:uid="{00000000-0005-0000-0000-0000540E0000}"/>
    <cellStyle name="Normal 12 4 5 2 2 2" xfId="17795" xr:uid="{0E6D78CD-2BAA-479B-B619-AD8A7B8A4A7A}"/>
    <cellStyle name="Normal 12 4 5 2 3" xfId="13578" xr:uid="{60529FF9-4BD2-4090-B98A-7AFC8751A48E}"/>
    <cellStyle name="Normal 12 4 5 3" xfId="6324" xr:uid="{00000000-0005-0000-0000-0000550E0000}"/>
    <cellStyle name="Normal 12 4 5 3 2" xfId="15650" xr:uid="{93C19A70-8021-42A1-8A50-5AFFE7751439}"/>
    <cellStyle name="Normal 12 4 5 4" xfId="11433" xr:uid="{477C0D49-A8FF-4206-9F4A-1787149FF572}"/>
    <cellStyle name="Normal 12 4 6" xfId="2454" xr:uid="{00000000-0005-0000-0000-0000560E0000}"/>
    <cellStyle name="Normal 12 4 6 2" xfId="6737" xr:uid="{00000000-0005-0000-0000-0000570E0000}"/>
    <cellStyle name="Normal 12 4 6 2 2" xfId="16063" xr:uid="{3FE82AAC-D3C3-441E-A321-DD6935669D8A}"/>
    <cellStyle name="Normal 12 4 6 3" xfId="11846" xr:uid="{3A871E53-7E47-46D9-BD48-F34BFAEE3021}"/>
    <cellStyle name="Normal 12 4 7" xfId="4671" xr:uid="{00000000-0005-0000-0000-0000580E0000}"/>
    <cellStyle name="Normal 12 4 7 2" xfId="13997" xr:uid="{6BB4C043-4A73-49DE-A7C8-77AAB93B0CB9}"/>
    <cellStyle name="Normal 12 4 8" xfId="8977" xr:uid="{5BFFE5F3-99F6-4DA1-A3EF-BF749B3B7ACB}"/>
    <cellStyle name="Normal 12 4 8 2" xfId="18301" xr:uid="{24E1377D-464B-481B-91DD-ABC9D3C02B87}"/>
    <cellStyle name="Normal 12 4 9" xfId="9780" xr:uid="{0878B8D3-5A6C-4F9F-AE4E-EAA0DAE4F211}"/>
    <cellStyle name="Normal 12 5" xfId="267" xr:uid="{00000000-0005-0000-0000-0000590E0000}"/>
    <cellStyle name="Normal 12 5 2" xfId="9579" xr:uid="{43940F87-8803-4E34-B3E0-736FAF89CA32}"/>
    <cellStyle name="Normal 12 5 2 2" xfId="18894" xr:uid="{12209F77-392F-458D-B931-074ABF77D664}"/>
    <cellStyle name="Normal 12 5 3" xfId="9586" xr:uid="{72B01073-C2DA-4DF8-9E0D-6932F6AF67FF}"/>
    <cellStyle name="Normal 12 5 4" xfId="9156" xr:uid="{4BCB05AE-5738-4A10-9D4D-B3A4CD16FD2C}"/>
    <cellStyle name="Normal 12 5 4 2" xfId="18478" xr:uid="{CAA75011-701D-4523-8F76-69BCBC7E39C4}"/>
    <cellStyle name="Normal 12 6" xfId="760" xr:uid="{00000000-0005-0000-0000-00005A0E0000}"/>
    <cellStyle name="Normal 12 6 2" xfId="3001" xr:uid="{00000000-0005-0000-0000-00005B0E0000}"/>
    <cellStyle name="Normal 12 6 2 2" xfId="7223" xr:uid="{00000000-0005-0000-0000-00005C0E0000}"/>
    <cellStyle name="Normal 12 6 2 2 2" xfId="16549" xr:uid="{A400E71C-C144-4885-81DB-3C3BA4A3BF6B}"/>
    <cellStyle name="Normal 12 6 2 3" xfId="12332" xr:uid="{4A82CE08-167A-4632-A5AE-F9627772187D}"/>
    <cellStyle name="Normal 12 6 3" xfId="5078" xr:uid="{00000000-0005-0000-0000-00005D0E0000}"/>
    <cellStyle name="Normal 12 6 3 2" xfId="14404" xr:uid="{B9E22EEA-D165-4100-9768-DE6834E8C285}"/>
    <cellStyle name="Normal 12 6 4" xfId="9194" xr:uid="{92D32932-3865-4F6F-A551-9A99EC116A43}"/>
    <cellStyle name="Normal 12 6 4 2" xfId="18510" xr:uid="{259EEB1E-AFE6-44D1-BDA8-B434F4732A8E}"/>
    <cellStyle name="Normal 12 6 5" xfId="10187" xr:uid="{C0599E26-B637-4637-9AA1-D8E181F00528}"/>
    <cellStyle name="Normal 12 7" xfId="1183" xr:uid="{00000000-0005-0000-0000-00005E0E0000}"/>
    <cellStyle name="Normal 12 7 2" xfId="3414" xr:uid="{00000000-0005-0000-0000-00005F0E0000}"/>
    <cellStyle name="Normal 12 7 2 2" xfId="7636" xr:uid="{00000000-0005-0000-0000-0000600E0000}"/>
    <cellStyle name="Normal 12 7 2 2 2" xfId="16962" xr:uid="{B1BB3CF9-ABD1-4220-A1BC-03AEAA8E17B0}"/>
    <cellStyle name="Normal 12 7 2 3" xfId="12745" xr:uid="{FC56E865-761B-4C7A-9D75-06383B479438}"/>
    <cellStyle name="Normal 12 7 3" xfId="5491" xr:uid="{00000000-0005-0000-0000-0000610E0000}"/>
    <cellStyle name="Normal 12 7 3 2" xfId="14817" xr:uid="{9AC41EB8-F49C-482D-A91F-6B34F3071D10}"/>
    <cellStyle name="Normal 12 7 4" xfId="10600" xr:uid="{073CC56F-4509-4678-9E10-BD1032D40213}"/>
    <cellStyle name="Normal 12 8" xfId="1597" xr:uid="{00000000-0005-0000-0000-0000620E0000}"/>
    <cellStyle name="Normal 12 8 2" xfId="3827" xr:uid="{00000000-0005-0000-0000-0000630E0000}"/>
    <cellStyle name="Normal 12 8 2 2" xfId="8049" xr:uid="{00000000-0005-0000-0000-0000640E0000}"/>
    <cellStyle name="Normal 12 8 2 2 2" xfId="17375" xr:uid="{2C1A1E83-4CDD-415B-8256-9FFAA47801A7}"/>
    <cellStyle name="Normal 12 8 2 3" xfId="13158" xr:uid="{C62F8699-0590-4410-AC06-6B78A7180559}"/>
    <cellStyle name="Normal 12 8 3" xfId="5904" xr:uid="{00000000-0005-0000-0000-0000650E0000}"/>
    <cellStyle name="Normal 12 8 3 2" xfId="15230" xr:uid="{8CF5D32C-D71A-4729-8377-40D790C6DE21}"/>
    <cellStyle name="Normal 12 8 4" xfId="11013" xr:uid="{615A80AC-9C9F-4629-9957-6672DB5969F8}"/>
    <cellStyle name="Normal 12 9" xfId="2011" xr:uid="{00000000-0005-0000-0000-0000660E0000}"/>
    <cellStyle name="Normal 12 9 2" xfId="4240" xr:uid="{00000000-0005-0000-0000-0000670E0000}"/>
    <cellStyle name="Normal 12 9 2 2" xfId="8462" xr:uid="{00000000-0005-0000-0000-0000680E0000}"/>
    <cellStyle name="Normal 12 9 2 2 2" xfId="17788" xr:uid="{CB332173-FEA6-4AEA-A914-53B582F1E7CB}"/>
    <cellStyle name="Normal 12 9 2 3" xfId="13571" xr:uid="{572C4E01-04B8-4B2F-8379-31DD14E954A8}"/>
    <cellStyle name="Normal 12 9 3" xfId="6317" xr:uid="{00000000-0005-0000-0000-0000690E0000}"/>
    <cellStyle name="Normal 12 9 3 2" xfId="15643" xr:uid="{51DE900E-6D0D-4776-8335-E9FDFCEEE635}"/>
    <cellStyle name="Normal 12 9 4" xfId="11426" xr:uid="{8A7932D2-0A76-4A0D-8C2E-44FFB83E5672}"/>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6557" xr:uid="{AC063B7D-77AB-432A-A5B4-01E027F8F770}"/>
    <cellStyle name="Normal 14 2 2 3" xfId="12340" xr:uid="{7FA8B46D-1548-4009-8660-F9F466C32ECE}"/>
    <cellStyle name="Normal 14 2 3" xfId="5086" xr:uid="{00000000-0005-0000-0000-0000700E0000}"/>
    <cellStyle name="Normal 14 2 3 2" xfId="14412" xr:uid="{F35155B5-4F75-490B-A7E0-917E71392119}"/>
    <cellStyle name="Normal 14 2 4" xfId="9371" xr:uid="{E1AFB5B4-F468-480A-B09F-3374B2F03BDA}"/>
    <cellStyle name="Normal 14 2 4 2" xfId="18686" xr:uid="{A87F2639-3B69-4C41-9E03-DF45E53159CD}"/>
    <cellStyle name="Normal 14 2 5" xfId="10195" xr:uid="{137098D3-D502-476A-8763-6AE81575459C}"/>
    <cellStyle name="Normal 14 3" xfId="1191" xr:uid="{00000000-0005-0000-0000-0000710E0000}"/>
    <cellStyle name="Normal 14 3 2" xfId="3422" xr:uid="{00000000-0005-0000-0000-0000720E0000}"/>
    <cellStyle name="Normal 14 3 2 2" xfId="7644" xr:uid="{00000000-0005-0000-0000-0000730E0000}"/>
    <cellStyle name="Normal 14 3 2 2 2" xfId="16970" xr:uid="{D1153793-5A04-4F53-AC3F-EE76A480042E}"/>
    <cellStyle name="Normal 14 3 2 3" xfId="12753" xr:uid="{E164AAD5-9180-448E-9944-024DC5D45001}"/>
    <cellStyle name="Normal 14 3 3" xfId="5499" xr:uid="{00000000-0005-0000-0000-0000740E0000}"/>
    <cellStyle name="Normal 14 3 3 2" xfId="14825" xr:uid="{53540B09-EA6E-4E48-B585-7F56166868A0}"/>
    <cellStyle name="Normal 14 3 4" xfId="10608" xr:uid="{9BECE8B8-CCEF-4D54-A425-19D5C2E24B92}"/>
    <cellStyle name="Normal 14 4" xfId="1605" xr:uid="{00000000-0005-0000-0000-0000750E0000}"/>
    <cellStyle name="Normal 14 4 2" xfId="3835" xr:uid="{00000000-0005-0000-0000-0000760E0000}"/>
    <cellStyle name="Normal 14 4 2 2" xfId="8057" xr:uid="{00000000-0005-0000-0000-0000770E0000}"/>
    <cellStyle name="Normal 14 4 2 2 2" xfId="17383" xr:uid="{C9AD65EF-3C5B-4C2C-8F09-BAEA04F70E8F}"/>
    <cellStyle name="Normal 14 4 2 3" xfId="13166" xr:uid="{071715AB-4235-4A63-9E19-6901350DF825}"/>
    <cellStyle name="Normal 14 4 3" xfId="5912" xr:uid="{00000000-0005-0000-0000-0000780E0000}"/>
    <cellStyle name="Normal 14 4 3 2" xfId="15238" xr:uid="{919EE9C4-F18B-436A-B33D-7610098B54D7}"/>
    <cellStyle name="Normal 14 4 4" xfId="11021" xr:uid="{233180CF-1E59-4CEC-BE09-539F53A291E6}"/>
    <cellStyle name="Normal 14 5" xfId="2019" xr:uid="{00000000-0005-0000-0000-0000790E0000}"/>
    <cellStyle name="Normal 14 5 2" xfId="4248" xr:uid="{00000000-0005-0000-0000-00007A0E0000}"/>
    <cellStyle name="Normal 14 5 2 2" xfId="8470" xr:uid="{00000000-0005-0000-0000-00007B0E0000}"/>
    <cellStyle name="Normal 14 5 2 2 2" xfId="17796" xr:uid="{B0A21E59-DCFD-4E49-8115-05296801AA20}"/>
    <cellStyle name="Normal 14 5 2 3" xfId="13579" xr:uid="{10DC5AD9-8B98-4563-91EC-A5F3EDDAE90A}"/>
    <cellStyle name="Normal 14 5 3" xfId="6325" xr:uid="{00000000-0005-0000-0000-00007C0E0000}"/>
    <cellStyle name="Normal 14 5 3 2" xfId="15651" xr:uid="{5BEC005E-0CB6-4713-A624-A2109E88A33E}"/>
    <cellStyle name="Normal 14 5 4" xfId="11434" xr:uid="{FFC841B9-B2A4-48B3-B2C9-CCDEBB589208}"/>
    <cellStyle name="Normal 14 6" xfId="2455" xr:uid="{00000000-0005-0000-0000-00007D0E0000}"/>
    <cellStyle name="Normal 14 6 2" xfId="6738" xr:uid="{00000000-0005-0000-0000-00007E0E0000}"/>
    <cellStyle name="Normal 14 6 2 2" xfId="16064" xr:uid="{F1AB3B0F-0B2F-45A6-AA4D-189B48E5B122}"/>
    <cellStyle name="Normal 14 6 3" xfId="11847" xr:uid="{89090E69-DC65-4ADD-8FC9-6717C7D5A0D4}"/>
    <cellStyle name="Normal 14 7" xfId="4672" xr:uid="{00000000-0005-0000-0000-00007F0E0000}"/>
    <cellStyle name="Normal 14 7 2" xfId="13998" xr:uid="{7F1B7465-9B4A-4E62-AD92-CFFE2264E88E}"/>
    <cellStyle name="Normal 14 8" xfId="8946" xr:uid="{DD997A1C-6669-41AA-8AC1-78121AFC796C}"/>
    <cellStyle name="Normal 14 8 2" xfId="18270" xr:uid="{C7A76A7F-A59E-4772-8ED1-83AF39D5F5A2}"/>
    <cellStyle name="Normal 14 9" xfId="9781" xr:uid="{70F2BBB7-B732-466C-ABB3-02C36AF8ACBD}"/>
    <cellStyle name="Normal 15" xfId="4496" xr:uid="{00000000-0005-0000-0000-0000800E0000}"/>
    <cellStyle name="Normal 15 2" xfId="9578" xr:uid="{99513E76-E7E2-49D8-ADC5-F882C61FFC79}"/>
    <cellStyle name="Normal 15 2 2" xfId="18893" xr:uid="{5A923BE8-1084-4A58-A301-CF2C3040D3BF}"/>
    <cellStyle name="Normal 15 3" xfId="9155" xr:uid="{47700DD8-A88A-4CB4-BFAD-BA75A2D4FC8E}"/>
    <cellStyle name="Normal 15 3 2" xfId="18477" xr:uid="{80EE1B82-84A3-4BA3-9181-C10E102A6627}"/>
    <cellStyle name="Normal 15 4" xfId="13824" xr:uid="{9E25D9F2-820C-4191-9E7A-28C64CD25E41}"/>
    <cellStyle name="Normal 16" xfId="4500" xr:uid="{00000000-0005-0000-0000-0000810E0000}"/>
    <cellStyle name="Normal 16 2" xfId="8715" xr:uid="{00000000-0005-0000-0000-0000820E0000}"/>
    <cellStyle name="Normal 16 2 2" xfId="18041" xr:uid="{706A019B-E35D-46EE-ACBB-677F00987441}"/>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2 2" xfId="18060" xr:uid="{6730BFDF-60FE-4652-8E86-80674F799B30}"/>
    <cellStyle name="Normal 16 3 2 2 2 2 3" xfId="18057" xr:uid="{57F00B00-B2DA-4885-AC40-05BE4E0D6B36}"/>
    <cellStyle name="Normal 16 3 2 2 2 3" xfId="18054" xr:uid="{567BEB79-8506-4EE9-B22F-9C4037211C75}"/>
    <cellStyle name="Normal 16 3 2 2 3" xfId="18050" xr:uid="{5F9B9A40-D856-4185-9B3C-B6F2F09514C6}"/>
    <cellStyle name="Normal 16 3 2 3" xfId="18047" xr:uid="{C7D25024-90AF-4295-B1F4-B7C7BF9A5C95}"/>
    <cellStyle name="Normal 16 3 3" xfId="18044" xr:uid="{CBC09D00-F26F-480F-9C4A-4E6CABDED43C}"/>
    <cellStyle name="Normal 16 4" xfId="9612" xr:uid="{8729F6E8-3534-4DAE-B0B2-B2AF3CDCD313}"/>
    <cellStyle name="Normal 16 5" xfId="13827" xr:uid="{FDF77D3F-DC54-45FF-B32B-1EA62AA816A4}"/>
    <cellStyle name="Normal 17" xfId="8728" xr:uid="{3FF0972C-833B-4475-99D8-1A6907499E71}"/>
    <cellStyle name="Normal 17 2" xfId="9157" xr:uid="{6C872296-5E17-4821-9139-E52AD113B06C}"/>
    <cellStyle name="Normal 17 3" xfId="9154" xr:uid="{DC3FF210-EC1F-47CE-8CCE-F8F5460671B1}"/>
    <cellStyle name="Normal 17 4" xfId="18053" xr:uid="{3E537B18-02D0-4CF9-8835-0BD29F31C690}"/>
    <cellStyle name="Normal 18" xfId="9153" xr:uid="{EF04732C-9519-4C21-BD73-A108E18EA17F}"/>
    <cellStyle name="Normal 19" xfId="8739" xr:uid="{D907EBA7-1F94-4726-9ABB-7E7835FFF57E}"/>
    <cellStyle name="Normal 19 2" xfId="18063" xr:uid="{DCAA7B1B-14FA-4430-B287-3656E07DC4AF}"/>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10 2" xfId="18072" xr:uid="{3E280576-7D8E-40A9-B794-717ED16541C6}"/>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97" xr:uid="{3A698E09-AB2E-4727-A560-23A31FFE2AA6}"/>
    <cellStyle name="Normal 2 4 2 10 2 3" xfId="13580" xr:uid="{B3517284-DED3-4AC8-99D0-EFAE10258066}"/>
    <cellStyle name="Normal 2 4 2 10 3" xfId="6326" xr:uid="{00000000-0005-0000-0000-0000910E0000}"/>
    <cellStyle name="Normal 2 4 2 10 3 2" xfId="15652" xr:uid="{22C026BC-21E8-44F1-AC9F-D6F9BBEC8545}"/>
    <cellStyle name="Normal 2 4 2 10 4" xfId="11435" xr:uid="{D2A42E70-FC8F-4F06-80F4-0F3049AD8B28}"/>
    <cellStyle name="Normal 2 4 2 11" xfId="2456" xr:uid="{00000000-0005-0000-0000-0000920E0000}"/>
    <cellStyle name="Normal 2 4 2 11 2" xfId="6739" xr:uid="{00000000-0005-0000-0000-0000930E0000}"/>
    <cellStyle name="Normal 2 4 2 11 2 2" xfId="16065" xr:uid="{083A6CB5-D722-4009-8C44-759DDF5A3BD7}"/>
    <cellStyle name="Normal 2 4 2 11 3" xfId="11848" xr:uid="{5B34DF3A-E67A-42D7-9E11-44370C39A1B6}"/>
    <cellStyle name="Normal 2 4 2 12" xfId="4673" xr:uid="{00000000-0005-0000-0000-0000940E0000}"/>
    <cellStyle name="Normal 2 4 2 12 2" xfId="13999" xr:uid="{E5529746-3563-4FD7-B586-40A80D29C930}"/>
    <cellStyle name="Normal 2 4 2 13" xfId="8757" xr:uid="{563A76DD-F7DD-49F0-A61E-0419F4C31301}"/>
    <cellStyle name="Normal 2 4 2 13 2" xfId="18081" xr:uid="{DEA2AFC2-C1DC-4838-90C1-AAF3778E038B}"/>
    <cellStyle name="Normal 2 4 2 14" xfId="9782" xr:uid="{3214E4C3-6F6E-4E26-B003-E47A37973832}"/>
    <cellStyle name="Normal 2 4 2 2" xfId="280" xr:uid="{00000000-0005-0000-0000-0000950E0000}"/>
    <cellStyle name="Normal 2 4 2 3" xfId="281" xr:uid="{00000000-0005-0000-0000-0000960E0000}"/>
    <cellStyle name="Normal 2 4 2 3 10" xfId="4674" xr:uid="{00000000-0005-0000-0000-0000970E0000}"/>
    <cellStyle name="Normal 2 4 2 3 10 2" xfId="14000" xr:uid="{29C482CB-5861-4A01-8BF1-38E6F7E8AF65}"/>
    <cellStyle name="Normal 2 4 2 3 11" xfId="8788" xr:uid="{EAD3D227-C8EF-4F54-8D24-EE1EA1F017BB}"/>
    <cellStyle name="Normal 2 4 2 3 11 2" xfId="18112" xr:uid="{CF62DBFD-33A5-4B09-9C5D-0517C19E8C35}"/>
    <cellStyle name="Normal 2 4 2 3 12" xfId="9783" xr:uid="{C5F1AAF5-F157-4640-AF8A-5D7D81690E5E}"/>
    <cellStyle name="Normal 2 4 2 3 2" xfId="282" xr:uid="{00000000-0005-0000-0000-0000980E0000}"/>
    <cellStyle name="Normal 2 4 2 3 2 10" xfId="8813" xr:uid="{C03AE35D-2438-4E07-AE9C-6D04EC6DA2B7}"/>
    <cellStyle name="Normal 2 4 2 3 2 10 2" xfId="18137" xr:uid="{800B80FE-E2DE-4284-AA28-A6B3AB734B46}"/>
    <cellStyle name="Normal 2 4 2 3 2 11" xfId="9784" xr:uid="{90D566C9-B9D5-4979-AC04-096F09A9582E}"/>
    <cellStyle name="Normal 2 4 2 3 2 2" xfId="283" xr:uid="{00000000-0005-0000-0000-0000990E0000}"/>
    <cellStyle name="Normal 2 4 2 3 2 2 10" xfId="9785" xr:uid="{F652B4E5-EB6E-47AE-9BDB-2B7E95713A73}"/>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62" xr:uid="{CA07CE9E-F41F-4BD2-85F1-01A6C0888A65}"/>
    <cellStyle name="Normal 2 4 2 3 2 2 2 2 2 3" xfId="12345" xr:uid="{AFC71906-6AFD-499F-A9B5-F24D8523CD8F}"/>
    <cellStyle name="Normal 2 4 2 3 2 2 2 2 3" xfId="5091" xr:uid="{00000000-0005-0000-0000-00009E0E0000}"/>
    <cellStyle name="Normal 2 4 2 3 2 2 2 2 3 2" xfId="14417" xr:uid="{D41F9A8D-62A2-4E21-8A0C-1DD85C04130F}"/>
    <cellStyle name="Normal 2 4 2 3 2 2 2 2 4" xfId="9548" xr:uid="{29E7289E-B3F4-4F63-9B9C-B531B0E50CEB}"/>
    <cellStyle name="Normal 2 4 2 3 2 2 2 2 4 2" xfId="18863" xr:uid="{F65942B5-1148-4C19-A10A-C4B5C4CA040A}"/>
    <cellStyle name="Normal 2 4 2 3 2 2 2 2 5" xfId="10200" xr:uid="{C083C718-23D6-4EFF-8954-CF3CA2AC1B68}"/>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75" xr:uid="{D49BFDB3-8E99-49D9-8CC9-53DE8962511E}"/>
    <cellStyle name="Normal 2 4 2 3 2 2 2 3 2 3" xfId="12758" xr:uid="{759B9CD9-AD82-4A02-B3B8-A02FCA9C6A73}"/>
    <cellStyle name="Normal 2 4 2 3 2 2 2 3 3" xfId="5504" xr:uid="{00000000-0005-0000-0000-0000A20E0000}"/>
    <cellStyle name="Normal 2 4 2 3 2 2 2 3 3 2" xfId="14830" xr:uid="{36516B2D-3433-42A4-85A1-6D6084C39AD5}"/>
    <cellStyle name="Normal 2 4 2 3 2 2 2 3 4" xfId="10613" xr:uid="{BA6C08D5-5EE1-4B62-A98F-942DD0C3D6FC}"/>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88" xr:uid="{D53E1950-F212-4DD7-9D22-D044B5FB0F99}"/>
    <cellStyle name="Normal 2 4 2 3 2 2 2 4 2 3" xfId="13171" xr:uid="{E4BD474A-B36F-4E99-96D8-C87FF30A5A26}"/>
    <cellStyle name="Normal 2 4 2 3 2 2 2 4 3" xfId="5917" xr:uid="{00000000-0005-0000-0000-0000A60E0000}"/>
    <cellStyle name="Normal 2 4 2 3 2 2 2 4 3 2" xfId="15243" xr:uid="{FC6B70A2-DC4A-4FC0-965C-CA898DCE8D6B}"/>
    <cellStyle name="Normal 2 4 2 3 2 2 2 4 4" xfId="11026" xr:uid="{F7F05591-F05C-472C-9249-2AAB76D57B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801" xr:uid="{CA21E613-81F8-4430-BC84-04B614B4E942}"/>
    <cellStyle name="Normal 2 4 2 3 2 2 2 5 2 3" xfId="13584" xr:uid="{CBC753BF-26A4-40FC-A0F7-87AD52294ACF}"/>
    <cellStyle name="Normal 2 4 2 3 2 2 2 5 3" xfId="6330" xr:uid="{00000000-0005-0000-0000-0000AA0E0000}"/>
    <cellStyle name="Normal 2 4 2 3 2 2 2 5 3 2" xfId="15656" xr:uid="{91243868-126B-4BC3-96F6-C30B118A3432}"/>
    <cellStyle name="Normal 2 4 2 3 2 2 2 5 4" xfId="11439" xr:uid="{E5911387-5102-4754-BCBC-AE857DDCBA8F}"/>
    <cellStyle name="Normal 2 4 2 3 2 2 2 6" xfId="2460" xr:uid="{00000000-0005-0000-0000-0000AB0E0000}"/>
    <cellStyle name="Normal 2 4 2 3 2 2 2 6 2" xfId="6743" xr:uid="{00000000-0005-0000-0000-0000AC0E0000}"/>
    <cellStyle name="Normal 2 4 2 3 2 2 2 6 2 2" xfId="16069" xr:uid="{98691C55-9DAE-42F1-B11B-91481B5E11EE}"/>
    <cellStyle name="Normal 2 4 2 3 2 2 2 6 3" xfId="11852" xr:uid="{7C52F6CE-A679-4A33-B82B-D8A585A45916}"/>
    <cellStyle name="Normal 2 4 2 3 2 2 2 7" xfId="4677" xr:uid="{00000000-0005-0000-0000-0000AD0E0000}"/>
    <cellStyle name="Normal 2 4 2 3 2 2 2 7 2" xfId="14003" xr:uid="{02D1CF95-DAEF-40CE-B942-514A5CC5FFBE}"/>
    <cellStyle name="Normal 2 4 2 3 2 2 2 8" xfId="9123" xr:uid="{9F0183A9-880D-46D9-BB7D-5696E4723F5F}"/>
    <cellStyle name="Normal 2 4 2 3 2 2 2 8 2" xfId="18447" xr:uid="{B9DC4DC8-47D9-4B6E-9A7E-7CBCDA5E2597}"/>
    <cellStyle name="Normal 2 4 2 3 2 2 2 9" xfId="9786" xr:uid="{CCE7A02A-654A-47B0-8BF4-13784019DB82}"/>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61" xr:uid="{62D577A0-3A84-4454-8247-D4E32C0A23A4}"/>
    <cellStyle name="Normal 2 4 2 3 2 2 3 2 3" xfId="12344" xr:uid="{66AFA7BC-01E4-4F63-9E84-7D7DF4F42772}"/>
    <cellStyle name="Normal 2 4 2 3 2 2 3 3" xfId="5090" xr:uid="{00000000-0005-0000-0000-0000B10E0000}"/>
    <cellStyle name="Normal 2 4 2 3 2 2 3 3 2" xfId="14416" xr:uid="{4F53B8D4-FAB5-4168-9184-8AC56250DD59}"/>
    <cellStyle name="Normal 2 4 2 3 2 2 3 4" xfId="9341" xr:uid="{4F113FF5-050D-47D1-A7D5-F829C93D993D}"/>
    <cellStyle name="Normal 2 4 2 3 2 2 3 4 2" xfId="18656" xr:uid="{A5E0A759-1CF4-4BAA-8B4A-5F7A03BFA56E}"/>
    <cellStyle name="Normal 2 4 2 3 2 2 3 5" xfId="10199" xr:uid="{7F338833-5638-4BCB-A1DC-24159F968D1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74" xr:uid="{C5AB1738-93B8-45DB-BBB7-B3A0FE51A154}"/>
    <cellStyle name="Normal 2 4 2 3 2 2 4 2 3" xfId="12757" xr:uid="{3C9F34AC-4B55-47D6-9F53-A0771BF3EB6C}"/>
    <cellStyle name="Normal 2 4 2 3 2 2 4 3" xfId="5503" xr:uid="{00000000-0005-0000-0000-0000B50E0000}"/>
    <cellStyle name="Normal 2 4 2 3 2 2 4 3 2" xfId="14829" xr:uid="{BAF2E3DC-40C1-4311-89DF-42D10D37CC11}"/>
    <cellStyle name="Normal 2 4 2 3 2 2 4 4" xfId="10612" xr:uid="{B8FF8ECF-3C85-45A0-9F0D-11DF58D99462}"/>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87" xr:uid="{69873CB7-E86A-4B3A-8AC6-DA0F1A7FDDF4}"/>
    <cellStyle name="Normal 2 4 2 3 2 2 5 2 3" xfId="13170" xr:uid="{E96B9566-A58D-4F1A-B64C-7DAAD1E9F604}"/>
    <cellStyle name="Normal 2 4 2 3 2 2 5 3" xfId="5916" xr:uid="{00000000-0005-0000-0000-0000B90E0000}"/>
    <cellStyle name="Normal 2 4 2 3 2 2 5 3 2" xfId="15242" xr:uid="{C2B56252-02BB-4013-89AB-758EF97CB473}"/>
    <cellStyle name="Normal 2 4 2 3 2 2 5 4" xfId="11025" xr:uid="{70BD96C5-9D42-49D7-934E-6C30CDA38781}"/>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800" xr:uid="{5E6A1CB2-D1A7-411C-AF40-4EE8A7B0E0CE}"/>
    <cellStyle name="Normal 2 4 2 3 2 2 6 2 3" xfId="13583" xr:uid="{DD7EF73B-AA8C-491A-A121-41E96EFDD229}"/>
    <cellStyle name="Normal 2 4 2 3 2 2 6 3" xfId="6329" xr:uid="{00000000-0005-0000-0000-0000BD0E0000}"/>
    <cellStyle name="Normal 2 4 2 3 2 2 6 3 2" xfId="15655" xr:uid="{33674467-A55D-469F-8F0B-E04D016DA1B0}"/>
    <cellStyle name="Normal 2 4 2 3 2 2 6 4" xfId="11438" xr:uid="{F6C8672A-4783-4DCC-9DDB-69C3DD928146}"/>
    <cellStyle name="Normal 2 4 2 3 2 2 7" xfId="2459" xr:uid="{00000000-0005-0000-0000-0000BE0E0000}"/>
    <cellStyle name="Normal 2 4 2 3 2 2 7 2" xfId="6742" xr:uid="{00000000-0005-0000-0000-0000BF0E0000}"/>
    <cellStyle name="Normal 2 4 2 3 2 2 7 2 2" xfId="16068" xr:uid="{5E0A311C-8B49-4BF3-96D5-D48883A6BE0D}"/>
    <cellStyle name="Normal 2 4 2 3 2 2 7 3" xfId="11851" xr:uid="{9FB8F64E-2D9D-452B-8A08-DD62F7A332F2}"/>
    <cellStyle name="Normal 2 4 2 3 2 2 8" xfId="4676" xr:uid="{00000000-0005-0000-0000-0000C00E0000}"/>
    <cellStyle name="Normal 2 4 2 3 2 2 8 2" xfId="14002" xr:uid="{5F1B098E-8EF1-4246-889C-6D397CA7F488}"/>
    <cellStyle name="Normal 2 4 2 3 2 2 9" xfId="8916" xr:uid="{1EF18CC7-44BB-43EB-8DB6-D193CEF128C1}"/>
    <cellStyle name="Normal 2 4 2 3 2 2 9 2" xfId="18240" xr:uid="{FA04ED11-11A2-43B9-9FCC-5AE5209CF3FE}"/>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63" xr:uid="{D13F32C7-C551-4D4D-9F2D-6169974D8829}"/>
    <cellStyle name="Normal 2 4 2 3 2 3 2 2 3" xfId="12346" xr:uid="{D22FCCC8-985D-4B81-837B-617038E04A12}"/>
    <cellStyle name="Normal 2 4 2 3 2 3 2 3" xfId="5092" xr:uid="{00000000-0005-0000-0000-0000C50E0000}"/>
    <cellStyle name="Normal 2 4 2 3 2 3 2 3 2" xfId="14418" xr:uid="{17BE3333-4E2F-459D-8603-6BAF41CB6E95}"/>
    <cellStyle name="Normal 2 4 2 3 2 3 2 4" xfId="9445" xr:uid="{67F9E33C-8554-469D-8D7A-1147F632F3B0}"/>
    <cellStyle name="Normal 2 4 2 3 2 3 2 4 2" xfId="18760" xr:uid="{04312ABF-451C-42ED-A6F9-A2928402A76F}"/>
    <cellStyle name="Normal 2 4 2 3 2 3 2 5" xfId="10201" xr:uid="{DAB5B72A-4E49-4FCD-B596-D04EFEB2A60D}"/>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76" xr:uid="{3D3FEA6E-3200-4BC7-B46E-DA40AD53B8DE}"/>
    <cellStyle name="Normal 2 4 2 3 2 3 3 2 3" xfId="12759" xr:uid="{39DCA7E1-21E8-419F-A481-41FE1E2E0BA9}"/>
    <cellStyle name="Normal 2 4 2 3 2 3 3 3" xfId="5505" xr:uid="{00000000-0005-0000-0000-0000C90E0000}"/>
    <cellStyle name="Normal 2 4 2 3 2 3 3 3 2" xfId="14831" xr:uid="{D9FCD6A9-49FA-4856-9FB2-425C57447700}"/>
    <cellStyle name="Normal 2 4 2 3 2 3 3 4" xfId="10614" xr:uid="{B928DA7D-4A97-4D6B-A6D1-76F34BA19BB3}"/>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89" xr:uid="{DB0C1D44-2FD3-44D4-8472-329999B6156B}"/>
    <cellStyle name="Normal 2 4 2 3 2 3 4 2 3" xfId="13172" xr:uid="{08EDDB07-EFFA-4350-8881-6E1B321B3554}"/>
    <cellStyle name="Normal 2 4 2 3 2 3 4 3" xfId="5918" xr:uid="{00000000-0005-0000-0000-0000CD0E0000}"/>
    <cellStyle name="Normal 2 4 2 3 2 3 4 3 2" xfId="15244" xr:uid="{BEB2BA5E-AE30-4C76-A8CC-4195025DBD24}"/>
    <cellStyle name="Normal 2 4 2 3 2 3 4 4" xfId="11027" xr:uid="{D33D043E-8F9E-4495-B40D-7629AA1C568A}"/>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802" xr:uid="{BA4C0213-3957-4047-A33F-E4F619E4AAA2}"/>
    <cellStyle name="Normal 2 4 2 3 2 3 5 2 3" xfId="13585" xr:uid="{9117AA0E-1FE6-4DC5-827A-2D1848C9CA83}"/>
    <cellStyle name="Normal 2 4 2 3 2 3 5 3" xfId="6331" xr:uid="{00000000-0005-0000-0000-0000D10E0000}"/>
    <cellStyle name="Normal 2 4 2 3 2 3 5 3 2" xfId="15657" xr:uid="{DE88105E-2630-4B7C-A823-539A247F2033}"/>
    <cellStyle name="Normal 2 4 2 3 2 3 5 4" xfId="11440" xr:uid="{07470931-CFB7-4494-9620-9F20F572E3CE}"/>
    <cellStyle name="Normal 2 4 2 3 2 3 6" xfId="2461" xr:uid="{00000000-0005-0000-0000-0000D20E0000}"/>
    <cellStyle name="Normal 2 4 2 3 2 3 6 2" xfId="6744" xr:uid="{00000000-0005-0000-0000-0000D30E0000}"/>
    <cellStyle name="Normal 2 4 2 3 2 3 6 2 2" xfId="16070" xr:uid="{4B44F716-F1B4-4605-B67D-7842A2E110F3}"/>
    <cellStyle name="Normal 2 4 2 3 2 3 6 3" xfId="11853" xr:uid="{22509780-AB4C-4553-985B-E0DDE9B638E0}"/>
    <cellStyle name="Normal 2 4 2 3 2 3 7" xfId="4678" xr:uid="{00000000-0005-0000-0000-0000D40E0000}"/>
    <cellStyle name="Normal 2 4 2 3 2 3 7 2" xfId="14004" xr:uid="{E0758B4A-8107-466A-860F-68F8A53AFBFC}"/>
    <cellStyle name="Normal 2 4 2 3 2 3 8" xfId="9020" xr:uid="{5718F785-8E2C-4B45-91D1-4597173D90A6}"/>
    <cellStyle name="Normal 2 4 2 3 2 3 8 2" xfId="18344" xr:uid="{C8257A56-C291-4150-8E64-30F7E1503489}"/>
    <cellStyle name="Normal 2 4 2 3 2 3 9" xfId="9787" xr:uid="{B80EAD2F-6F13-4D71-8027-EF1EDF2F6E63}"/>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60" xr:uid="{9CC88DC3-F95A-4398-ABDF-1B9C7E271186}"/>
    <cellStyle name="Normal 2 4 2 3 2 4 2 3" xfId="12343" xr:uid="{66F47812-74A8-42B6-8EB6-500A94559F82}"/>
    <cellStyle name="Normal 2 4 2 3 2 4 3" xfId="5089" xr:uid="{00000000-0005-0000-0000-0000D80E0000}"/>
    <cellStyle name="Normal 2 4 2 3 2 4 3 2" xfId="14415" xr:uid="{39A418B3-760E-4F6F-A19A-CA3FABA235A5}"/>
    <cellStyle name="Normal 2 4 2 3 2 4 4" xfId="9238" xr:uid="{BC6E5A3D-C256-46E9-A109-D643C24AA206}"/>
    <cellStyle name="Normal 2 4 2 3 2 4 4 2" xfId="18553" xr:uid="{39CFA3CE-5256-4F75-977E-4C6A5CC3C81F}"/>
    <cellStyle name="Normal 2 4 2 3 2 4 5" xfId="10198" xr:uid="{4535994F-FE9F-4A6A-9CD8-8A25ABBE4A5C}"/>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73" xr:uid="{AAC88BFE-5334-4716-B3A0-601D4D533C56}"/>
    <cellStyle name="Normal 2 4 2 3 2 5 2 3" xfId="12756" xr:uid="{AF8B2976-54EA-4CB9-A6D5-A8ABB0AAFDAA}"/>
    <cellStyle name="Normal 2 4 2 3 2 5 3" xfId="5502" xr:uid="{00000000-0005-0000-0000-0000DC0E0000}"/>
    <cellStyle name="Normal 2 4 2 3 2 5 3 2" xfId="14828" xr:uid="{AE4401CF-A595-43FA-AC27-4BB0C8979152}"/>
    <cellStyle name="Normal 2 4 2 3 2 5 4" xfId="10611" xr:uid="{6E07F575-B32A-4050-A6C4-FE2AC1F17E62}"/>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86" xr:uid="{B0594C25-357C-4D6C-AE69-B3FA7971D136}"/>
    <cellStyle name="Normal 2 4 2 3 2 6 2 3" xfId="13169" xr:uid="{8127AAC0-22CF-4602-B537-2DD1F076668B}"/>
    <cellStyle name="Normal 2 4 2 3 2 6 3" xfId="5915" xr:uid="{00000000-0005-0000-0000-0000E00E0000}"/>
    <cellStyle name="Normal 2 4 2 3 2 6 3 2" xfId="15241" xr:uid="{71A609CE-E333-4746-AF7C-E7876212A197}"/>
    <cellStyle name="Normal 2 4 2 3 2 6 4" xfId="11024" xr:uid="{BF89E3DC-8FA7-45DB-B985-489001AB2BA9}"/>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99" xr:uid="{1C5398F7-A80B-40D4-91E4-62B7F46DF5F2}"/>
    <cellStyle name="Normal 2 4 2 3 2 7 2 3" xfId="13582" xr:uid="{8B1D92BF-D262-4D72-AA91-86CC48A24ABE}"/>
    <cellStyle name="Normal 2 4 2 3 2 7 3" xfId="6328" xr:uid="{00000000-0005-0000-0000-0000E40E0000}"/>
    <cellStyle name="Normal 2 4 2 3 2 7 3 2" xfId="15654" xr:uid="{493F721E-78DC-4FF5-B877-6EA3F42AD53B}"/>
    <cellStyle name="Normal 2 4 2 3 2 7 4" xfId="11437" xr:uid="{49603794-B624-4806-96C7-9F70CF36E906}"/>
    <cellStyle name="Normal 2 4 2 3 2 8" xfId="2458" xr:uid="{00000000-0005-0000-0000-0000E50E0000}"/>
    <cellStyle name="Normal 2 4 2 3 2 8 2" xfId="6741" xr:uid="{00000000-0005-0000-0000-0000E60E0000}"/>
    <cellStyle name="Normal 2 4 2 3 2 8 2 2" xfId="16067" xr:uid="{A3C4049A-0DB3-47CD-AB7E-26B46A8A380F}"/>
    <cellStyle name="Normal 2 4 2 3 2 8 3" xfId="11850" xr:uid="{CDED8B8A-4A4C-4F0F-B7A5-C1E756265A51}"/>
    <cellStyle name="Normal 2 4 2 3 2 9" xfId="4675" xr:uid="{00000000-0005-0000-0000-0000E70E0000}"/>
    <cellStyle name="Normal 2 4 2 3 2 9 2" xfId="14001" xr:uid="{AB3BBF2E-676E-4BD9-8A82-6AAF56A6CA4F}"/>
    <cellStyle name="Normal 2 4 2 3 3" xfId="286" xr:uid="{00000000-0005-0000-0000-0000E80E0000}"/>
    <cellStyle name="Normal 2 4 2 3 3 10" xfId="9788" xr:uid="{2FD846F7-0AEB-41C3-8A90-E02117DA65DC}"/>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65" xr:uid="{8C4F3577-163C-4E1A-8C2B-13BF4F46C6D5}"/>
    <cellStyle name="Normal 2 4 2 3 3 2 2 2 3" xfId="12348" xr:uid="{09B41178-929E-44AE-B9CC-D909C90D2D67}"/>
    <cellStyle name="Normal 2 4 2 3 3 2 2 3" xfId="5094" xr:uid="{00000000-0005-0000-0000-0000ED0E0000}"/>
    <cellStyle name="Normal 2 4 2 3 3 2 2 3 2" xfId="14420" xr:uid="{C7387BD3-7A8F-4170-856F-271AB15F7261}"/>
    <cellStyle name="Normal 2 4 2 3 3 2 2 4" xfId="9523" xr:uid="{49BCB42B-3FEB-4D87-8E20-52FE775F87DD}"/>
    <cellStyle name="Normal 2 4 2 3 3 2 2 4 2" xfId="18838" xr:uid="{AF111B76-7A6F-41C8-A2B9-9DFA88824B4D}"/>
    <cellStyle name="Normal 2 4 2 3 3 2 2 5" xfId="10203" xr:uid="{85EE3A89-FFD0-4F06-A7BC-A77BF0C62E91}"/>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78" xr:uid="{05F993A9-194D-4241-8961-74AB57603273}"/>
    <cellStyle name="Normal 2 4 2 3 3 2 3 2 3" xfId="12761" xr:uid="{1DA6AE44-6F08-4251-8B80-C05BD55CFE1A}"/>
    <cellStyle name="Normal 2 4 2 3 3 2 3 3" xfId="5507" xr:uid="{00000000-0005-0000-0000-0000F10E0000}"/>
    <cellStyle name="Normal 2 4 2 3 3 2 3 3 2" xfId="14833" xr:uid="{8C04268F-6806-418E-8AD6-8D66B8390BDC}"/>
    <cellStyle name="Normal 2 4 2 3 3 2 3 4" xfId="10616" xr:uid="{444B440F-F449-4FF3-AE21-BBDEC89FE39E}"/>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91" xr:uid="{A70B705F-3F00-4E9E-8DFB-BE696CDA231B}"/>
    <cellStyle name="Normal 2 4 2 3 3 2 4 2 3" xfId="13174" xr:uid="{839C97EF-381F-4590-BF52-AE34D930FB10}"/>
    <cellStyle name="Normal 2 4 2 3 3 2 4 3" xfId="5920" xr:uid="{00000000-0005-0000-0000-0000F50E0000}"/>
    <cellStyle name="Normal 2 4 2 3 3 2 4 3 2" xfId="15246" xr:uid="{BCFBF6F1-A914-426C-95A5-338D8A3EB35A}"/>
    <cellStyle name="Normal 2 4 2 3 3 2 4 4" xfId="11029" xr:uid="{4C9C9906-E3D9-4DEC-8B06-8E3645FB510C}"/>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804" xr:uid="{05B093E4-1CC6-4720-8E3D-22F1329F0DDE}"/>
    <cellStyle name="Normal 2 4 2 3 3 2 5 2 3" xfId="13587" xr:uid="{2D9E1A0C-C02A-48AA-BC25-238E2A1D695D}"/>
    <cellStyle name="Normal 2 4 2 3 3 2 5 3" xfId="6333" xr:uid="{00000000-0005-0000-0000-0000F90E0000}"/>
    <cellStyle name="Normal 2 4 2 3 3 2 5 3 2" xfId="15659" xr:uid="{D5C42BD8-4EC7-428B-8838-F37BC0D64399}"/>
    <cellStyle name="Normal 2 4 2 3 3 2 5 4" xfId="11442" xr:uid="{C082E1EA-2849-40D4-85CE-54F7963B81FF}"/>
    <cellStyle name="Normal 2 4 2 3 3 2 6" xfId="2463" xr:uid="{00000000-0005-0000-0000-0000FA0E0000}"/>
    <cellStyle name="Normal 2 4 2 3 3 2 6 2" xfId="6746" xr:uid="{00000000-0005-0000-0000-0000FB0E0000}"/>
    <cellStyle name="Normal 2 4 2 3 3 2 6 2 2" xfId="16072" xr:uid="{A5F10CDA-5E81-43A3-B527-5F7AA0893BB4}"/>
    <cellStyle name="Normal 2 4 2 3 3 2 6 3" xfId="11855" xr:uid="{82A893E3-0257-4F3A-86B7-FADC9426D445}"/>
    <cellStyle name="Normal 2 4 2 3 3 2 7" xfId="4680" xr:uid="{00000000-0005-0000-0000-0000FC0E0000}"/>
    <cellStyle name="Normal 2 4 2 3 3 2 7 2" xfId="14006" xr:uid="{E2D308BD-E2DE-4283-A4A1-C02FAAD751DC}"/>
    <cellStyle name="Normal 2 4 2 3 3 2 8" xfId="9098" xr:uid="{15335B31-FFDD-479D-88EC-FAB83DC4E6EC}"/>
    <cellStyle name="Normal 2 4 2 3 3 2 8 2" xfId="18422" xr:uid="{DBCB6C18-DF13-4FD3-821C-219806D62FAC}"/>
    <cellStyle name="Normal 2 4 2 3 3 2 9" xfId="9789" xr:uid="{997BD765-69CC-401D-8BE9-1C5AA106AC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64" xr:uid="{F6455FD9-1746-4E66-9FC8-3F718C463036}"/>
    <cellStyle name="Normal 2 4 2 3 3 3 2 3" xfId="12347" xr:uid="{C5FAB4DD-87BF-44E2-A421-90E3B17F69E2}"/>
    <cellStyle name="Normal 2 4 2 3 3 3 3" xfId="5093" xr:uid="{00000000-0005-0000-0000-0000000F0000}"/>
    <cellStyle name="Normal 2 4 2 3 3 3 3 2" xfId="14419" xr:uid="{DC58433D-5144-471B-996D-4762A224813C}"/>
    <cellStyle name="Normal 2 4 2 3 3 3 4" xfId="9316" xr:uid="{C8C83D09-5A3A-4C90-8A04-9D7CD8C85B11}"/>
    <cellStyle name="Normal 2 4 2 3 3 3 4 2" xfId="18631" xr:uid="{051ADD05-F830-47A9-93EC-DC5DB92E6BD3}"/>
    <cellStyle name="Normal 2 4 2 3 3 3 5" xfId="10202" xr:uid="{65C8DE95-FEBE-417F-9468-2CA7AB7DE735}"/>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77" xr:uid="{002D6545-CEDA-4BBA-8131-120E9641FDCA}"/>
    <cellStyle name="Normal 2 4 2 3 3 4 2 3" xfId="12760" xr:uid="{339A6280-B142-4199-9DDF-7247FE7AD4FC}"/>
    <cellStyle name="Normal 2 4 2 3 3 4 3" xfId="5506" xr:uid="{00000000-0005-0000-0000-0000040F0000}"/>
    <cellStyle name="Normal 2 4 2 3 3 4 3 2" xfId="14832" xr:uid="{10B7AA03-54AE-47DA-9EF7-FB6EB4FA135E}"/>
    <cellStyle name="Normal 2 4 2 3 3 4 4" xfId="10615" xr:uid="{0E919A19-0481-4771-A3B1-74575B5E670A}"/>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90" xr:uid="{33267C58-680E-41D7-9B42-47DACB9AEC13}"/>
    <cellStyle name="Normal 2 4 2 3 3 5 2 3" xfId="13173" xr:uid="{74B5F047-BBE5-4512-B78E-7CD9F871F90A}"/>
    <cellStyle name="Normal 2 4 2 3 3 5 3" xfId="5919" xr:uid="{00000000-0005-0000-0000-0000080F0000}"/>
    <cellStyle name="Normal 2 4 2 3 3 5 3 2" xfId="15245" xr:uid="{CB83C43D-5E55-4DFC-8CD3-735617ED7A6B}"/>
    <cellStyle name="Normal 2 4 2 3 3 5 4" xfId="11028" xr:uid="{B4B83C87-29D4-4A76-BD2F-55D36C103FE7}"/>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803" xr:uid="{E829AB88-4ECE-4E9F-BD3C-AB8A024CEF18}"/>
    <cellStyle name="Normal 2 4 2 3 3 6 2 3" xfId="13586" xr:uid="{4E8C709F-EE1B-4780-8F7C-D9AB39B93071}"/>
    <cellStyle name="Normal 2 4 2 3 3 6 3" xfId="6332" xr:uid="{00000000-0005-0000-0000-00000C0F0000}"/>
    <cellStyle name="Normal 2 4 2 3 3 6 3 2" xfId="15658" xr:uid="{6E96677F-53D5-4ABC-B933-96E25F98847D}"/>
    <cellStyle name="Normal 2 4 2 3 3 6 4" xfId="11441" xr:uid="{17CC2FDC-5192-4A34-8A1E-DE7587E53774}"/>
    <cellStyle name="Normal 2 4 2 3 3 7" xfId="2462" xr:uid="{00000000-0005-0000-0000-00000D0F0000}"/>
    <cellStyle name="Normal 2 4 2 3 3 7 2" xfId="6745" xr:uid="{00000000-0005-0000-0000-00000E0F0000}"/>
    <cellStyle name="Normal 2 4 2 3 3 7 2 2" xfId="16071" xr:uid="{4715BA1B-DFDF-4092-BD8F-6DB6EBB94FB5}"/>
    <cellStyle name="Normal 2 4 2 3 3 7 3" xfId="11854" xr:uid="{C296BE3E-F0DD-430B-AF60-27AC8BDFC1D8}"/>
    <cellStyle name="Normal 2 4 2 3 3 8" xfId="4679" xr:uid="{00000000-0005-0000-0000-00000F0F0000}"/>
    <cellStyle name="Normal 2 4 2 3 3 8 2" xfId="14005" xr:uid="{569DBFD7-344F-4E55-AD6B-009E2489BDF8}"/>
    <cellStyle name="Normal 2 4 2 3 3 9" xfId="8891" xr:uid="{D2DF60A1-A34B-4A3F-B29E-E581EFBA8360}"/>
    <cellStyle name="Normal 2 4 2 3 3 9 2" xfId="18215" xr:uid="{F663FD18-080F-42DE-BDDE-44198187F9BC}"/>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66" xr:uid="{C878F234-DB4E-4D30-B89D-F72B2427A68B}"/>
    <cellStyle name="Normal 2 4 2 3 4 2 2 3" xfId="12349" xr:uid="{21CC9DA4-107F-43FD-8ABE-A561A0161FF3}"/>
    <cellStyle name="Normal 2 4 2 3 4 2 3" xfId="5095" xr:uid="{00000000-0005-0000-0000-0000140F0000}"/>
    <cellStyle name="Normal 2 4 2 3 4 2 3 2" xfId="14421" xr:uid="{FF86BA49-8CFA-4383-AFD1-98EA09C03B2B}"/>
    <cellStyle name="Normal 2 4 2 3 4 2 4" xfId="9420" xr:uid="{49E252B3-99BC-416A-A0CB-FE2641ECFDE3}"/>
    <cellStyle name="Normal 2 4 2 3 4 2 4 2" xfId="18735" xr:uid="{6C8B7DA1-5DBF-4245-A78D-7A790437C9E8}"/>
    <cellStyle name="Normal 2 4 2 3 4 2 5" xfId="10204" xr:uid="{CF7B6DFA-0FAC-4C9F-8DBC-5E3570360EBC}"/>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79" xr:uid="{F93E1EE4-1615-4D18-A8AC-C40F80999C79}"/>
    <cellStyle name="Normal 2 4 2 3 4 3 2 3" xfId="12762" xr:uid="{E9379402-E654-4B06-A940-56ADDEFB4D52}"/>
    <cellStyle name="Normal 2 4 2 3 4 3 3" xfId="5508" xr:uid="{00000000-0005-0000-0000-0000180F0000}"/>
    <cellStyle name="Normal 2 4 2 3 4 3 3 2" xfId="14834" xr:uid="{44EC579F-4745-4F46-8B0A-6CA204978364}"/>
    <cellStyle name="Normal 2 4 2 3 4 3 4" xfId="10617" xr:uid="{8CA83EBF-A082-406F-88CF-8F169F03CFB9}"/>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92" xr:uid="{EC6EF21A-993C-4130-B996-44BC5E63329F}"/>
    <cellStyle name="Normal 2 4 2 3 4 4 2 3" xfId="13175" xr:uid="{401DC2FE-6E52-44A4-A7C9-8A834F5CFA9C}"/>
    <cellStyle name="Normal 2 4 2 3 4 4 3" xfId="5921" xr:uid="{00000000-0005-0000-0000-00001C0F0000}"/>
    <cellStyle name="Normal 2 4 2 3 4 4 3 2" xfId="15247" xr:uid="{3E12505A-5865-4C3E-853F-24491DCDB3A8}"/>
    <cellStyle name="Normal 2 4 2 3 4 4 4" xfId="11030" xr:uid="{C0BF0CC9-E6B2-4BDF-B27A-9CC565AD82BF}"/>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805" xr:uid="{C5DFD618-D6C6-4103-8838-B6711E1F77B5}"/>
    <cellStyle name="Normal 2 4 2 3 4 5 2 3" xfId="13588" xr:uid="{17AAD2C7-A4F9-462A-B014-4548942E8F4C}"/>
    <cellStyle name="Normal 2 4 2 3 4 5 3" xfId="6334" xr:uid="{00000000-0005-0000-0000-0000200F0000}"/>
    <cellStyle name="Normal 2 4 2 3 4 5 3 2" xfId="15660" xr:uid="{D20CABDB-96B4-4213-891E-08C9A462818A}"/>
    <cellStyle name="Normal 2 4 2 3 4 5 4" xfId="11443" xr:uid="{1CB0E1D7-93D5-47D8-9AE5-F1CF202A297E}"/>
    <cellStyle name="Normal 2 4 2 3 4 6" xfId="2464" xr:uid="{00000000-0005-0000-0000-0000210F0000}"/>
    <cellStyle name="Normal 2 4 2 3 4 6 2" xfId="6747" xr:uid="{00000000-0005-0000-0000-0000220F0000}"/>
    <cellStyle name="Normal 2 4 2 3 4 6 2 2" xfId="16073" xr:uid="{5BF60F36-D926-474E-9412-F8640685D126}"/>
    <cellStyle name="Normal 2 4 2 3 4 6 3" xfId="11856" xr:uid="{1F0F559E-8994-4E27-B78B-45DF18B3BF1D}"/>
    <cellStyle name="Normal 2 4 2 3 4 7" xfId="4681" xr:uid="{00000000-0005-0000-0000-0000230F0000}"/>
    <cellStyle name="Normal 2 4 2 3 4 7 2" xfId="14007" xr:uid="{936E4FC2-E140-4E97-A918-E21C883B4D97}"/>
    <cellStyle name="Normal 2 4 2 3 4 8" xfId="8995" xr:uid="{EEE25A27-4C18-4948-8341-FF27707A7A86}"/>
    <cellStyle name="Normal 2 4 2 3 4 8 2" xfId="18319" xr:uid="{84181315-E24A-4C86-8A9D-36DC5E610770}"/>
    <cellStyle name="Normal 2 4 2 3 4 9" xfId="9790" xr:uid="{54CB125C-DC67-4F4D-8578-0459B8243D8F}"/>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59" xr:uid="{7038705C-7D83-443B-B4F8-2EC42CE7E820}"/>
    <cellStyle name="Normal 2 4 2 3 5 2 3" xfId="12342" xr:uid="{95D4B818-5D87-45CB-A0D4-AD1FE8B6C805}"/>
    <cellStyle name="Normal 2 4 2 3 5 3" xfId="5088" xr:uid="{00000000-0005-0000-0000-0000270F0000}"/>
    <cellStyle name="Normal 2 4 2 3 5 3 2" xfId="14414" xr:uid="{C76FBAA7-97EF-453E-8899-53D0D4F42739}"/>
    <cellStyle name="Normal 2 4 2 3 5 4" xfId="9212" xr:uid="{39F1BF9F-C79C-4226-B2D8-665EAA6F3686}"/>
    <cellStyle name="Normal 2 4 2 3 5 4 2" xfId="18528" xr:uid="{E26A70C2-302E-463D-BFAA-4860B9F4C23B}"/>
    <cellStyle name="Normal 2 4 2 3 5 5" xfId="10197" xr:uid="{B672AEF1-BBC2-41AD-B774-B7FC7F401706}"/>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72" xr:uid="{70ABA380-2B87-4A2F-AB92-484B502161C1}"/>
    <cellStyle name="Normal 2 4 2 3 6 2 3" xfId="12755" xr:uid="{2A8210BA-9FCB-4576-9C90-2CD2C72D164C}"/>
    <cellStyle name="Normal 2 4 2 3 6 3" xfId="5501" xr:uid="{00000000-0005-0000-0000-00002B0F0000}"/>
    <cellStyle name="Normal 2 4 2 3 6 3 2" xfId="14827" xr:uid="{06CCF35B-AD49-4FA2-9369-5F5C12607BFA}"/>
    <cellStyle name="Normal 2 4 2 3 6 4" xfId="10610" xr:uid="{45A5E954-84DA-4217-8103-9C78CE75A5B0}"/>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85" xr:uid="{73F947D8-8892-47E5-A643-218B2850865D}"/>
    <cellStyle name="Normal 2 4 2 3 7 2 3" xfId="13168" xr:uid="{062FEC90-9A2C-461B-8A93-DB7DCA08DC9F}"/>
    <cellStyle name="Normal 2 4 2 3 7 3" xfId="5914" xr:uid="{00000000-0005-0000-0000-00002F0F0000}"/>
    <cellStyle name="Normal 2 4 2 3 7 3 2" xfId="15240" xr:uid="{69214869-081B-4632-B50B-9BADADD27622}"/>
    <cellStyle name="Normal 2 4 2 3 7 4" xfId="11023" xr:uid="{E345753C-1CA1-409D-95C9-E12D7830DC9D}"/>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98" xr:uid="{5056A6B2-1922-496A-8404-4B38945497A7}"/>
    <cellStyle name="Normal 2 4 2 3 8 2 3" xfId="13581" xr:uid="{AF39CB31-8302-451F-97B1-0A6CE517CB6E}"/>
    <cellStyle name="Normal 2 4 2 3 8 3" xfId="6327" xr:uid="{00000000-0005-0000-0000-0000330F0000}"/>
    <cellStyle name="Normal 2 4 2 3 8 3 2" xfId="15653" xr:uid="{174F547E-60FE-49DC-B04A-9740EDE5DA5B}"/>
    <cellStyle name="Normal 2 4 2 3 8 4" xfId="11436" xr:uid="{37C27612-4E99-48A6-AA27-531E89579967}"/>
    <cellStyle name="Normal 2 4 2 3 9" xfId="2457" xr:uid="{00000000-0005-0000-0000-0000340F0000}"/>
    <cellStyle name="Normal 2 4 2 3 9 2" xfId="6740" xr:uid="{00000000-0005-0000-0000-0000350F0000}"/>
    <cellStyle name="Normal 2 4 2 3 9 2 2" xfId="16066" xr:uid="{61972818-B048-4E42-8F6E-FE5D0B885126}"/>
    <cellStyle name="Normal 2 4 2 3 9 3" xfId="11849" xr:uid="{D9F05F3D-560D-4F13-9D5F-14B184233FA6}"/>
    <cellStyle name="Normal 2 4 2 4" xfId="289" xr:uid="{00000000-0005-0000-0000-0000360F0000}"/>
    <cellStyle name="Normal 2 4 2 4 10" xfId="8812" xr:uid="{C2E08BA7-2068-4F74-AFE2-E0AED0B82FE2}"/>
    <cellStyle name="Normal 2 4 2 4 10 2" xfId="18136" xr:uid="{8BD76A1E-3324-4ECE-A9C4-F9614991B463}"/>
    <cellStyle name="Normal 2 4 2 4 11" xfId="9791" xr:uid="{261A46C2-78DE-4DE0-AD52-6C8B5545B030}"/>
    <cellStyle name="Normal 2 4 2 4 2" xfId="290" xr:uid="{00000000-0005-0000-0000-0000370F0000}"/>
    <cellStyle name="Normal 2 4 2 4 2 10" xfId="9792" xr:uid="{048256E9-14B5-4107-9FFC-7C67044EAA56}"/>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69" xr:uid="{CDA61D3E-439A-49AD-9D0D-B2D325C5D392}"/>
    <cellStyle name="Normal 2 4 2 4 2 2 2 2 3" xfId="12352" xr:uid="{A39FA6A8-9C90-4F08-BB02-60BBFC9C9F7A}"/>
    <cellStyle name="Normal 2 4 2 4 2 2 2 3" xfId="5098" xr:uid="{00000000-0005-0000-0000-00003C0F0000}"/>
    <cellStyle name="Normal 2 4 2 4 2 2 2 3 2" xfId="14424" xr:uid="{64B79D69-4C86-462F-BAD6-5EF0CEF129EE}"/>
    <cellStyle name="Normal 2 4 2 4 2 2 2 4" xfId="9547" xr:uid="{F8909421-8B16-4168-8B85-A5523C430C3C}"/>
    <cellStyle name="Normal 2 4 2 4 2 2 2 4 2" xfId="18862" xr:uid="{8A1B4376-AA8A-4D35-ACF0-DFBCC8BFAB74}"/>
    <cellStyle name="Normal 2 4 2 4 2 2 2 5" xfId="10207" xr:uid="{97150EE3-23E5-424F-85CB-55864174842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82" xr:uid="{AEAE7400-6F23-47DC-88A9-ADA851AC9E40}"/>
    <cellStyle name="Normal 2 4 2 4 2 2 3 2 3" xfId="12765" xr:uid="{0684DF13-C33C-4C76-B1D6-BA702A270C97}"/>
    <cellStyle name="Normal 2 4 2 4 2 2 3 3" xfId="5511" xr:uid="{00000000-0005-0000-0000-0000400F0000}"/>
    <cellStyle name="Normal 2 4 2 4 2 2 3 3 2" xfId="14837" xr:uid="{865FB856-A307-4726-ABB5-AAE9F2D579E1}"/>
    <cellStyle name="Normal 2 4 2 4 2 2 3 4" xfId="10620" xr:uid="{D1568339-A829-4862-8913-57C91D66EED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95" xr:uid="{429147B7-C93C-4F57-B9A6-1F3D3F5CAC9F}"/>
    <cellStyle name="Normal 2 4 2 4 2 2 4 2 3" xfId="13178" xr:uid="{C21BA17A-B254-4C9A-BA45-3683899AD093}"/>
    <cellStyle name="Normal 2 4 2 4 2 2 4 3" xfId="5924" xr:uid="{00000000-0005-0000-0000-0000440F0000}"/>
    <cellStyle name="Normal 2 4 2 4 2 2 4 3 2" xfId="15250" xr:uid="{7AE5DB63-106D-4264-8737-6FE4D5A62A2D}"/>
    <cellStyle name="Normal 2 4 2 4 2 2 4 4" xfId="11033" xr:uid="{7F588BE4-CB3A-45ED-B21E-816B8B65197A}"/>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808" xr:uid="{F499B91B-7C6B-40AC-BCBF-7435F7635E40}"/>
    <cellStyle name="Normal 2 4 2 4 2 2 5 2 3" xfId="13591" xr:uid="{3A1577B5-116D-4424-9941-3A2ACDE786F2}"/>
    <cellStyle name="Normal 2 4 2 4 2 2 5 3" xfId="6337" xr:uid="{00000000-0005-0000-0000-0000480F0000}"/>
    <cellStyle name="Normal 2 4 2 4 2 2 5 3 2" xfId="15663" xr:uid="{664F78E9-B5C1-4B2A-890B-70A0DEFA3775}"/>
    <cellStyle name="Normal 2 4 2 4 2 2 5 4" xfId="11446" xr:uid="{8AB504D5-7FE8-4CAD-AA40-32511A99A2B6}"/>
    <cellStyle name="Normal 2 4 2 4 2 2 6" xfId="2467" xr:uid="{00000000-0005-0000-0000-0000490F0000}"/>
    <cellStyle name="Normal 2 4 2 4 2 2 6 2" xfId="6750" xr:uid="{00000000-0005-0000-0000-00004A0F0000}"/>
    <cellStyle name="Normal 2 4 2 4 2 2 6 2 2" xfId="16076" xr:uid="{990BE125-61D8-4204-8AAB-F95A1A658434}"/>
    <cellStyle name="Normal 2 4 2 4 2 2 6 3" xfId="11859" xr:uid="{1B580C41-9A0D-41E8-8697-856AD920E932}"/>
    <cellStyle name="Normal 2 4 2 4 2 2 7" xfId="4684" xr:uid="{00000000-0005-0000-0000-00004B0F0000}"/>
    <cellStyle name="Normal 2 4 2 4 2 2 7 2" xfId="14010" xr:uid="{65F712B0-31CE-49FE-8617-FEF0769459B6}"/>
    <cellStyle name="Normal 2 4 2 4 2 2 8" xfId="9122" xr:uid="{861CB008-611F-4F3F-9D09-5BCA5A4CB255}"/>
    <cellStyle name="Normal 2 4 2 4 2 2 8 2" xfId="18446" xr:uid="{952AB76C-0684-47E6-9914-FDC2EA875951}"/>
    <cellStyle name="Normal 2 4 2 4 2 2 9" xfId="9793" xr:uid="{490859C9-2386-4A1E-96DF-0459DAE58E8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68" xr:uid="{9C063052-9C0D-44AD-9A6B-164330239023}"/>
    <cellStyle name="Normal 2 4 2 4 2 3 2 3" xfId="12351" xr:uid="{94528BEE-262C-44CD-A1C2-0B9A474BC71F}"/>
    <cellStyle name="Normal 2 4 2 4 2 3 3" xfId="5097" xr:uid="{00000000-0005-0000-0000-00004F0F0000}"/>
    <cellStyle name="Normal 2 4 2 4 2 3 3 2" xfId="14423" xr:uid="{3CCF77F6-2C5B-48E1-8FE1-1F219FD4C108}"/>
    <cellStyle name="Normal 2 4 2 4 2 3 4" xfId="9340" xr:uid="{2D1F2F91-F6E8-42AC-98D0-B8667E0ECE37}"/>
    <cellStyle name="Normal 2 4 2 4 2 3 4 2" xfId="18655" xr:uid="{B03BEE3B-046D-40F4-AA3C-157A6B1FBE05}"/>
    <cellStyle name="Normal 2 4 2 4 2 3 5" xfId="10206" xr:uid="{4472C049-BD6E-4A88-9557-2A2143D2192E}"/>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81" xr:uid="{05A0B102-E539-4FE6-9EE7-097EC08B0E62}"/>
    <cellStyle name="Normal 2 4 2 4 2 4 2 3" xfId="12764" xr:uid="{E9E6B7AD-65C8-43B7-9B23-E754887A2E49}"/>
    <cellStyle name="Normal 2 4 2 4 2 4 3" xfId="5510" xr:uid="{00000000-0005-0000-0000-0000530F0000}"/>
    <cellStyle name="Normal 2 4 2 4 2 4 3 2" xfId="14836" xr:uid="{DE1F057D-CC4F-4FA6-B572-7B27D3B8084A}"/>
    <cellStyle name="Normal 2 4 2 4 2 4 4" xfId="10619" xr:uid="{A636A2D5-2C16-48B5-ABCD-24364DA77121}"/>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94" xr:uid="{2E0415D4-F24C-410E-9A2C-2034D2F1D07C}"/>
    <cellStyle name="Normal 2 4 2 4 2 5 2 3" xfId="13177" xr:uid="{E90AEB08-48B0-452E-AB19-49BF9EB74613}"/>
    <cellStyle name="Normal 2 4 2 4 2 5 3" xfId="5923" xr:uid="{00000000-0005-0000-0000-0000570F0000}"/>
    <cellStyle name="Normal 2 4 2 4 2 5 3 2" xfId="15249" xr:uid="{5C1303DF-6F52-4919-BA79-F80037336869}"/>
    <cellStyle name="Normal 2 4 2 4 2 5 4" xfId="11032" xr:uid="{9474A2BD-9D8E-41FF-B4E0-D4580F49FBC3}"/>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807" xr:uid="{A4386FE5-93CA-4279-ACEC-2E5A1275ACE0}"/>
    <cellStyle name="Normal 2 4 2 4 2 6 2 3" xfId="13590" xr:uid="{3F2D7EEE-EBAF-4FD6-820C-F973021268FC}"/>
    <cellStyle name="Normal 2 4 2 4 2 6 3" xfId="6336" xr:uid="{00000000-0005-0000-0000-00005B0F0000}"/>
    <cellStyle name="Normal 2 4 2 4 2 6 3 2" xfId="15662" xr:uid="{E6CA86C7-4133-4979-8B55-3987C3C349A3}"/>
    <cellStyle name="Normal 2 4 2 4 2 6 4" xfId="11445" xr:uid="{FFFABBFE-B3FC-4C05-8CE8-EC40881D0B38}"/>
    <cellStyle name="Normal 2 4 2 4 2 7" xfId="2466" xr:uid="{00000000-0005-0000-0000-00005C0F0000}"/>
    <cellStyle name="Normal 2 4 2 4 2 7 2" xfId="6749" xr:uid="{00000000-0005-0000-0000-00005D0F0000}"/>
    <cellStyle name="Normal 2 4 2 4 2 7 2 2" xfId="16075" xr:uid="{859B5A09-503C-41DC-A383-B224632A7200}"/>
    <cellStyle name="Normal 2 4 2 4 2 7 3" xfId="11858" xr:uid="{0B5D10F3-8FE7-4E59-9F64-65069FF99715}"/>
    <cellStyle name="Normal 2 4 2 4 2 8" xfId="4683" xr:uid="{00000000-0005-0000-0000-00005E0F0000}"/>
    <cellStyle name="Normal 2 4 2 4 2 8 2" xfId="14009" xr:uid="{34A6373F-8A83-4947-A5E7-0AA8BD303E47}"/>
    <cellStyle name="Normal 2 4 2 4 2 9" xfId="8915" xr:uid="{2BEB15AA-2AFA-47D4-AC0E-63DAF2CFE119}"/>
    <cellStyle name="Normal 2 4 2 4 2 9 2" xfId="18239" xr:uid="{4898E118-01C3-4B16-AC68-11D46A4446A7}"/>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70" xr:uid="{7FB19BBE-3834-4AD6-829D-5627566A46BE}"/>
    <cellStyle name="Normal 2 4 2 4 3 2 2 3" xfId="12353" xr:uid="{B8F3D6B7-A37D-4502-8593-96525031CC5D}"/>
    <cellStyle name="Normal 2 4 2 4 3 2 3" xfId="5099" xr:uid="{00000000-0005-0000-0000-0000630F0000}"/>
    <cellStyle name="Normal 2 4 2 4 3 2 3 2" xfId="14425" xr:uid="{76F6C058-71CA-4B75-ADC5-ACE952E7465E}"/>
    <cellStyle name="Normal 2 4 2 4 3 2 4" xfId="9444" xr:uid="{807939DF-E7C0-4015-A3D8-AE9E56020172}"/>
    <cellStyle name="Normal 2 4 2 4 3 2 4 2" xfId="18759" xr:uid="{E9783ED7-CBC2-43FB-A3E9-ECDEA79E7683}"/>
    <cellStyle name="Normal 2 4 2 4 3 2 5" xfId="10208" xr:uid="{8BB54571-29C0-486D-8261-872E29FB1E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83" xr:uid="{E3C3F128-8974-49BB-98A3-51E183FE443C}"/>
    <cellStyle name="Normal 2 4 2 4 3 3 2 3" xfId="12766" xr:uid="{1B46B635-1542-448D-BEA1-F115FD7B1ABF}"/>
    <cellStyle name="Normal 2 4 2 4 3 3 3" xfId="5512" xr:uid="{00000000-0005-0000-0000-0000670F0000}"/>
    <cellStyle name="Normal 2 4 2 4 3 3 3 2" xfId="14838" xr:uid="{49D3C292-0D93-43CE-BCE6-0036AE43D46A}"/>
    <cellStyle name="Normal 2 4 2 4 3 3 4" xfId="10621" xr:uid="{DC665CEF-18DF-4C64-8C6B-9ABCC8F1C693}"/>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96" xr:uid="{2AB4C594-9432-4C15-AECE-8A5500C579EC}"/>
    <cellStyle name="Normal 2 4 2 4 3 4 2 3" xfId="13179" xr:uid="{53D706A4-D9B1-48E7-B5C7-B8BA411EC23F}"/>
    <cellStyle name="Normal 2 4 2 4 3 4 3" xfId="5925" xr:uid="{00000000-0005-0000-0000-00006B0F0000}"/>
    <cellStyle name="Normal 2 4 2 4 3 4 3 2" xfId="15251" xr:uid="{D618F01F-F0FB-46E0-8F80-CA315C08F957}"/>
    <cellStyle name="Normal 2 4 2 4 3 4 4" xfId="11034" xr:uid="{7D846A6A-1AF7-488C-B219-0CC75691861F}"/>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809" xr:uid="{BC06F133-2CAA-4F78-84DB-4C7BF678E3F5}"/>
    <cellStyle name="Normal 2 4 2 4 3 5 2 3" xfId="13592" xr:uid="{8FE7015C-A986-4D7C-A705-49513D09BCF1}"/>
    <cellStyle name="Normal 2 4 2 4 3 5 3" xfId="6338" xr:uid="{00000000-0005-0000-0000-00006F0F0000}"/>
    <cellStyle name="Normal 2 4 2 4 3 5 3 2" xfId="15664" xr:uid="{4876A85D-C1EC-428C-97B7-02EB5F536473}"/>
    <cellStyle name="Normal 2 4 2 4 3 5 4" xfId="11447" xr:uid="{CF486984-BB14-4590-89F9-B7CBC1C3CA36}"/>
    <cellStyle name="Normal 2 4 2 4 3 6" xfId="2468" xr:uid="{00000000-0005-0000-0000-0000700F0000}"/>
    <cellStyle name="Normal 2 4 2 4 3 6 2" xfId="6751" xr:uid="{00000000-0005-0000-0000-0000710F0000}"/>
    <cellStyle name="Normal 2 4 2 4 3 6 2 2" xfId="16077" xr:uid="{AFA398F2-BECD-4A6E-9E6E-D88BC69029C7}"/>
    <cellStyle name="Normal 2 4 2 4 3 6 3" xfId="11860" xr:uid="{26B52A2E-13E7-43A0-BBEA-5CA85AA620D1}"/>
    <cellStyle name="Normal 2 4 2 4 3 7" xfId="4685" xr:uid="{00000000-0005-0000-0000-0000720F0000}"/>
    <cellStyle name="Normal 2 4 2 4 3 7 2" xfId="14011" xr:uid="{BA22523C-6689-4870-B1F5-51E373FEA9F5}"/>
    <cellStyle name="Normal 2 4 2 4 3 8" xfId="9019" xr:uid="{1F22810F-FF7D-4FF4-861A-F2BA8F253428}"/>
    <cellStyle name="Normal 2 4 2 4 3 8 2" xfId="18343" xr:uid="{3CD0BB21-A582-47EB-8CDA-358749B992E0}"/>
    <cellStyle name="Normal 2 4 2 4 3 9" xfId="9794" xr:uid="{6859FB8B-2521-49BB-8AAC-C03578B3E8EF}"/>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67" xr:uid="{6E8DD495-4432-48C8-B006-48D5053D6CCE}"/>
    <cellStyle name="Normal 2 4 2 4 4 2 3" xfId="12350" xr:uid="{781D5961-87FB-4F47-88EC-ED5A8C4A4C3D}"/>
    <cellStyle name="Normal 2 4 2 4 4 3" xfId="5096" xr:uid="{00000000-0005-0000-0000-0000760F0000}"/>
    <cellStyle name="Normal 2 4 2 4 4 3 2" xfId="14422" xr:uid="{1F013E7E-E062-4F78-BC06-F86D37E8C44E}"/>
    <cellStyle name="Normal 2 4 2 4 4 4" xfId="9237" xr:uid="{FF4B133D-A40B-4895-9E3D-E727B18E66C8}"/>
    <cellStyle name="Normal 2 4 2 4 4 4 2" xfId="18552" xr:uid="{05CC6BD1-6950-41F3-A2C9-3B2D6DF767A3}"/>
    <cellStyle name="Normal 2 4 2 4 4 5" xfId="10205" xr:uid="{1F2FEDE7-B201-4659-8C4F-CFEE3A4F549E}"/>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80" xr:uid="{81A54D2A-1F45-4D00-B94F-9C79F6ECD2F5}"/>
    <cellStyle name="Normal 2 4 2 4 5 2 3" xfId="12763" xr:uid="{12066274-0606-4068-A98E-2C16DC429E31}"/>
    <cellStyle name="Normal 2 4 2 4 5 3" xfId="5509" xr:uid="{00000000-0005-0000-0000-00007A0F0000}"/>
    <cellStyle name="Normal 2 4 2 4 5 3 2" xfId="14835" xr:uid="{ABBB289E-F5EE-40BB-95EF-82D995968B44}"/>
    <cellStyle name="Normal 2 4 2 4 5 4" xfId="10618" xr:uid="{A8991F4C-E540-4DE4-AE9C-3BFDFE48244A}"/>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93" xr:uid="{43C94284-5015-4E73-A85A-F544BF888FBD}"/>
    <cellStyle name="Normal 2 4 2 4 6 2 3" xfId="13176" xr:uid="{B74E22EF-93B6-45BC-A50C-00E12B8CB4CD}"/>
    <cellStyle name="Normal 2 4 2 4 6 3" xfId="5922" xr:uid="{00000000-0005-0000-0000-00007E0F0000}"/>
    <cellStyle name="Normal 2 4 2 4 6 3 2" xfId="15248" xr:uid="{908564A3-4635-4AE5-BD4F-3116C18F4B82}"/>
    <cellStyle name="Normal 2 4 2 4 6 4" xfId="11031" xr:uid="{DCEC0284-454D-40F1-9232-684E807B881F}"/>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806" xr:uid="{0C096821-2BAB-41E4-8879-72124261CDD2}"/>
    <cellStyle name="Normal 2 4 2 4 7 2 3" xfId="13589" xr:uid="{EAF4BF6F-C823-4191-A72A-833668F9A4AB}"/>
    <cellStyle name="Normal 2 4 2 4 7 3" xfId="6335" xr:uid="{00000000-0005-0000-0000-0000820F0000}"/>
    <cellStyle name="Normal 2 4 2 4 7 3 2" xfId="15661" xr:uid="{418AD8A1-609A-4918-A341-DAC34A665A79}"/>
    <cellStyle name="Normal 2 4 2 4 7 4" xfId="11444" xr:uid="{3161B620-EB0B-4BB5-8568-DB8D2E6307C6}"/>
    <cellStyle name="Normal 2 4 2 4 8" xfId="2465" xr:uid="{00000000-0005-0000-0000-0000830F0000}"/>
    <cellStyle name="Normal 2 4 2 4 8 2" xfId="6748" xr:uid="{00000000-0005-0000-0000-0000840F0000}"/>
    <cellStyle name="Normal 2 4 2 4 8 2 2" xfId="16074" xr:uid="{213F1F8A-0974-4417-B21C-9E949EE7F1BC}"/>
    <cellStyle name="Normal 2 4 2 4 8 3" xfId="11857" xr:uid="{93DCBF16-E410-480D-B7EC-0416DE01C645}"/>
    <cellStyle name="Normal 2 4 2 4 9" xfId="4682" xr:uid="{00000000-0005-0000-0000-0000850F0000}"/>
    <cellStyle name="Normal 2 4 2 4 9 2" xfId="14008" xr:uid="{E58EEAFD-A463-4F1D-A2F2-95DBA1A31375}"/>
    <cellStyle name="Normal 2 4 2 5" xfId="293" xr:uid="{00000000-0005-0000-0000-0000860F0000}"/>
    <cellStyle name="Normal 2 4 2 5 10" xfId="9795" xr:uid="{27FB7DB8-3018-47E3-9311-7E4A56255E8D}"/>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72" xr:uid="{85DCB1ED-6B70-49EE-A468-F94C8DA04B1F}"/>
    <cellStyle name="Normal 2 4 2 5 2 2 2 3" xfId="12355" xr:uid="{98A8AFC6-751E-4A7D-8316-83BCB0EC409A}"/>
    <cellStyle name="Normal 2 4 2 5 2 2 3" xfId="5101" xr:uid="{00000000-0005-0000-0000-00008B0F0000}"/>
    <cellStyle name="Normal 2 4 2 5 2 2 3 2" xfId="14427" xr:uid="{0FB6180F-11C8-4FAD-8F60-218CF715CC9F}"/>
    <cellStyle name="Normal 2 4 2 5 2 2 4" xfId="9492" xr:uid="{07DC9204-2F52-408E-80EE-617A106DD9FD}"/>
    <cellStyle name="Normal 2 4 2 5 2 2 4 2" xfId="18807" xr:uid="{99D919BD-AC21-4DE5-9EBA-B671F6421DC7}"/>
    <cellStyle name="Normal 2 4 2 5 2 2 5" xfId="10210" xr:uid="{57F8BB21-E2E8-4335-8F1F-14FA86B17A2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85" xr:uid="{450DAF59-0D97-4B48-92B9-6D4913BD6F2B}"/>
    <cellStyle name="Normal 2 4 2 5 2 3 2 3" xfId="12768" xr:uid="{AF403893-53AE-4748-A746-6923A82F1C08}"/>
    <cellStyle name="Normal 2 4 2 5 2 3 3" xfId="5514" xr:uid="{00000000-0005-0000-0000-00008F0F0000}"/>
    <cellStyle name="Normal 2 4 2 5 2 3 3 2" xfId="14840" xr:uid="{38BA5518-064F-45D3-8571-C1B0FE1CFFCB}"/>
    <cellStyle name="Normal 2 4 2 5 2 3 4" xfId="10623" xr:uid="{23AE6FA5-1148-489B-9A7D-AC40F12E29BA}"/>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98" xr:uid="{13226DB0-9F89-4E1A-92D4-1CD8F96829FC}"/>
    <cellStyle name="Normal 2 4 2 5 2 4 2 3" xfId="13181" xr:uid="{A87D32F2-3575-4471-9881-0FAD5CFEFD69}"/>
    <cellStyle name="Normal 2 4 2 5 2 4 3" xfId="5927" xr:uid="{00000000-0005-0000-0000-0000930F0000}"/>
    <cellStyle name="Normal 2 4 2 5 2 4 3 2" xfId="15253" xr:uid="{A6FCBED9-99B5-46CA-B49F-B1E2407F5B7E}"/>
    <cellStyle name="Normal 2 4 2 5 2 4 4" xfId="11036" xr:uid="{0C2A94C9-5A8C-4820-AE2E-59C3AF4D0454}"/>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811" xr:uid="{27594B30-2B23-490D-9FD2-82BC6750A754}"/>
    <cellStyle name="Normal 2 4 2 5 2 5 2 3" xfId="13594" xr:uid="{64361462-DF99-49FC-B138-F312991963CB}"/>
    <cellStyle name="Normal 2 4 2 5 2 5 3" xfId="6340" xr:uid="{00000000-0005-0000-0000-0000970F0000}"/>
    <cellStyle name="Normal 2 4 2 5 2 5 3 2" xfId="15666" xr:uid="{C8F65F5B-2FD5-4860-B1D1-8FFDEF793187}"/>
    <cellStyle name="Normal 2 4 2 5 2 5 4" xfId="11449" xr:uid="{8E9816F2-F6CB-4523-9882-8F7C8D737E45}"/>
    <cellStyle name="Normal 2 4 2 5 2 6" xfId="2470" xr:uid="{00000000-0005-0000-0000-0000980F0000}"/>
    <cellStyle name="Normal 2 4 2 5 2 6 2" xfId="6753" xr:uid="{00000000-0005-0000-0000-0000990F0000}"/>
    <cellStyle name="Normal 2 4 2 5 2 6 2 2" xfId="16079" xr:uid="{7645FB0C-A5EA-490D-A13B-3FF1F4CEBEE1}"/>
    <cellStyle name="Normal 2 4 2 5 2 6 3" xfId="11862" xr:uid="{92D28775-7B14-45D9-840B-3B263B2C6845}"/>
    <cellStyle name="Normal 2 4 2 5 2 7" xfId="4687" xr:uid="{00000000-0005-0000-0000-00009A0F0000}"/>
    <cellStyle name="Normal 2 4 2 5 2 7 2" xfId="14013" xr:uid="{35632BE6-9671-48D3-B4CA-91A0F68BC436}"/>
    <cellStyle name="Normal 2 4 2 5 2 8" xfId="9067" xr:uid="{89D5CB5A-ADE0-44B8-BC1E-FDE984B579C9}"/>
    <cellStyle name="Normal 2 4 2 5 2 8 2" xfId="18391" xr:uid="{0334D57A-7931-4BAA-9D05-23B42F73FDF7}"/>
    <cellStyle name="Normal 2 4 2 5 2 9" xfId="9796" xr:uid="{097EA17F-FC84-44C3-BFC7-CDC9CF090587}"/>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71" xr:uid="{9180D8CD-323B-4FBB-8A48-BDE2BA81B045}"/>
    <cellStyle name="Normal 2 4 2 5 3 2 3" xfId="12354" xr:uid="{6EB95C46-3B04-4478-B813-1FD1FBF36BB9}"/>
    <cellStyle name="Normal 2 4 2 5 3 3" xfId="5100" xr:uid="{00000000-0005-0000-0000-00009E0F0000}"/>
    <cellStyle name="Normal 2 4 2 5 3 3 2" xfId="14426" xr:uid="{D53B87CC-CBB0-439D-8C20-BFD74E3F19F6}"/>
    <cellStyle name="Normal 2 4 2 5 3 4" xfId="9285" xr:uid="{5DA39FB9-904E-46D3-8E24-58BF2F19DA5B}"/>
    <cellStyle name="Normal 2 4 2 5 3 4 2" xfId="18600" xr:uid="{E21BC855-C9C6-4896-BA14-BF9482312B0F}"/>
    <cellStyle name="Normal 2 4 2 5 3 5" xfId="10209" xr:uid="{4E4FB6BF-A5D4-493A-BDC6-6ED589C19AAB}"/>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84" xr:uid="{F51B8551-5C8F-43F0-B0E0-1FC30B3B55B5}"/>
    <cellStyle name="Normal 2 4 2 5 4 2 3" xfId="12767" xr:uid="{F4BD4001-FC24-4932-A479-9CDF25AF6413}"/>
    <cellStyle name="Normal 2 4 2 5 4 3" xfId="5513" xr:uid="{00000000-0005-0000-0000-0000A20F0000}"/>
    <cellStyle name="Normal 2 4 2 5 4 3 2" xfId="14839" xr:uid="{9ABD1ADD-84C7-4DAF-808E-23C3D807D44A}"/>
    <cellStyle name="Normal 2 4 2 5 4 4" xfId="10622" xr:uid="{8C2DB5B4-C7DC-4CC6-B06C-457BFE6F082E}"/>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97" xr:uid="{2CA83CF8-D936-4915-A2ED-78DFD0926E85}"/>
    <cellStyle name="Normal 2 4 2 5 5 2 3" xfId="13180" xr:uid="{462B0298-B288-422D-A63A-67D7F50568DD}"/>
    <cellStyle name="Normal 2 4 2 5 5 3" xfId="5926" xr:uid="{00000000-0005-0000-0000-0000A60F0000}"/>
    <cellStyle name="Normal 2 4 2 5 5 3 2" xfId="15252" xr:uid="{A5197A59-0D6D-4EB5-B623-7550B4EFF987}"/>
    <cellStyle name="Normal 2 4 2 5 5 4" xfId="11035" xr:uid="{B9E291D9-4BA2-4FD4-9C1B-42376B6DC743}"/>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810" xr:uid="{60AD8E48-9E19-4A88-BAB0-799D0E009A98}"/>
    <cellStyle name="Normal 2 4 2 5 6 2 3" xfId="13593" xr:uid="{64152718-CC81-4D90-A475-3FA711802193}"/>
    <cellStyle name="Normal 2 4 2 5 6 3" xfId="6339" xr:uid="{00000000-0005-0000-0000-0000AA0F0000}"/>
    <cellStyle name="Normal 2 4 2 5 6 3 2" xfId="15665" xr:uid="{AFC5F5B9-2A02-4EF0-A489-E62B9AE13981}"/>
    <cellStyle name="Normal 2 4 2 5 6 4" xfId="11448" xr:uid="{8DCD9E40-40EB-4A61-B71E-FBF2109E4F0D}"/>
    <cellStyle name="Normal 2 4 2 5 7" xfId="2469" xr:uid="{00000000-0005-0000-0000-0000AB0F0000}"/>
    <cellStyle name="Normal 2 4 2 5 7 2" xfId="6752" xr:uid="{00000000-0005-0000-0000-0000AC0F0000}"/>
    <cellStyle name="Normal 2 4 2 5 7 2 2" xfId="16078" xr:uid="{F66DAE87-721A-4F19-9997-F94F090FF297}"/>
    <cellStyle name="Normal 2 4 2 5 7 3" xfId="11861" xr:uid="{75217EB4-BDC8-4A6B-900F-65C8770B3315}"/>
    <cellStyle name="Normal 2 4 2 5 8" xfId="4686" xr:uid="{00000000-0005-0000-0000-0000AD0F0000}"/>
    <cellStyle name="Normal 2 4 2 5 8 2" xfId="14012" xr:uid="{F0E461EE-98ED-461C-80E7-C3D4CA10D4B3}"/>
    <cellStyle name="Normal 2 4 2 5 9" xfId="8860" xr:uid="{5FAFEFC0-3249-464B-9F12-2B1DA137C588}"/>
    <cellStyle name="Normal 2 4 2 5 9 2" xfId="18184" xr:uid="{6DE138C7-0302-43C6-A1EB-B9F333BE21F9}"/>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73" xr:uid="{4E2C6A51-516C-4B0E-99E3-EF79F11EFF82}"/>
    <cellStyle name="Normal 2 4 2 6 2 2 3" xfId="12356" xr:uid="{84978487-3A26-492F-97D5-4035003323F3}"/>
    <cellStyle name="Normal 2 4 2 6 2 3" xfId="5102" xr:uid="{00000000-0005-0000-0000-0000B20F0000}"/>
    <cellStyle name="Normal 2 4 2 6 2 3 2" xfId="14428" xr:uid="{D5B6EB09-E65D-44C7-BF3C-18D69D7B34E1}"/>
    <cellStyle name="Normal 2 4 2 6 2 4" xfId="9401" xr:uid="{C89DD342-23DD-474B-84C5-F9DED42F169B}"/>
    <cellStyle name="Normal 2 4 2 6 2 4 2" xfId="18716" xr:uid="{5285172E-98F6-4AA5-A43D-B84C48F90CDA}"/>
    <cellStyle name="Normal 2 4 2 6 2 5" xfId="10211" xr:uid="{F844AD24-BC58-4F1F-AD85-425447B5C4C1}"/>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86" xr:uid="{3CF64050-30A9-4533-AD3A-0E3DDEC37B42}"/>
    <cellStyle name="Normal 2 4 2 6 3 2 3" xfId="12769" xr:uid="{20F6E1CA-DF7A-4F77-8ADB-7BFFDE0CE0D3}"/>
    <cellStyle name="Normal 2 4 2 6 3 3" xfId="5515" xr:uid="{00000000-0005-0000-0000-0000B60F0000}"/>
    <cellStyle name="Normal 2 4 2 6 3 3 2" xfId="14841" xr:uid="{C002B4CB-F503-4F16-8FD1-5F8022B996CB}"/>
    <cellStyle name="Normal 2 4 2 6 3 4" xfId="10624" xr:uid="{EDBE6003-3A83-4F15-86F7-AC080C482FE9}"/>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99" xr:uid="{37243708-F0DD-4C3D-B772-04C6622C397F}"/>
    <cellStyle name="Normal 2 4 2 6 4 2 3" xfId="13182" xr:uid="{C38EA088-8E9A-47F6-B3E2-0656812F8961}"/>
    <cellStyle name="Normal 2 4 2 6 4 3" xfId="5928" xr:uid="{00000000-0005-0000-0000-0000BA0F0000}"/>
    <cellStyle name="Normal 2 4 2 6 4 3 2" xfId="15254" xr:uid="{76BF18F4-CE9E-4006-8948-3F6906723FBA}"/>
    <cellStyle name="Normal 2 4 2 6 4 4" xfId="11037" xr:uid="{EEFAAA7C-9094-45BC-9C07-4F8874090225}"/>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812" xr:uid="{DCD63B4D-6BE0-4B3F-AB30-B2697DD05865}"/>
    <cellStyle name="Normal 2 4 2 6 5 2 3" xfId="13595" xr:uid="{71CD102C-0DB9-495D-AAFD-E49FF223FD92}"/>
    <cellStyle name="Normal 2 4 2 6 5 3" xfId="6341" xr:uid="{00000000-0005-0000-0000-0000BE0F0000}"/>
    <cellStyle name="Normal 2 4 2 6 5 3 2" xfId="15667" xr:uid="{77709FF6-4FB0-45FD-991F-026FD347027F}"/>
    <cellStyle name="Normal 2 4 2 6 5 4" xfId="11450" xr:uid="{F53F659D-BA79-4CC8-BC73-8F22CEB96D5B}"/>
    <cellStyle name="Normal 2 4 2 6 6" xfId="2471" xr:uid="{00000000-0005-0000-0000-0000BF0F0000}"/>
    <cellStyle name="Normal 2 4 2 6 6 2" xfId="6754" xr:uid="{00000000-0005-0000-0000-0000C00F0000}"/>
    <cellStyle name="Normal 2 4 2 6 6 2 2" xfId="16080" xr:uid="{B3C5D508-CFA1-4885-AB6F-A9B6FD1FC898}"/>
    <cellStyle name="Normal 2 4 2 6 6 3" xfId="11863" xr:uid="{6F660A33-764B-4639-85BB-A34693E204C5}"/>
    <cellStyle name="Normal 2 4 2 6 7" xfId="4688" xr:uid="{00000000-0005-0000-0000-0000C10F0000}"/>
    <cellStyle name="Normal 2 4 2 6 7 2" xfId="14014" xr:uid="{EE8D7026-6694-4F21-BA39-78180D20149F}"/>
    <cellStyle name="Normal 2 4 2 6 8" xfId="8976" xr:uid="{6DEAFF8C-68CB-4364-A161-479509F453AE}"/>
    <cellStyle name="Normal 2 4 2 6 8 2" xfId="18300" xr:uid="{D78F41FF-9962-4478-9DD5-9A3DFCDDE3C8}"/>
    <cellStyle name="Normal 2 4 2 6 9" xfId="9797" xr:uid="{72D48193-2F71-4424-ABB0-6BA12B5E7426}"/>
    <cellStyle name="Normal 2 4 2 7" xfId="771" xr:uid="{00000000-0005-0000-0000-0000C20F0000}"/>
    <cellStyle name="Normal 2 4 2 7 2" xfId="3010" xr:uid="{00000000-0005-0000-0000-0000C30F0000}"/>
    <cellStyle name="Normal 2 4 2 7 2 2" xfId="7232" xr:uid="{00000000-0005-0000-0000-0000C40F0000}"/>
    <cellStyle name="Normal 2 4 2 7 2 2 2" xfId="16558" xr:uid="{025AF454-32D3-49F7-AC84-02A7706D07B9}"/>
    <cellStyle name="Normal 2 4 2 7 2 3" xfId="12341" xr:uid="{3E16DE67-BE46-459F-97CE-6BC1256FD24F}"/>
    <cellStyle name="Normal 2 4 2 7 3" xfId="5087" xr:uid="{00000000-0005-0000-0000-0000C50F0000}"/>
    <cellStyle name="Normal 2 4 2 7 3 2" xfId="14413" xr:uid="{FC224EC8-C5D1-4ACB-AF9E-D2493D5DE696}"/>
    <cellStyle name="Normal 2 4 2 7 4" xfId="9179" xr:uid="{D1C44CED-398E-43B3-AFA3-1E7DC60C5D92}"/>
    <cellStyle name="Normal 2 4 2 7 4 2" xfId="18497" xr:uid="{F4EFF9DD-0327-41F0-95C0-38F82E2DE1D1}"/>
    <cellStyle name="Normal 2 4 2 7 5" xfId="10196" xr:uid="{61B1840F-E275-4CB5-BB77-589C3DFF75C3}"/>
    <cellStyle name="Normal 2 4 2 8" xfId="1193" xr:uid="{00000000-0005-0000-0000-0000C60F0000}"/>
    <cellStyle name="Normal 2 4 2 8 2" xfId="3423" xr:uid="{00000000-0005-0000-0000-0000C70F0000}"/>
    <cellStyle name="Normal 2 4 2 8 2 2" xfId="7645" xr:uid="{00000000-0005-0000-0000-0000C80F0000}"/>
    <cellStyle name="Normal 2 4 2 8 2 2 2" xfId="16971" xr:uid="{4E97CE40-D9ED-42D2-BFB9-FE711E4535B0}"/>
    <cellStyle name="Normal 2 4 2 8 2 3" xfId="12754" xr:uid="{0EB5D58C-120B-4FEC-AF35-A72DA97395FF}"/>
    <cellStyle name="Normal 2 4 2 8 3" xfId="5500" xr:uid="{00000000-0005-0000-0000-0000C90F0000}"/>
    <cellStyle name="Normal 2 4 2 8 3 2" xfId="14826" xr:uid="{00E3D72E-6B3C-4720-A6DA-89DA41312EC0}"/>
    <cellStyle name="Normal 2 4 2 8 4" xfId="10609" xr:uid="{0B2E9148-F2A4-4F9E-B686-379C3C6DA156}"/>
    <cellStyle name="Normal 2 4 2 9" xfId="1606" xr:uid="{00000000-0005-0000-0000-0000CA0F0000}"/>
    <cellStyle name="Normal 2 4 2 9 2" xfId="3836" xr:uid="{00000000-0005-0000-0000-0000CB0F0000}"/>
    <cellStyle name="Normal 2 4 2 9 2 2" xfId="8058" xr:uid="{00000000-0005-0000-0000-0000CC0F0000}"/>
    <cellStyle name="Normal 2 4 2 9 2 2 2" xfId="17384" xr:uid="{99B01727-859B-43D8-9481-E09F095E96AD}"/>
    <cellStyle name="Normal 2 4 2 9 2 3" xfId="13167" xr:uid="{1290088A-239B-4D7B-AC3B-C6BB27BF0B3C}"/>
    <cellStyle name="Normal 2 4 2 9 3" xfId="5913" xr:uid="{00000000-0005-0000-0000-0000CD0F0000}"/>
    <cellStyle name="Normal 2 4 2 9 3 2" xfId="15239" xr:uid="{D43FE43E-9F61-4268-85B6-836E0DD32D62}"/>
    <cellStyle name="Normal 2 4 2 9 4" xfId="11022" xr:uid="{739FEE91-F368-44EC-A486-B0F28784781F}"/>
    <cellStyle name="Normal 2 4 3" xfId="296" xr:uid="{00000000-0005-0000-0000-0000CE0F0000}"/>
    <cellStyle name="Normal 2 4 3 10" xfId="9798" xr:uid="{66734AC4-E3EA-4514-8A93-102B340B252F}"/>
    <cellStyle name="Normal 2 4 3 2" xfId="297" xr:uid="{00000000-0005-0000-0000-0000CF0F0000}"/>
    <cellStyle name="Normal 2 4 3 3" xfId="298" xr:uid="{00000000-0005-0000-0000-0000D00F0000}"/>
    <cellStyle name="Normal 2 4 3 3 10" xfId="8814" xr:uid="{F78EFD99-FCC5-4915-ACA3-DFC3FC0D45A5}"/>
    <cellStyle name="Normal 2 4 3 3 10 2" xfId="18138" xr:uid="{81E498B6-313F-4A90-BF31-122C61E5375C}"/>
    <cellStyle name="Normal 2 4 3 3 11" xfId="9799" xr:uid="{66AA4586-738E-42E7-8DB3-4820B3B9FA1A}"/>
    <cellStyle name="Normal 2 4 3 3 2" xfId="299" xr:uid="{00000000-0005-0000-0000-0000D10F0000}"/>
    <cellStyle name="Normal 2 4 3 3 2 10" xfId="9800" xr:uid="{FF1DF10A-CBF8-4E84-A1E3-452DA4111D23}"/>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77" xr:uid="{C8B7677D-43B6-423B-B0F2-2C0C88D0EE8D}"/>
    <cellStyle name="Normal 2 4 3 3 2 2 2 2 3" xfId="12360" xr:uid="{63DAFA7E-252D-49C4-9D76-938EA8DDA460}"/>
    <cellStyle name="Normal 2 4 3 3 2 2 2 3" xfId="5106" xr:uid="{00000000-0005-0000-0000-0000D60F0000}"/>
    <cellStyle name="Normal 2 4 3 3 2 2 2 3 2" xfId="14432" xr:uid="{5E8C7080-B3E1-413E-8620-7CFB99CE48E7}"/>
    <cellStyle name="Normal 2 4 3 3 2 2 2 4" xfId="9549" xr:uid="{EA88B7BC-E37D-4688-A768-0D7FE5EF9F42}"/>
    <cellStyle name="Normal 2 4 3 3 2 2 2 4 2" xfId="18864" xr:uid="{A658B819-FB5A-4E74-8EEB-A4BF1F655A85}"/>
    <cellStyle name="Normal 2 4 3 3 2 2 2 5" xfId="10215" xr:uid="{CB8CAAF6-CBA2-4052-81D9-37AADCA08AD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90" xr:uid="{986728C7-A594-437F-97BE-ED80C9ED5B09}"/>
    <cellStyle name="Normal 2 4 3 3 2 2 3 2 3" xfId="12773" xr:uid="{D1370390-1594-4CD9-8C44-D4A0F79B6133}"/>
    <cellStyle name="Normal 2 4 3 3 2 2 3 3" xfId="5519" xr:uid="{00000000-0005-0000-0000-0000DA0F0000}"/>
    <cellStyle name="Normal 2 4 3 3 2 2 3 3 2" xfId="14845" xr:uid="{A85444FC-BFD9-409A-B206-E659ACC90523}"/>
    <cellStyle name="Normal 2 4 3 3 2 2 3 4" xfId="10628" xr:uid="{3C447441-D687-4139-8AEE-09A13C004F58}"/>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403" xr:uid="{5C60AF0E-FB3F-44DE-B0E7-3B50EEDFF68C}"/>
    <cellStyle name="Normal 2 4 3 3 2 2 4 2 3" xfId="13186" xr:uid="{9B9F074B-5F74-4D6E-918E-6552FADF960E}"/>
    <cellStyle name="Normal 2 4 3 3 2 2 4 3" xfId="5932" xr:uid="{00000000-0005-0000-0000-0000DE0F0000}"/>
    <cellStyle name="Normal 2 4 3 3 2 2 4 3 2" xfId="15258" xr:uid="{8220A717-DA45-4C2F-8172-B5D4B2602363}"/>
    <cellStyle name="Normal 2 4 3 3 2 2 4 4" xfId="11041" xr:uid="{5A65047A-43C0-43D3-B1F4-5A84139A5BA7}"/>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816" xr:uid="{2BD6F505-F099-4DCC-AC64-46D3DF93584A}"/>
    <cellStyle name="Normal 2 4 3 3 2 2 5 2 3" xfId="13599" xr:uid="{144BF687-5DE0-45C0-82D1-3400C2D349F5}"/>
    <cellStyle name="Normal 2 4 3 3 2 2 5 3" xfId="6345" xr:uid="{00000000-0005-0000-0000-0000E20F0000}"/>
    <cellStyle name="Normal 2 4 3 3 2 2 5 3 2" xfId="15671" xr:uid="{E192A22C-C6C8-47AD-8C1A-C192DF290A10}"/>
    <cellStyle name="Normal 2 4 3 3 2 2 5 4" xfId="11454" xr:uid="{F46709CB-CBAC-45EF-9EE0-433E8634B7AB}"/>
    <cellStyle name="Normal 2 4 3 3 2 2 6" xfId="2475" xr:uid="{00000000-0005-0000-0000-0000E30F0000}"/>
    <cellStyle name="Normal 2 4 3 3 2 2 6 2" xfId="6758" xr:uid="{00000000-0005-0000-0000-0000E40F0000}"/>
    <cellStyle name="Normal 2 4 3 3 2 2 6 2 2" xfId="16084" xr:uid="{55A94D4C-446D-4384-BC4B-A6FC43C9506D}"/>
    <cellStyle name="Normal 2 4 3 3 2 2 6 3" xfId="11867" xr:uid="{773F3273-8A2F-4F7D-BEE4-6151AB5C46F1}"/>
    <cellStyle name="Normal 2 4 3 3 2 2 7" xfId="4692" xr:uid="{00000000-0005-0000-0000-0000E50F0000}"/>
    <cellStyle name="Normal 2 4 3 3 2 2 7 2" xfId="14018" xr:uid="{2B5BA7D0-8A2F-4B40-A359-D8141751F549}"/>
    <cellStyle name="Normal 2 4 3 3 2 2 8" xfId="9124" xr:uid="{1FF2B195-09C8-4D7B-A363-E8AF809A669B}"/>
    <cellStyle name="Normal 2 4 3 3 2 2 8 2" xfId="18448" xr:uid="{04853611-2922-4C69-872D-307442199B1F}"/>
    <cellStyle name="Normal 2 4 3 3 2 2 9" xfId="9801" xr:uid="{2FDF0B0D-DE09-4E4D-BAC4-BD86A0258A79}"/>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76" xr:uid="{72CE7036-E71A-4AED-844F-C9B34DC785FC}"/>
    <cellStyle name="Normal 2 4 3 3 2 3 2 3" xfId="12359" xr:uid="{19811547-D7F7-4E54-9CCC-DDB50DCB4AE4}"/>
    <cellStyle name="Normal 2 4 3 3 2 3 3" xfId="5105" xr:uid="{00000000-0005-0000-0000-0000E90F0000}"/>
    <cellStyle name="Normal 2 4 3 3 2 3 3 2" xfId="14431" xr:uid="{28D9D6D7-55D5-4BF9-A624-1CB1C23611C4}"/>
    <cellStyle name="Normal 2 4 3 3 2 3 4" xfId="9342" xr:uid="{41454CF9-47C1-4E8A-868A-8F39341308EB}"/>
    <cellStyle name="Normal 2 4 3 3 2 3 4 2" xfId="18657" xr:uid="{7CF72F8E-505A-4C27-A1B5-889942216B31}"/>
    <cellStyle name="Normal 2 4 3 3 2 3 5" xfId="10214" xr:uid="{B5288369-1588-422E-993A-42BBD9E4D302}"/>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89" xr:uid="{7E417C35-43A9-4667-A5A0-0826BB96EBC4}"/>
    <cellStyle name="Normal 2 4 3 3 2 4 2 3" xfId="12772" xr:uid="{B1B4A303-E1B3-4A17-85FD-DA4FB5C4865B}"/>
    <cellStyle name="Normal 2 4 3 3 2 4 3" xfId="5518" xr:uid="{00000000-0005-0000-0000-0000ED0F0000}"/>
    <cellStyle name="Normal 2 4 3 3 2 4 3 2" xfId="14844" xr:uid="{440A0267-F47F-4C1E-BFE7-6D7519A4086A}"/>
    <cellStyle name="Normal 2 4 3 3 2 4 4" xfId="10627" xr:uid="{F9CD445C-8DCD-4199-8353-2FF26A6A3BAC}"/>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402" xr:uid="{C13E868A-760E-4FB4-8CFB-66C43D1A4B3B}"/>
    <cellStyle name="Normal 2 4 3 3 2 5 2 3" xfId="13185" xr:uid="{DE084B81-E031-4247-980D-CD4B8804396F}"/>
    <cellStyle name="Normal 2 4 3 3 2 5 3" xfId="5931" xr:uid="{00000000-0005-0000-0000-0000F10F0000}"/>
    <cellStyle name="Normal 2 4 3 3 2 5 3 2" xfId="15257" xr:uid="{4A8E0052-CA93-43DF-BF2F-7D5E04687542}"/>
    <cellStyle name="Normal 2 4 3 3 2 5 4" xfId="11040" xr:uid="{1D163CB8-D113-4314-ACC3-19C37DBAF377}"/>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815" xr:uid="{074C0B0D-D2F7-422C-816C-1204E28A814A}"/>
    <cellStyle name="Normal 2 4 3 3 2 6 2 3" xfId="13598" xr:uid="{5B3CAA35-CF70-4B3A-922C-5479698F8107}"/>
    <cellStyle name="Normal 2 4 3 3 2 6 3" xfId="6344" xr:uid="{00000000-0005-0000-0000-0000F50F0000}"/>
    <cellStyle name="Normal 2 4 3 3 2 6 3 2" xfId="15670" xr:uid="{62E3CA2D-3D7B-4AD6-BCC6-400C403850DB}"/>
    <cellStyle name="Normal 2 4 3 3 2 6 4" xfId="11453" xr:uid="{959A5554-EED5-417F-AE4E-23DF3535A80C}"/>
    <cellStyle name="Normal 2 4 3 3 2 7" xfId="2474" xr:uid="{00000000-0005-0000-0000-0000F60F0000}"/>
    <cellStyle name="Normal 2 4 3 3 2 7 2" xfId="6757" xr:uid="{00000000-0005-0000-0000-0000F70F0000}"/>
    <cellStyle name="Normal 2 4 3 3 2 7 2 2" xfId="16083" xr:uid="{5DE1A1AF-B2BB-48A4-BF2B-295790A50295}"/>
    <cellStyle name="Normal 2 4 3 3 2 7 3" xfId="11866" xr:uid="{1DBEDCCE-1CCE-47F0-8045-75A874FDBE95}"/>
    <cellStyle name="Normal 2 4 3 3 2 8" xfId="4691" xr:uid="{00000000-0005-0000-0000-0000F80F0000}"/>
    <cellStyle name="Normal 2 4 3 3 2 8 2" xfId="14017" xr:uid="{E7EA50C5-FD3A-4A3B-AE4C-974D4464D447}"/>
    <cellStyle name="Normal 2 4 3 3 2 9" xfId="8917" xr:uid="{1E22693C-F4B1-4678-80B0-65CF6DC31586}"/>
    <cellStyle name="Normal 2 4 3 3 2 9 2" xfId="18241" xr:uid="{F4795890-A544-4B3B-8824-F7D16D3FEF4E}"/>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78" xr:uid="{929D6047-3990-4490-AC59-9617A40A4CE9}"/>
    <cellStyle name="Normal 2 4 3 3 3 2 2 3" xfId="12361" xr:uid="{0924BD70-9727-48EA-8243-78E8B7296CDA}"/>
    <cellStyle name="Normal 2 4 3 3 3 2 3" xfId="5107" xr:uid="{00000000-0005-0000-0000-0000FD0F0000}"/>
    <cellStyle name="Normal 2 4 3 3 3 2 3 2" xfId="14433" xr:uid="{F440DEB3-6479-4189-82E8-8C3049808C6F}"/>
    <cellStyle name="Normal 2 4 3 3 3 2 4" xfId="9446" xr:uid="{7ACDBBC8-943F-41CF-9832-96F56BCB3985}"/>
    <cellStyle name="Normal 2 4 3 3 3 2 4 2" xfId="18761" xr:uid="{6C1B3BBB-71EC-4367-B292-157BC3949F22}"/>
    <cellStyle name="Normal 2 4 3 3 3 2 5" xfId="10216" xr:uid="{B4A66394-8A85-43A5-937A-8557A6213444}"/>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91" xr:uid="{2FC76092-1491-46CB-9611-E985392FB5ED}"/>
    <cellStyle name="Normal 2 4 3 3 3 3 2 3" xfId="12774" xr:uid="{9C29E452-1CC2-4533-BA51-44C8C5A028CF}"/>
    <cellStyle name="Normal 2 4 3 3 3 3 3" xfId="5520" xr:uid="{00000000-0005-0000-0000-000001100000}"/>
    <cellStyle name="Normal 2 4 3 3 3 3 3 2" xfId="14846" xr:uid="{AE1B3DF4-3C2C-4170-B6B7-94E2A8B27E2F}"/>
    <cellStyle name="Normal 2 4 3 3 3 3 4" xfId="10629" xr:uid="{24D6D203-3FFE-4D14-B112-0FAFC718E01D}"/>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404" xr:uid="{4978B3D4-75FC-4CBF-B7AB-86F63311B91B}"/>
    <cellStyle name="Normal 2 4 3 3 3 4 2 3" xfId="13187" xr:uid="{3EE0F706-DE32-4004-9450-545E0FA1F980}"/>
    <cellStyle name="Normal 2 4 3 3 3 4 3" xfId="5933" xr:uid="{00000000-0005-0000-0000-000005100000}"/>
    <cellStyle name="Normal 2 4 3 3 3 4 3 2" xfId="15259" xr:uid="{FB760278-206C-43D4-869A-371C06BCD3F3}"/>
    <cellStyle name="Normal 2 4 3 3 3 4 4" xfId="11042" xr:uid="{BE9ADE52-C416-4C4A-94C5-636E5E6F44FB}"/>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817" xr:uid="{25AA470A-56CA-44E1-8797-E12209FA14A8}"/>
    <cellStyle name="Normal 2 4 3 3 3 5 2 3" xfId="13600" xr:uid="{600AF6CD-6E67-48CA-B8D4-8E877DC6C7CF}"/>
    <cellStyle name="Normal 2 4 3 3 3 5 3" xfId="6346" xr:uid="{00000000-0005-0000-0000-000009100000}"/>
    <cellStyle name="Normal 2 4 3 3 3 5 3 2" xfId="15672" xr:uid="{573F6C19-5BDA-44CB-8277-ED903608E434}"/>
    <cellStyle name="Normal 2 4 3 3 3 5 4" xfId="11455" xr:uid="{E398AB0D-4849-4FBB-AAC8-F9A00DCD1AF4}"/>
    <cellStyle name="Normal 2 4 3 3 3 6" xfId="2476" xr:uid="{00000000-0005-0000-0000-00000A100000}"/>
    <cellStyle name="Normal 2 4 3 3 3 6 2" xfId="6759" xr:uid="{00000000-0005-0000-0000-00000B100000}"/>
    <cellStyle name="Normal 2 4 3 3 3 6 2 2" xfId="16085" xr:uid="{423418B0-0F28-40C9-9535-D863C5277E2B}"/>
    <cellStyle name="Normal 2 4 3 3 3 6 3" xfId="11868" xr:uid="{FFE8792D-0B1B-445D-9C87-8AD7A4CF757C}"/>
    <cellStyle name="Normal 2 4 3 3 3 7" xfId="4693" xr:uid="{00000000-0005-0000-0000-00000C100000}"/>
    <cellStyle name="Normal 2 4 3 3 3 7 2" xfId="14019" xr:uid="{9677B1A1-C7E6-48AC-9A4F-98740ED6F8D8}"/>
    <cellStyle name="Normal 2 4 3 3 3 8" xfId="9021" xr:uid="{4EC0F035-DC07-4262-9C58-7142AC357944}"/>
    <cellStyle name="Normal 2 4 3 3 3 8 2" xfId="18345" xr:uid="{45D9A1A8-5C7E-4BBF-B503-D5D174405F5E}"/>
    <cellStyle name="Normal 2 4 3 3 3 9" xfId="9802" xr:uid="{A364DA0D-A96A-49C6-B3A9-C5DDB9D1F12C}"/>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75" xr:uid="{DD82F06F-5AF1-41C4-B3E7-98391F81994F}"/>
    <cellStyle name="Normal 2 4 3 3 4 2 3" xfId="12358" xr:uid="{E74E7661-00A6-4990-B26A-D8FE04148DC4}"/>
    <cellStyle name="Normal 2 4 3 3 4 3" xfId="5104" xr:uid="{00000000-0005-0000-0000-000010100000}"/>
    <cellStyle name="Normal 2 4 3 3 4 3 2" xfId="14430" xr:uid="{1F970101-6737-4B95-A4E4-AA386B4105F4}"/>
    <cellStyle name="Normal 2 4 3 3 4 4" xfId="9239" xr:uid="{3DCBA9AF-C63D-4CA9-81B6-AC7CB7B67292}"/>
    <cellStyle name="Normal 2 4 3 3 4 4 2" xfId="18554" xr:uid="{1F7187E4-FC84-4D2C-B633-D45F10DDADC5}"/>
    <cellStyle name="Normal 2 4 3 3 4 5" xfId="10213" xr:uid="{CA37837E-B1A3-4030-A32C-1B602B497703}"/>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88" xr:uid="{3DDCD818-7412-4468-A3C7-BF357EDA2F83}"/>
    <cellStyle name="Normal 2 4 3 3 5 2 3" xfId="12771" xr:uid="{C0297D4F-947A-4E06-A095-A234680CCAD6}"/>
    <cellStyle name="Normal 2 4 3 3 5 3" xfId="5517" xr:uid="{00000000-0005-0000-0000-000014100000}"/>
    <cellStyle name="Normal 2 4 3 3 5 3 2" xfId="14843" xr:uid="{1539F4B3-247D-4695-8900-29E052683F01}"/>
    <cellStyle name="Normal 2 4 3 3 5 4" xfId="10626" xr:uid="{209C939C-A734-4B0C-B66E-8B125EB56012}"/>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401" xr:uid="{1048408D-ABF1-42A1-85A5-4EC73747F1FA}"/>
    <cellStyle name="Normal 2 4 3 3 6 2 3" xfId="13184" xr:uid="{5A4ACD32-FA3C-4464-AAE3-0C7908E5DF66}"/>
    <cellStyle name="Normal 2 4 3 3 6 3" xfId="5930" xr:uid="{00000000-0005-0000-0000-000018100000}"/>
    <cellStyle name="Normal 2 4 3 3 6 3 2" xfId="15256" xr:uid="{32714A25-27C2-4478-B8E2-A6B7B0A82D88}"/>
    <cellStyle name="Normal 2 4 3 3 6 4" xfId="11039" xr:uid="{42440F77-57F4-4139-8A09-F8497FFDC5E5}"/>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814" xr:uid="{9A3358F8-DF09-4931-8721-ACB4A88CCC04}"/>
    <cellStyle name="Normal 2 4 3 3 7 2 3" xfId="13597" xr:uid="{4052AED5-9257-4CD8-9F9D-F204CF25AC2D}"/>
    <cellStyle name="Normal 2 4 3 3 7 3" xfId="6343" xr:uid="{00000000-0005-0000-0000-00001C100000}"/>
    <cellStyle name="Normal 2 4 3 3 7 3 2" xfId="15669" xr:uid="{37C689D3-8F4B-47F0-994B-FD2E31515B0F}"/>
    <cellStyle name="Normal 2 4 3 3 7 4" xfId="11452" xr:uid="{2DB586A0-0B28-4ECC-ABB5-D84BF7C76FAE}"/>
    <cellStyle name="Normal 2 4 3 3 8" xfId="2473" xr:uid="{00000000-0005-0000-0000-00001D100000}"/>
    <cellStyle name="Normal 2 4 3 3 8 2" xfId="6756" xr:uid="{00000000-0005-0000-0000-00001E100000}"/>
    <cellStyle name="Normal 2 4 3 3 8 2 2" xfId="16082" xr:uid="{4AE4F087-422B-462F-B57C-120923E6BA48}"/>
    <cellStyle name="Normal 2 4 3 3 8 3" xfId="11865" xr:uid="{D644B4F6-A989-4F99-9EC7-3CE9AFD85D74}"/>
    <cellStyle name="Normal 2 4 3 3 9" xfId="4690" xr:uid="{00000000-0005-0000-0000-00001F100000}"/>
    <cellStyle name="Normal 2 4 3 3 9 2" xfId="14016" xr:uid="{B971AC0A-F1F0-4A54-8F5B-46A72735DCBC}"/>
    <cellStyle name="Normal 2 4 3 4" xfId="787" xr:uid="{00000000-0005-0000-0000-000020100000}"/>
    <cellStyle name="Normal 2 4 3 4 2" xfId="3026" xr:uid="{00000000-0005-0000-0000-000021100000}"/>
    <cellStyle name="Normal 2 4 3 4 2 2" xfId="7248" xr:uid="{00000000-0005-0000-0000-000022100000}"/>
    <cellStyle name="Normal 2 4 3 4 2 2 2" xfId="16574" xr:uid="{DADE59AC-CA47-4D9C-B246-488617D89EAE}"/>
    <cellStyle name="Normal 2 4 3 4 2 3" xfId="12357" xr:uid="{324A1FAD-C4F1-4A7A-9086-17F2766DAC5E}"/>
    <cellStyle name="Normal 2 4 3 4 3" xfId="5103" xr:uid="{00000000-0005-0000-0000-000023100000}"/>
    <cellStyle name="Normal 2 4 3 4 3 2" xfId="14429" xr:uid="{1C5B8CBD-CEBA-4742-8BBC-3501918CD644}"/>
    <cellStyle name="Normal 2 4 3 4 4" xfId="9605" xr:uid="{31B075F0-6828-4EC6-AC77-4B4B0626A722}"/>
    <cellStyle name="Normal 2 4 3 4 4 2" xfId="18906" xr:uid="{7F4530FA-D21D-4201-AD07-B25B6517DCCF}"/>
    <cellStyle name="Normal 2 4 3 4 5" xfId="10212" xr:uid="{6FDF424B-AB99-4CA4-99FA-21BAE8949BCA}"/>
    <cellStyle name="Normal 2 4 3 5" xfId="1209" xr:uid="{00000000-0005-0000-0000-000024100000}"/>
    <cellStyle name="Normal 2 4 3 5 2" xfId="3439" xr:uid="{00000000-0005-0000-0000-000025100000}"/>
    <cellStyle name="Normal 2 4 3 5 2 2" xfId="7661" xr:uid="{00000000-0005-0000-0000-000026100000}"/>
    <cellStyle name="Normal 2 4 3 5 2 2 2" xfId="16987" xr:uid="{1BC6730C-B795-4301-B500-AAB88E6A510B}"/>
    <cellStyle name="Normal 2 4 3 5 2 3" xfId="12770" xr:uid="{F7ABBDE0-8084-495D-A28A-0A42F6C4B58C}"/>
    <cellStyle name="Normal 2 4 3 5 3" xfId="5516" xr:uid="{00000000-0005-0000-0000-000027100000}"/>
    <cellStyle name="Normal 2 4 3 5 3 2" xfId="14842" xr:uid="{88DE6472-FD97-47D4-94F2-28D80E7AF80D}"/>
    <cellStyle name="Normal 2 4 3 5 4" xfId="10625" xr:uid="{36D11843-3962-4A9A-A47D-65156F01019B}"/>
    <cellStyle name="Normal 2 4 3 6" xfId="1622" xr:uid="{00000000-0005-0000-0000-000028100000}"/>
    <cellStyle name="Normal 2 4 3 6 2" xfId="3852" xr:uid="{00000000-0005-0000-0000-000029100000}"/>
    <cellStyle name="Normal 2 4 3 6 2 2" xfId="8074" xr:uid="{00000000-0005-0000-0000-00002A100000}"/>
    <cellStyle name="Normal 2 4 3 6 2 2 2" xfId="17400" xr:uid="{8CC68D4B-80C3-44DB-8AA3-F9C4A482AD53}"/>
    <cellStyle name="Normal 2 4 3 6 2 3" xfId="13183" xr:uid="{183B042D-242E-4843-B70B-3E2DA54E9F1B}"/>
    <cellStyle name="Normal 2 4 3 6 3" xfId="5929" xr:uid="{00000000-0005-0000-0000-00002B100000}"/>
    <cellStyle name="Normal 2 4 3 6 3 2" xfId="15255" xr:uid="{3DAFCF2D-ABC6-4A2D-88F8-906331025405}"/>
    <cellStyle name="Normal 2 4 3 6 4" xfId="11038" xr:uid="{89731A6B-F5A3-4161-A6EC-0DF7076239EC}"/>
    <cellStyle name="Normal 2 4 3 7" xfId="2036" xr:uid="{00000000-0005-0000-0000-00002C100000}"/>
    <cellStyle name="Normal 2 4 3 7 2" xfId="4265" xr:uid="{00000000-0005-0000-0000-00002D100000}"/>
    <cellStyle name="Normal 2 4 3 7 2 2" xfId="8487" xr:uid="{00000000-0005-0000-0000-00002E100000}"/>
    <cellStyle name="Normal 2 4 3 7 2 2 2" xfId="17813" xr:uid="{4D74E6B9-FECD-4678-A8B0-73D4E32C2CFF}"/>
    <cellStyle name="Normal 2 4 3 7 2 3" xfId="13596" xr:uid="{C2027403-33A6-4F61-AB55-CF30A3D4254D}"/>
    <cellStyle name="Normal 2 4 3 7 3" xfId="6342" xr:uid="{00000000-0005-0000-0000-00002F100000}"/>
    <cellStyle name="Normal 2 4 3 7 3 2" xfId="15668" xr:uid="{F80E8AB4-FD5F-4E1A-98D3-DDFFF933FABD}"/>
    <cellStyle name="Normal 2 4 3 7 4" xfId="11451" xr:uid="{1510291C-9ED9-458B-A49F-51587ABDB68A}"/>
    <cellStyle name="Normal 2 4 3 8" xfId="2472" xr:uid="{00000000-0005-0000-0000-000030100000}"/>
    <cellStyle name="Normal 2 4 3 8 2" xfId="6755" xr:uid="{00000000-0005-0000-0000-000031100000}"/>
    <cellStyle name="Normal 2 4 3 8 2 2" xfId="16081" xr:uid="{E596BC10-A9F7-4A20-92FA-3066DC29D0F9}"/>
    <cellStyle name="Normal 2 4 3 8 3" xfId="11864" xr:uid="{DD6B9970-CB1B-4E78-8738-D45794A754E2}"/>
    <cellStyle name="Normal 2 4 3 9" xfId="4689" xr:uid="{00000000-0005-0000-0000-000032100000}"/>
    <cellStyle name="Normal 2 4 3 9 2" xfId="14015" xr:uid="{D8128DBB-C070-4F38-9780-076333429540}"/>
    <cellStyle name="Normal 2 4 4" xfId="302" xr:uid="{00000000-0005-0000-0000-000033100000}"/>
    <cellStyle name="Normal 2 4 5" xfId="303" xr:uid="{00000000-0005-0000-0000-000034100000}"/>
    <cellStyle name="Normal 2 4 5 10" xfId="4694" xr:uid="{00000000-0005-0000-0000-000035100000}"/>
    <cellStyle name="Normal 2 4 5 10 2" xfId="14020" xr:uid="{DD3F1C8A-D31A-484A-9B3E-7038D2E2730E}"/>
    <cellStyle name="Normal 2 4 5 11" xfId="8780" xr:uid="{7650B30D-5C17-47F0-B17B-A5E27258C29E}"/>
    <cellStyle name="Normal 2 4 5 11 2" xfId="18104" xr:uid="{FB228437-84B1-43BA-A02B-37448E90B26F}"/>
    <cellStyle name="Normal 2 4 5 12" xfId="9803" xr:uid="{DCE9E199-A846-4FCB-8E7C-D28CC6B5A7EF}"/>
    <cellStyle name="Normal 2 4 5 2" xfId="304" xr:uid="{00000000-0005-0000-0000-000036100000}"/>
    <cellStyle name="Normal 2 4 5 2 10" xfId="8815" xr:uid="{40A5EFE5-2EC9-4F25-B9EC-CAF9321E00F7}"/>
    <cellStyle name="Normal 2 4 5 2 10 2" xfId="18139" xr:uid="{D23366B6-5BDC-4C4F-9957-931FDB7926B1}"/>
    <cellStyle name="Normal 2 4 5 2 11" xfId="9804" xr:uid="{E6292E87-FB5A-4670-8FF1-638AD30551EA}"/>
    <cellStyle name="Normal 2 4 5 2 2" xfId="305" xr:uid="{00000000-0005-0000-0000-000037100000}"/>
    <cellStyle name="Normal 2 4 5 2 2 10" xfId="9805" xr:uid="{F0281FB5-19C8-4305-9BDC-09A5F134A75E}"/>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82" xr:uid="{7CAE2012-AB74-4114-A378-A885B4D7A72F}"/>
    <cellStyle name="Normal 2 4 5 2 2 2 2 2 3" xfId="12365" xr:uid="{EE32FACE-70C7-474D-8F1F-F6D0F3EC0217}"/>
    <cellStyle name="Normal 2 4 5 2 2 2 2 3" xfId="5111" xr:uid="{00000000-0005-0000-0000-00003C100000}"/>
    <cellStyle name="Normal 2 4 5 2 2 2 2 3 2" xfId="14437" xr:uid="{CBDB48FF-F7A9-4664-9E0B-3D8F9BC7C612}"/>
    <cellStyle name="Normal 2 4 5 2 2 2 2 4" xfId="9550" xr:uid="{8A7671EC-AB7E-4F51-9B1B-FE1F0FDC42A9}"/>
    <cellStyle name="Normal 2 4 5 2 2 2 2 4 2" xfId="18865" xr:uid="{F0FF301D-5A9E-47C2-8CFB-C04E269486F2}"/>
    <cellStyle name="Normal 2 4 5 2 2 2 2 5" xfId="10220" xr:uid="{72119C5E-61CD-4614-9E01-B41368198884}"/>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95" xr:uid="{4D01D70D-CE3C-4113-8FB4-04DFA93FFE11}"/>
    <cellStyle name="Normal 2 4 5 2 2 2 3 2 3" xfId="12778" xr:uid="{D8001943-F325-4562-95C7-B391B48EE3CD}"/>
    <cellStyle name="Normal 2 4 5 2 2 2 3 3" xfId="5524" xr:uid="{00000000-0005-0000-0000-000040100000}"/>
    <cellStyle name="Normal 2 4 5 2 2 2 3 3 2" xfId="14850" xr:uid="{39A37690-3462-4B79-9A35-0E2A829EF3BE}"/>
    <cellStyle name="Normal 2 4 5 2 2 2 3 4" xfId="10633" xr:uid="{69C69989-92AC-4C31-A0B3-2F7774455FF7}"/>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408" xr:uid="{11D4706B-341B-4990-B4AC-38F392967201}"/>
    <cellStyle name="Normal 2 4 5 2 2 2 4 2 3" xfId="13191" xr:uid="{73625E48-7892-4C72-9664-9F1E43E5652C}"/>
    <cellStyle name="Normal 2 4 5 2 2 2 4 3" xfId="5937" xr:uid="{00000000-0005-0000-0000-000044100000}"/>
    <cellStyle name="Normal 2 4 5 2 2 2 4 3 2" xfId="15263" xr:uid="{8FB4345D-41E1-4834-92FE-DBFF3D492684}"/>
    <cellStyle name="Normal 2 4 5 2 2 2 4 4" xfId="11046" xr:uid="{AF330CFE-A7E3-4214-AED1-51325859FD73}"/>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821" xr:uid="{D8C982C2-D65F-4BAE-A24A-853AD2E18A91}"/>
    <cellStyle name="Normal 2 4 5 2 2 2 5 2 3" xfId="13604" xr:uid="{7090C564-331C-4D0B-A9B9-280D660202C5}"/>
    <cellStyle name="Normal 2 4 5 2 2 2 5 3" xfId="6350" xr:uid="{00000000-0005-0000-0000-000048100000}"/>
    <cellStyle name="Normal 2 4 5 2 2 2 5 3 2" xfId="15676" xr:uid="{C992461C-CD10-475B-9D8C-3357C276FEEE}"/>
    <cellStyle name="Normal 2 4 5 2 2 2 5 4" xfId="11459" xr:uid="{49B7A228-C3F4-4C3F-BB92-3F83813878D5}"/>
    <cellStyle name="Normal 2 4 5 2 2 2 6" xfId="2480" xr:uid="{00000000-0005-0000-0000-000049100000}"/>
    <cellStyle name="Normal 2 4 5 2 2 2 6 2" xfId="6763" xr:uid="{00000000-0005-0000-0000-00004A100000}"/>
    <cellStyle name="Normal 2 4 5 2 2 2 6 2 2" xfId="16089" xr:uid="{BD208282-D080-47BF-A61E-1892593A7F86}"/>
    <cellStyle name="Normal 2 4 5 2 2 2 6 3" xfId="11872" xr:uid="{A08F6B88-ACDE-4B19-9332-38D1D0E08B8E}"/>
    <cellStyle name="Normal 2 4 5 2 2 2 7" xfId="4697" xr:uid="{00000000-0005-0000-0000-00004B100000}"/>
    <cellStyle name="Normal 2 4 5 2 2 2 7 2" xfId="14023" xr:uid="{9933A8E6-1CA6-4102-B8D9-B1338F9EBCA6}"/>
    <cellStyle name="Normal 2 4 5 2 2 2 8" xfId="9125" xr:uid="{AE6B93A1-5C0B-49F1-AF15-6FC3FAFFE3B2}"/>
    <cellStyle name="Normal 2 4 5 2 2 2 8 2" xfId="18449" xr:uid="{6BB15E6E-9997-468E-8C91-45C8F3A42509}"/>
    <cellStyle name="Normal 2 4 5 2 2 2 9" xfId="9806" xr:uid="{1ED97310-7F2D-4369-BC33-12AD8D80C48A}"/>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81" xr:uid="{6C38A425-317B-4458-99F4-4EA98D66FD93}"/>
    <cellStyle name="Normal 2 4 5 2 2 3 2 3" xfId="12364" xr:uid="{3A28FC31-07AA-40F8-A63B-4B6605F47445}"/>
    <cellStyle name="Normal 2 4 5 2 2 3 3" xfId="5110" xr:uid="{00000000-0005-0000-0000-00004F100000}"/>
    <cellStyle name="Normal 2 4 5 2 2 3 3 2" xfId="14436" xr:uid="{3F6DD096-B506-474C-BB3B-1365A612D906}"/>
    <cellStyle name="Normal 2 4 5 2 2 3 4" xfId="9343" xr:uid="{FC4CD386-4202-45E2-8021-2A85CACF4E8B}"/>
    <cellStyle name="Normal 2 4 5 2 2 3 4 2" xfId="18658" xr:uid="{F8EBDA76-4EA0-4FF4-9721-C8DF49DC8931}"/>
    <cellStyle name="Normal 2 4 5 2 2 3 5" xfId="10219" xr:uid="{E8A88B89-9850-4B17-BB86-C3FBD42C806D}"/>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94" xr:uid="{9BCB6546-763D-4D02-BCB1-376F7FE7E87D}"/>
    <cellStyle name="Normal 2 4 5 2 2 4 2 3" xfId="12777" xr:uid="{B711CF3C-199F-4771-92A8-C15B8431F384}"/>
    <cellStyle name="Normal 2 4 5 2 2 4 3" xfId="5523" xr:uid="{00000000-0005-0000-0000-000053100000}"/>
    <cellStyle name="Normal 2 4 5 2 2 4 3 2" xfId="14849" xr:uid="{0E00E09B-A2A5-404F-9285-AA62E5C9AD58}"/>
    <cellStyle name="Normal 2 4 5 2 2 4 4" xfId="10632" xr:uid="{EF576211-FA4E-4271-8589-2835D332DF49}"/>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407" xr:uid="{BDEC28F7-2F68-4115-BAAA-44A16729ED60}"/>
    <cellStyle name="Normal 2 4 5 2 2 5 2 3" xfId="13190" xr:uid="{3961107D-F36A-4225-8F1A-C5AC329DEDE0}"/>
    <cellStyle name="Normal 2 4 5 2 2 5 3" xfId="5936" xr:uid="{00000000-0005-0000-0000-000057100000}"/>
    <cellStyle name="Normal 2 4 5 2 2 5 3 2" xfId="15262" xr:uid="{7A5D6CC6-581A-4736-8A31-D6F96D8F1EA5}"/>
    <cellStyle name="Normal 2 4 5 2 2 5 4" xfId="11045" xr:uid="{1A198BA9-427B-4705-AAE1-7F0996DBC399}"/>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820" xr:uid="{0390601F-C6DB-4A42-983B-B87CA4E6F777}"/>
    <cellStyle name="Normal 2 4 5 2 2 6 2 3" xfId="13603" xr:uid="{495A2B5F-AEF3-40CE-B481-0AAE64CD0710}"/>
    <cellStyle name="Normal 2 4 5 2 2 6 3" xfId="6349" xr:uid="{00000000-0005-0000-0000-00005B100000}"/>
    <cellStyle name="Normal 2 4 5 2 2 6 3 2" xfId="15675" xr:uid="{A2BD6091-8510-48BA-81DF-FA20D888193F}"/>
    <cellStyle name="Normal 2 4 5 2 2 6 4" xfId="11458" xr:uid="{0EF3C214-FFEC-4866-AC6F-0CA9E53D7C55}"/>
    <cellStyle name="Normal 2 4 5 2 2 7" xfId="2479" xr:uid="{00000000-0005-0000-0000-00005C100000}"/>
    <cellStyle name="Normal 2 4 5 2 2 7 2" xfId="6762" xr:uid="{00000000-0005-0000-0000-00005D100000}"/>
    <cellStyle name="Normal 2 4 5 2 2 7 2 2" xfId="16088" xr:uid="{AC906368-8435-47BD-9839-A501731B7848}"/>
    <cellStyle name="Normal 2 4 5 2 2 7 3" xfId="11871" xr:uid="{F85FD7B2-5CAC-4FA3-A1F2-D1DFA7FD8A2A}"/>
    <cellStyle name="Normal 2 4 5 2 2 8" xfId="4696" xr:uid="{00000000-0005-0000-0000-00005E100000}"/>
    <cellStyle name="Normal 2 4 5 2 2 8 2" xfId="14022" xr:uid="{64FB16A6-110D-4A7A-92FC-57E3EA2094B2}"/>
    <cellStyle name="Normal 2 4 5 2 2 9" xfId="8918" xr:uid="{C191AFB9-5B9B-45BF-8589-0BB68E370D0F}"/>
    <cellStyle name="Normal 2 4 5 2 2 9 2" xfId="18242" xr:uid="{6EB317F3-CFDC-464C-A031-8CE7849080F7}"/>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83" xr:uid="{62713128-42EF-426A-85C6-A468ADCCC31C}"/>
    <cellStyle name="Normal 2 4 5 2 3 2 2 3" xfId="12366" xr:uid="{A54E8DC3-3F93-4F36-AA4C-EF58FA26DD1E}"/>
    <cellStyle name="Normal 2 4 5 2 3 2 3" xfId="5112" xr:uid="{00000000-0005-0000-0000-000063100000}"/>
    <cellStyle name="Normal 2 4 5 2 3 2 3 2" xfId="14438" xr:uid="{8F3D14B3-C1AA-4EF9-A4A4-D98193A92A1E}"/>
    <cellStyle name="Normal 2 4 5 2 3 2 4" xfId="9447" xr:uid="{5DAE67B2-15F6-4C7F-9310-B9C816D42F72}"/>
    <cellStyle name="Normal 2 4 5 2 3 2 4 2" xfId="18762" xr:uid="{C0DAC451-35FE-4156-AA5D-88FC670D1688}"/>
    <cellStyle name="Normal 2 4 5 2 3 2 5" xfId="10221" xr:uid="{42A42783-BBC5-4952-8F91-2A0E3DA984E5}"/>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96" xr:uid="{25E22958-7B0D-4EAC-899E-71E249D983EB}"/>
    <cellStyle name="Normal 2 4 5 2 3 3 2 3" xfId="12779" xr:uid="{3E7D7776-0684-4F0A-82D7-CD1AED258642}"/>
    <cellStyle name="Normal 2 4 5 2 3 3 3" xfId="5525" xr:uid="{00000000-0005-0000-0000-000067100000}"/>
    <cellStyle name="Normal 2 4 5 2 3 3 3 2" xfId="14851" xr:uid="{A23B29CA-29F0-4FC9-BD37-63D831061C37}"/>
    <cellStyle name="Normal 2 4 5 2 3 3 4" xfId="10634" xr:uid="{2EB833AF-933F-461A-924D-E4ABBD3ED629}"/>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409" xr:uid="{54DA1A59-8422-4DA8-B0A3-52942D205F51}"/>
    <cellStyle name="Normal 2 4 5 2 3 4 2 3" xfId="13192" xr:uid="{CC42C7A2-34B2-4A27-ABE8-063FB1EE1EC7}"/>
    <cellStyle name="Normal 2 4 5 2 3 4 3" xfId="5938" xr:uid="{00000000-0005-0000-0000-00006B100000}"/>
    <cellStyle name="Normal 2 4 5 2 3 4 3 2" xfId="15264" xr:uid="{1AA0E449-B69B-4272-82FE-68300886624B}"/>
    <cellStyle name="Normal 2 4 5 2 3 4 4" xfId="11047" xr:uid="{8008571C-B267-4EAE-A06B-E2E276227993}"/>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822" xr:uid="{FC66B737-E42F-4FEC-9138-AA6BFF9A87DE}"/>
    <cellStyle name="Normal 2 4 5 2 3 5 2 3" xfId="13605" xr:uid="{264B4CFE-3BD6-4C77-AE27-81FBBEEAF74C}"/>
    <cellStyle name="Normal 2 4 5 2 3 5 3" xfId="6351" xr:uid="{00000000-0005-0000-0000-00006F100000}"/>
    <cellStyle name="Normal 2 4 5 2 3 5 3 2" xfId="15677" xr:uid="{94E150E6-AECA-45B5-AA04-BE09F42D68F9}"/>
    <cellStyle name="Normal 2 4 5 2 3 5 4" xfId="11460" xr:uid="{15F2B2C9-2799-4DA2-B055-D6DF513850E8}"/>
    <cellStyle name="Normal 2 4 5 2 3 6" xfId="2481" xr:uid="{00000000-0005-0000-0000-000070100000}"/>
    <cellStyle name="Normal 2 4 5 2 3 6 2" xfId="6764" xr:uid="{00000000-0005-0000-0000-000071100000}"/>
    <cellStyle name="Normal 2 4 5 2 3 6 2 2" xfId="16090" xr:uid="{342325B5-F56B-4838-B894-9C50676FDB26}"/>
    <cellStyle name="Normal 2 4 5 2 3 6 3" xfId="11873" xr:uid="{5653DFF0-45C2-4F4F-BE58-628EC8654715}"/>
    <cellStyle name="Normal 2 4 5 2 3 7" xfId="4698" xr:uid="{00000000-0005-0000-0000-000072100000}"/>
    <cellStyle name="Normal 2 4 5 2 3 7 2" xfId="14024" xr:uid="{9C3B596C-454F-4078-BF9C-6038B4AC53EE}"/>
    <cellStyle name="Normal 2 4 5 2 3 8" xfId="9022" xr:uid="{B979F5DF-A88B-437D-B1B4-B92D08856DC7}"/>
    <cellStyle name="Normal 2 4 5 2 3 8 2" xfId="18346" xr:uid="{F18922BD-49A9-4D26-ADDB-9E5093465285}"/>
    <cellStyle name="Normal 2 4 5 2 3 9" xfId="9807" xr:uid="{52654060-BC70-4977-AAA9-D884908CAAA0}"/>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80" xr:uid="{57C1FF17-F93A-493B-B81D-00BE5B4415BA}"/>
    <cellStyle name="Normal 2 4 5 2 4 2 3" xfId="12363" xr:uid="{ECEA17F7-0D6D-450C-8044-793641CB4682}"/>
    <cellStyle name="Normal 2 4 5 2 4 3" xfId="5109" xr:uid="{00000000-0005-0000-0000-000076100000}"/>
    <cellStyle name="Normal 2 4 5 2 4 3 2" xfId="14435" xr:uid="{5F179FD2-0734-42C9-B0B1-030CD5031B8C}"/>
    <cellStyle name="Normal 2 4 5 2 4 4" xfId="9240" xr:uid="{16FBE981-4867-4157-8C0D-9C1339DB5B3F}"/>
    <cellStyle name="Normal 2 4 5 2 4 4 2" xfId="18555" xr:uid="{2DBA2BD9-1CB2-4C0D-924A-8B889F5CA24C}"/>
    <cellStyle name="Normal 2 4 5 2 4 5" xfId="10218" xr:uid="{A3507506-071D-41FB-B149-ADAB8033150A}"/>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93" xr:uid="{4288CFC8-CCE8-41FC-A04E-8B0CD78AC437}"/>
    <cellStyle name="Normal 2 4 5 2 5 2 3" xfId="12776" xr:uid="{3FA26639-AD1B-4B38-9B81-B023DBD95D01}"/>
    <cellStyle name="Normal 2 4 5 2 5 3" xfId="5522" xr:uid="{00000000-0005-0000-0000-00007A100000}"/>
    <cellStyle name="Normal 2 4 5 2 5 3 2" xfId="14848" xr:uid="{58BC828F-AC28-46C7-8226-7B5985BAD017}"/>
    <cellStyle name="Normal 2 4 5 2 5 4" xfId="10631" xr:uid="{36143F25-5C98-4C6B-AB71-EF8F93A8AE7D}"/>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406" xr:uid="{8A138D99-D5B2-4626-ACF7-5087580F7714}"/>
    <cellStyle name="Normal 2 4 5 2 6 2 3" xfId="13189" xr:uid="{D94D7313-1076-4F90-85FD-A6D33E2C9E77}"/>
    <cellStyle name="Normal 2 4 5 2 6 3" xfId="5935" xr:uid="{00000000-0005-0000-0000-00007E100000}"/>
    <cellStyle name="Normal 2 4 5 2 6 3 2" xfId="15261" xr:uid="{C47AEF8C-5724-41A4-B449-C96C11C52635}"/>
    <cellStyle name="Normal 2 4 5 2 6 4" xfId="11044" xr:uid="{D72983D6-E71C-4FA5-ADE9-FF24B1515C6D}"/>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819" xr:uid="{FBEA4F59-C904-4183-99C7-DE217087BC78}"/>
    <cellStyle name="Normal 2 4 5 2 7 2 3" xfId="13602" xr:uid="{EFC944FA-0B8B-4774-A342-4A53221902B8}"/>
    <cellStyle name="Normal 2 4 5 2 7 3" xfId="6348" xr:uid="{00000000-0005-0000-0000-000082100000}"/>
    <cellStyle name="Normal 2 4 5 2 7 3 2" xfId="15674" xr:uid="{B6E94593-4F06-4E5F-AD19-88C9BBC93E49}"/>
    <cellStyle name="Normal 2 4 5 2 7 4" xfId="11457" xr:uid="{761B4296-540E-46C0-8C25-EE0A4AECEFEE}"/>
    <cellStyle name="Normal 2 4 5 2 8" xfId="2478" xr:uid="{00000000-0005-0000-0000-000083100000}"/>
    <cellStyle name="Normal 2 4 5 2 8 2" xfId="6761" xr:uid="{00000000-0005-0000-0000-000084100000}"/>
    <cellStyle name="Normal 2 4 5 2 8 2 2" xfId="16087" xr:uid="{975A8D20-C18B-4588-B1C9-EA79335711DA}"/>
    <cellStyle name="Normal 2 4 5 2 8 3" xfId="11870" xr:uid="{62671F9F-64C3-403B-8514-F9B79B2D7420}"/>
    <cellStyle name="Normal 2 4 5 2 9" xfId="4695" xr:uid="{00000000-0005-0000-0000-000085100000}"/>
    <cellStyle name="Normal 2 4 5 2 9 2" xfId="14021" xr:uid="{27457190-BA8B-42FF-87BC-FCEAC616D538}"/>
    <cellStyle name="Normal 2 4 5 3" xfId="308" xr:uid="{00000000-0005-0000-0000-000086100000}"/>
    <cellStyle name="Normal 2 4 5 3 10" xfId="9808" xr:uid="{AD96FB41-77CF-4E43-BC06-DC5AD8E577D3}"/>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85" xr:uid="{368C13EC-159F-4F75-AA8A-81F51B8CB382}"/>
    <cellStyle name="Normal 2 4 5 3 2 2 2 3" xfId="12368" xr:uid="{DC8931BB-BDC8-4347-8201-4157BFA9168C}"/>
    <cellStyle name="Normal 2 4 5 3 2 2 3" xfId="5114" xr:uid="{00000000-0005-0000-0000-00008B100000}"/>
    <cellStyle name="Normal 2 4 5 3 2 2 3 2" xfId="14440" xr:uid="{FE886485-6462-4206-B9CB-698488DA250D}"/>
    <cellStyle name="Normal 2 4 5 3 2 2 4" xfId="9515" xr:uid="{A1D6949C-773D-44DB-B26F-4DD01D24FF00}"/>
    <cellStyle name="Normal 2 4 5 3 2 2 4 2" xfId="18830" xr:uid="{5A5E8FFB-705A-4093-85D2-6AD4A73BDD80}"/>
    <cellStyle name="Normal 2 4 5 3 2 2 5" xfId="10223" xr:uid="{41C27B74-1A15-494A-A7C7-7554DF5AB46C}"/>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98" xr:uid="{35DBBF37-5BAD-4079-8513-222B56325113}"/>
    <cellStyle name="Normal 2 4 5 3 2 3 2 3" xfId="12781" xr:uid="{0EE999CD-25F2-48A1-908E-852E3FC45F96}"/>
    <cellStyle name="Normal 2 4 5 3 2 3 3" xfId="5527" xr:uid="{00000000-0005-0000-0000-00008F100000}"/>
    <cellStyle name="Normal 2 4 5 3 2 3 3 2" xfId="14853" xr:uid="{F80711AF-B405-424E-A8C3-CD85A29B3953}"/>
    <cellStyle name="Normal 2 4 5 3 2 3 4" xfId="10636" xr:uid="{6CC68D26-AEA3-467D-B109-A751B9F6B239}"/>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411" xr:uid="{87753507-8EF2-47B1-9777-70430134E04F}"/>
    <cellStyle name="Normal 2 4 5 3 2 4 2 3" xfId="13194" xr:uid="{1AD1E1AC-CCAD-4D46-8C81-5077FD25F362}"/>
    <cellStyle name="Normal 2 4 5 3 2 4 3" xfId="5940" xr:uid="{00000000-0005-0000-0000-000093100000}"/>
    <cellStyle name="Normal 2 4 5 3 2 4 3 2" xfId="15266" xr:uid="{AA192F7F-C7E5-432E-AA3A-34C7DE90B327}"/>
    <cellStyle name="Normal 2 4 5 3 2 4 4" xfId="11049" xr:uid="{07150217-2A7C-4C6A-8754-CCC572D7EF07}"/>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824" xr:uid="{E974D392-D7C7-4240-AAB9-4F9BAF6BCF2D}"/>
    <cellStyle name="Normal 2 4 5 3 2 5 2 3" xfId="13607" xr:uid="{FBB6574C-E867-458E-B671-81F9DDA392C1}"/>
    <cellStyle name="Normal 2 4 5 3 2 5 3" xfId="6353" xr:uid="{00000000-0005-0000-0000-000097100000}"/>
    <cellStyle name="Normal 2 4 5 3 2 5 3 2" xfId="15679" xr:uid="{44B33A1E-7454-4056-9276-C19A0E8748CB}"/>
    <cellStyle name="Normal 2 4 5 3 2 5 4" xfId="11462" xr:uid="{21732299-54E5-4514-886B-2400905B93B7}"/>
    <cellStyle name="Normal 2 4 5 3 2 6" xfId="2483" xr:uid="{00000000-0005-0000-0000-000098100000}"/>
    <cellStyle name="Normal 2 4 5 3 2 6 2" xfId="6766" xr:uid="{00000000-0005-0000-0000-000099100000}"/>
    <cellStyle name="Normal 2 4 5 3 2 6 2 2" xfId="16092" xr:uid="{789BE191-0886-4436-B432-D63536F1D553}"/>
    <cellStyle name="Normal 2 4 5 3 2 6 3" xfId="11875" xr:uid="{2AF84357-7E57-4187-840E-81B84C42D248}"/>
    <cellStyle name="Normal 2 4 5 3 2 7" xfId="4700" xr:uid="{00000000-0005-0000-0000-00009A100000}"/>
    <cellStyle name="Normal 2 4 5 3 2 7 2" xfId="14026" xr:uid="{71FFD8EB-8CB1-4965-A596-5C1BFEBEFF5D}"/>
    <cellStyle name="Normal 2 4 5 3 2 8" xfId="9090" xr:uid="{4B64C5F8-5AC3-43D3-B94A-46850BBF79A5}"/>
    <cellStyle name="Normal 2 4 5 3 2 8 2" xfId="18414" xr:uid="{4C13235A-563C-4083-89EF-D28B1BF15F75}"/>
    <cellStyle name="Normal 2 4 5 3 2 9" xfId="9809" xr:uid="{E4EFFC79-3F65-4AEB-B14E-A56CB7E618FC}"/>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84" xr:uid="{549079E9-7A98-4109-BFF9-B20027FA4F54}"/>
    <cellStyle name="Normal 2 4 5 3 3 2 3" xfId="12367" xr:uid="{28625C14-4268-4AA9-B6F2-91D11E0F0937}"/>
    <cellStyle name="Normal 2 4 5 3 3 3" xfId="5113" xr:uid="{00000000-0005-0000-0000-00009E100000}"/>
    <cellStyle name="Normal 2 4 5 3 3 3 2" xfId="14439" xr:uid="{9C471AA4-A0FF-4338-AF9E-1E0E87A03396}"/>
    <cellStyle name="Normal 2 4 5 3 3 4" xfId="9308" xr:uid="{40198FFA-4C90-42BE-90C8-42459F1A2A1C}"/>
    <cellStyle name="Normal 2 4 5 3 3 4 2" xfId="18623" xr:uid="{B4F31011-1027-4749-9833-6EE6F02DC038}"/>
    <cellStyle name="Normal 2 4 5 3 3 5" xfId="10222" xr:uid="{3DAD79B5-5FDE-4157-B7BF-DDDADF9F8994}"/>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97" xr:uid="{F529D670-1E84-45C8-82B9-E3154D1A6636}"/>
    <cellStyle name="Normal 2 4 5 3 4 2 3" xfId="12780" xr:uid="{8C7ED0A8-2FA7-4AEA-865F-B9F2E215113D}"/>
    <cellStyle name="Normal 2 4 5 3 4 3" xfId="5526" xr:uid="{00000000-0005-0000-0000-0000A2100000}"/>
    <cellStyle name="Normal 2 4 5 3 4 3 2" xfId="14852" xr:uid="{BBA0B370-79C8-4822-9FFE-812FA818BA35}"/>
    <cellStyle name="Normal 2 4 5 3 4 4" xfId="10635" xr:uid="{BE2873E1-C36C-439C-A91B-AD8044BA0EAA}"/>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410" xr:uid="{6FDEDCAF-D090-48B6-8BF7-A4E4FE605419}"/>
    <cellStyle name="Normal 2 4 5 3 5 2 3" xfId="13193" xr:uid="{C3353F9A-BA16-4AFF-8D06-EC33CD8CAEE8}"/>
    <cellStyle name="Normal 2 4 5 3 5 3" xfId="5939" xr:uid="{00000000-0005-0000-0000-0000A6100000}"/>
    <cellStyle name="Normal 2 4 5 3 5 3 2" xfId="15265" xr:uid="{2D76EF3C-17F2-41A2-AC67-788E7514D63F}"/>
    <cellStyle name="Normal 2 4 5 3 5 4" xfId="11048" xr:uid="{9A67F081-9F51-4DEA-B8DE-B34006A1A939}"/>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823" xr:uid="{EBFA8BA6-1E30-45E6-B6A1-31502C9BE8AA}"/>
    <cellStyle name="Normal 2 4 5 3 6 2 3" xfId="13606" xr:uid="{858E4720-35EB-430C-87F7-7D4D90E2CDA9}"/>
    <cellStyle name="Normal 2 4 5 3 6 3" xfId="6352" xr:uid="{00000000-0005-0000-0000-0000AA100000}"/>
    <cellStyle name="Normal 2 4 5 3 6 3 2" xfId="15678" xr:uid="{B461353F-CFCB-4F37-9E39-A97000E8C4C4}"/>
    <cellStyle name="Normal 2 4 5 3 6 4" xfId="11461" xr:uid="{4E9103FA-B918-4E94-B353-4825BDF14472}"/>
    <cellStyle name="Normal 2 4 5 3 7" xfId="2482" xr:uid="{00000000-0005-0000-0000-0000AB100000}"/>
    <cellStyle name="Normal 2 4 5 3 7 2" xfId="6765" xr:uid="{00000000-0005-0000-0000-0000AC100000}"/>
    <cellStyle name="Normal 2 4 5 3 7 2 2" xfId="16091" xr:uid="{3C0230C3-2405-41A2-AD19-B71C6222B788}"/>
    <cellStyle name="Normal 2 4 5 3 7 3" xfId="11874" xr:uid="{AF0295BA-3EEE-4EC6-B7FD-6A80A356EC62}"/>
    <cellStyle name="Normal 2 4 5 3 8" xfId="4699" xr:uid="{00000000-0005-0000-0000-0000AD100000}"/>
    <cellStyle name="Normal 2 4 5 3 8 2" xfId="14025" xr:uid="{FE52FC3E-0F70-4CA1-9F26-B4FF6137A0FB}"/>
    <cellStyle name="Normal 2 4 5 3 9" xfId="8883" xr:uid="{0A470B75-873E-4D74-A257-113E3E343E18}"/>
    <cellStyle name="Normal 2 4 5 3 9 2" xfId="18207" xr:uid="{AD9EFED5-8EA4-45E2-BE9C-0D592B19AFA1}"/>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86" xr:uid="{6B4D03D5-D62E-42AD-964F-E03D194517F5}"/>
    <cellStyle name="Normal 2 4 5 4 2 2 3" xfId="12369" xr:uid="{2AE03040-F318-4207-8B26-234BB5CF61B9}"/>
    <cellStyle name="Normal 2 4 5 4 2 3" xfId="5115" xr:uid="{00000000-0005-0000-0000-0000B2100000}"/>
    <cellStyle name="Normal 2 4 5 4 2 3 2" xfId="14441" xr:uid="{22CA05B5-996F-4D4A-B2ED-08161CC186E3}"/>
    <cellStyle name="Normal 2 4 5 4 2 4" xfId="9412" xr:uid="{0ECAC303-3EA0-4623-AA0F-854157CA32E5}"/>
    <cellStyle name="Normal 2 4 5 4 2 4 2" xfId="18727" xr:uid="{4DE80006-BADE-4C65-97DA-A1CF0D5C9C4D}"/>
    <cellStyle name="Normal 2 4 5 4 2 5" xfId="10224" xr:uid="{836C53A1-B27D-402A-B9A8-EA7420E96510}"/>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99" xr:uid="{10359D5A-99F1-409B-9343-425BC6031F1E}"/>
    <cellStyle name="Normal 2 4 5 4 3 2 3" xfId="12782" xr:uid="{B931E32A-D57A-435B-8D5C-AAA5D53AE37C}"/>
    <cellStyle name="Normal 2 4 5 4 3 3" xfId="5528" xr:uid="{00000000-0005-0000-0000-0000B6100000}"/>
    <cellStyle name="Normal 2 4 5 4 3 3 2" xfId="14854" xr:uid="{F1EC08AE-635D-48C8-87BA-FF4BA67BA495}"/>
    <cellStyle name="Normal 2 4 5 4 3 4" xfId="10637" xr:uid="{2DB864A3-8EA4-4FEB-9CF2-EFC0E53EA0B1}"/>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412" xr:uid="{0A1C5A4A-DFB8-4F61-8E11-2AD647B1DA98}"/>
    <cellStyle name="Normal 2 4 5 4 4 2 3" xfId="13195" xr:uid="{9A0CF05C-FDD7-4733-A06E-74830056E3C4}"/>
    <cellStyle name="Normal 2 4 5 4 4 3" xfId="5941" xr:uid="{00000000-0005-0000-0000-0000BA100000}"/>
    <cellStyle name="Normal 2 4 5 4 4 3 2" xfId="15267" xr:uid="{C69FD6FA-E9AE-4CB1-A865-08A97D5AC9E9}"/>
    <cellStyle name="Normal 2 4 5 4 4 4" xfId="11050" xr:uid="{F5A38FAE-D113-47B7-90B8-C74F0CC64E08}"/>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825" xr:uid="{999A373A-F67E-409D-B7CC-5C0356475581}"/>
    <cellStyle name="Normal 2 4 5 4 5 2 3" xfId="13608" xr:uid="{F19CEF92-AB6B-4350-A4BF-90906E84EE6E}"/>
    <cellStyle name="Normal 2 4 5 4 5 3" xfId="6354" xr:uid="{00000000-0005-0000-0000-0000BE100000}"/>
    <cellStyle name="Normal 2 4 5 4 5 3 2" xfId="15680" xr:uid="{869B10BD-38AE-4ED8-ADB5-C3BCD509D94E}"/>
    <cellStyle name="Normal 2 4 5 4 5 4" xfId="11463" xr:uid="{79ADEA83-18B4-4CA8-83B3-11AE850D5FD4}"/>
    <cellStyle name="Normal 2 4 5 4 6" xfId="2484" xr:uid="{00000000-0005-0000-0000-0000BF100000}"/>
    <cellStyle name="Normal 2 4 5 4 6 2" xfId="6767" xr:uid="{00000000-0005-0000-0000-0000C0100000}"/>
    <cellStyle name="Normal 2 4 5 4 6 2 2" xfId="16093" xr:uid="{4D10A6D6-C6DF-47C1-909A-89B69A7B22C8}"/>
    <cellStyle name="Normal 2 4 5 4 6 3" xfId="11876" xr:uid="{F24EDB35-DE50-45B3-86A5-1E5FD5AF0FA3}"/>
    <cellStyle name="Normal 2 4 5 4 7" xfId="4701" xr:uid="{00000000-0005-0000-0000-0000C1100000}"/>
    <cellStyle name="Normal 2 4 5 4 7 2" xfId="14027" xr:uid="{C5A58525-DF67-41CF-AB1D-75D70196C13C}"/>
    <cellStyle name="Normal 2 4 5 4 8" xfId="8987" xr:uid="{8DC2C01A-3078-41AD-BCFB-AA1CA8EE9C0A}"/>
    <cellStyle name="Normal 2 4 5 4 8 2" xfId="18311" xr:uid="{E3D422F9-7EF0-47F4-BF48-544BCC708D73}"/>
    <cellStyle name="Normal 2 4 5 4 9" xfId="9810" xr:uid="{98E0E329-EC3B-4746-AE15-A41FFE63E9B0}"/>
    <cellStyle name="Normal 2 4 5 5" xfId="792" xr:uid="{00000000-0005-0000-0000-0000C2100000}"/>
    <cellStyle name="Normal 2 4 5 5 2" xfId="3031" xr:uid="{00000000-0005-0000-0000-0000C3100000}"/>
    <cellStyle name="Normal 2 4 5 5 2 2" xfId="7253" xr:uid="{00000000-0005-0000-0000-0000C4100000}"/>
    <cellStyle name="Normal 2 4 5 5 2 2 2" xfId="16579" xr:uid="{393EA6DB-767D-464A-8817-8A6CFE124B1B}"/>
    <cellStyle name="Normal 2 4 5 5 2 3" xfId="12362" xr:uid="{339AE314-D5E1-42F2-84C4-9468798FEF82}"/>
    <cellStyle name="Normal 2 4 5 5 3" xfId="5108" xr:uid="{00000000-0005-0000-0000-0000C5100000}"/>
    <cellStyle name="Normal 2 4 5 5 3 2" xfId="14434" xr:uid="{163AA094-319F-48EC-AE77-7A5A2AEBD276}"/>
    <cellStyle name="Normal 2 4 5 5 4" xfId="9204" xr:uid="{BE34B337-03EE-47D8-9E35-2EE6FAB30236}"/>
    <cellStyle name="Normal 2 4 5 5 4 2" xfId="18520" xr:uid="{C87695EA-34CC-498C-9C28-538F1719B663}"/>
    <cellStyle name="Normal 2 4 5 5 5" xfId="10217" xr:uid="{15D4FA47-F88A-44F1-9A90-90E6744A63BC}"/>
    <cellStyle name="Normal 2 4 5 6" xfId="1214" xr:uid="{00000000-0005-0000-0000-0000C6100000}"/>
    <cellStyle name="Normal 2 4 5 6 2" xfId="3444" xr:uid="{00000000-0005-0000-0000-0000C7100000}"/>
    <cellStyle name="Normal 2 4 5 6 2 2" xfId="7666" xr:uid="{00000000-0005-0000-0000-0000C8100000}"/>
    <cellStyle name="Normal 2 4 5 6 2 2 2" xfId="16992" xr:uid="{BEDA6D6B-FB95-46D2-A1DD-C039CB71CC4C}"/>
    <cellStyle name="Normal 2 4 5 6 2 3" xfId="12775" xr:uid="{12BE2DB8-8365-4E72-86C5-FE22FA264CAA}"/>
    <cellStyle name="Normal 2 4 5 6 3" xfId="5521" xr:uid="{00000000-0005-0000-0000-0000C9100000}"/>
    <cellStyle name="Normal 2 4 5 6 3 2" xfId="14847" xr:uid="{3BB37120-3A9E-49D5-A256-9339E9E7CB78}"/>
    <cellStyle name="Normal 2 4 5 6 4" xfId="10630" xr:uid="{10E81512-4DBD-44DB-8C0E-D2D7257E444D}"/>
    <cellStyle name="Normal 2 4 5 7" xfId="1627" xr:uid="{00000000-0005-0000-0000-0000CA100000}"/>
    <cellStyle name="Normal 2 4 5 7 2" xfId="3857" xr:uid="{00000000-0005-0000-0000-0000CB100000}"/>
    <cellStyle name="Normal 2 4 5 7 2 2" xfId="8079" xr:uid="{00000000-0005-0000-0000-0000CC100000}"/>
    <cellStyle name="Normal 2 4 5 7 2 2 2" xfId="17405" xr:uid="{2EA3BC9D-A38A-454C-B601-68E8DFC4F6E2}"/>
    <cellStyle name="Normal 2 4 5 7 2 3" xfId="13188" xr:uid="{CEF5B1B8-CCD6-4B23-8ED8-E9393D0E29E1}"/>
    <cellStyle name="Normal 2 4 5 7 3" xfId="5934" xr:uid="{00000000-0005-0000-0000-0000CD100000}"/>
    <cellStyle name="Normal 2 4 5 7 3 2" xfId="15260" xr:uid="{C68C180C-15EC-4D6D-B012-8244222CD0CD}"/>
    <cellStyle name="Normal 2 4 5 7 4" xfId="11043" xr:uid="{3AA46A68-1708-4D0B-8024-912DE6688982}"/>
    <cellStyle name="Normal 2 4 5 8" xfId="2041" xr:uid="{00000000-0005-0000-0000-0000CE100000}"/>
    <cellStyle name="Normal 2 4 5 8 2" xfId="4270" xr:uid="{00000000-0005-0000-0000-0000CF100000}"/>
    <cellStyle name="Normal 2 4 5 8 2 2" xfId="8492" xr:uid="{00000000-0005-0000-0000-0000D0100000}"/>
    <cellStyle name="Normal 2 4 5 8 2 2 2" xfId="17818" xr:uid="{C0BFEDBB-BCA4-4363-802A-A57A4CA46F71}"/>
    <cellStyle name="Normal 2 4 5 8 2 3" xfId="13601" xr:uid="{6FA11CBE-27EF-47B9-8C19-1EE60CB0ECBC}"/>
    <cellStyle name="Normal 2 4 5 8 3" xfId="6347" xr:uid="{00000000-0005-0000-0000-0000D1100000}"/>
    <cellStyle name="Normal 2 4 5 8 3 2" xfId="15673" xr:uid="{BBA4BE14-4E43-4739-878A-5EC1D2A3F15F}"/>
    <cellStyle name="Normal 2 4 5 8 4" xfId="11456" xr:uid="{35810245-8D5D-4752-9125-C05854810A80}"/>
    <cellStyle name="Normal 2 4 5 9" xfId="2477" xr:uid="{00000000-0005-0000-0000-0000D2100000}"/>
    <cellStyle name="Normal 2 4 5 9 2" xfId="6760" xr:uid="{00000000-0005-0000-0000-0000D3100000}"/>
    <cellStyle name="Normal 2 4 5 9 2 2" xfId="16086" xr:uid="{D26AEB04-BEB5-4822-A66C-87FCD8876213}"/>
    <cellStyle name="Normal 2 4 5 9 3" xfId="11869" xr:uid="{A09AC282-0448-40F0-B4B5-B89C5D8C2A36}"/>
    <cellStyle name="Normal 2 4 6" xfId="311" xr:uid="{00000000-0005-0000-0000-0000D4100000}"/>
    <cellStyle name="Normal 2 4 7" xfId="312" xr:uid="{00000000-0005-0000-0000-0000D5100000}"/>
    <cellStyle name="Normal 2 4 7 10" xfId="9811" xr:uid="{7B1353B8-6B10-4A2F-8686-39F7E62AA73B}"/>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88" xr:uid="{BA693350-8D28-4CE0-B107-D3EB51818DD8}"/>
    <cellStyle name="Normal 2 4 7 2 2 2 3" xfId="12371" xr:uid="{E2C744CB-B186-46BA-8F82-D7F3087F54D1}"/>
    <cellStyle name="Normal 2 4 7 2 2 3" xfId="5117" xr:uid="{00000000-0005-0000-0000-0000DA100000}"/>
    <cellStyle name="Normal 2 4 7 2 2 3 2" xfId="14443" xr:uid="{5C6DDC6D-651B-45B8-9951-0CF0A968CCF8}"/>
    <cellStyle name="Normal 2 4 7 2 2 4" xfId="9483" xr:uid="{3D7EFF6F-050D-4214-91CB-DF2673F23584}"/>
    <cellStyle name="Normal 2 4 7 2 2 4 2" xfId="18798" xr:uid="{E2C398BD-9A97-4E9E-ACBE-86DD6C3014B1}"/>
    <cellStyle name="Normal 2 4 7 2 2 5" xfId="10226" xr:uid="{E17AE5FA-70AA-4DDA-B16F-82D6088BEAFD}"/>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7001" xr:uid="{09E0BF00-5C72-4B4D-81C1-D73093879662}"/>
    <cellStyle name="Normal 2 4 7 2 3 2 3" xfId="12784" xr:uid="{DD77A0B4-7E0C-4598-A546-998F8DCE7A16}"/>
    <cellStyle name="Normal 2 4 7 2 3 3" xfId="5530" xr:uid="{00000000-0005-0000-0000-0000DE100000}"/>
    <cellStyle name="Normal 2 4 7 2 3 3 2" xfId="14856" xr:uid="{2095A230-C637-440F-99A0-A38A682FFFCA}"/>
    <cellStyle name="Normal 2 4 7 2 3 4" xfId="10639" xr:uid="{74938D5D-4558-40D8-93A7-57E51A777B85}"/>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414" xr:uid="{7D23C8EF-B82B-4905-8A12-4870A7681ADA}"/>
    <cellStyle name="Normal 2 4 7 2 4 2 3" xfId="13197" xr:uid="{DB1F1A6E-D7F7-4FD2-AD67-99B6C00F2D2F}"/>
    <cellStyle name="Normal 2 4 7 2 4 3" xfId="5943" xr:uid="{00000000-0005-0000-0000-0000E2100000}"/>
    <cellStyle name="Normal 2 4 7 2 4 3 2" xfId="15269" xr:uid="{84418F23-031C-4875-9DAC-D49E8941E294}"/>
    <cellStyle name="Normal 2 4 7 2 4 4" xfId="11052" xr:uid="{24DECF64-7851-44C0-9A90-EC8622C4DECC}"/>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827" xr:uid="{19119090-4C95-4E7A-BE56-CFE7E21FC4B1}"/>
    <cellStyle name="Normal 2 4 7 2 5 2 3" xfId="13610" xr:uid="{F69917D8-163D-4AF3-AB16-3E7A8E935DCA}"/>
    <cellStyle name="Normal 2 4 7 2 5 3" xfId="6356" xr:uid="{00000000-0005-0000-0000-0000E6100000}"/>
    <cellStyle name="Normal 2 4 7 2 5 3 2" xfId="15682" xr:uid="{E6793DA0-C8CF-449B-A3B4-B118EC889CFB}"/>
    <cellStyle name="Normal 2 4 7 2 5 4" xfId="11465" xr:uid="{1A4D9878-4451-4AC2-820C-92C365CDF3F9}"/>
    <cellStyle name="Normal 2 4 7 2 6" xfId="2486" xr:uid="{00000000-0005-0000-0000-0000E7100000}"/>
    <cellStyle name="Normal 2 4 7 2 6 2" xfId="6769" xr:uid="{00000000-0005-0000-0000-0000E8100000}"/>
    <cellStyle name="Normal 2 4 7 2 6 2 2" xfId="16095" xr:uid="{7E304C53-C94A-4C8B-ABFB-9D5FDD1F8076}"/>
    <cellStyle name="Normal 2 4 7 2 6 3" xfId="11878" xr:uid="{379A410F-442B-43C0-B064-93C0339E2373}"/>
    <cellStyle name="Normal 2 4 7 2 7" xfId="4703" xr:uid="{00000000-0005-0000-0000-0000E9100000}"/>
    <cellStyle name="Normal 2 4 7 2 7 2" xfId="14029" xr:uid="{80338592-51E9-47CC-901B-E20D75539ADD}"/>
    <cellStyle name="Normal 2 4 7 2 8" xfId="9058" xr:uid="{FCEC438E-EF6A-4A00-BFE3-0DA309169A82}"/>
    <cellStyle name="Normal 2 4 7 2 8 2" xfId="18382" xr:uid="{01AF907C-6339-4604-8465-65EDE03C7712}"/>
    <cellStyle name="Normal 2 4 7 2 9" xfId="9812" xr:uid="{ECF0F7F3-FE96-4240-B0CD-86B230C23890}"/>
    <cellStyle name="Normal 2 4 7 3" xfId="800" xr:uid="{00000000-0005-0000-0000-0000EA100000}"/>
    <cellStyle name="Normal 2 4 7 3 2" xfId="3039" xr:uid="{00000000-0005-0000-0000-0000EB100000}"/>
    <cellStyle name="Normal 2 4 7 3 2 2" xfId="7261" xr:uid="{00000000-0005-0000-0000-0000EC100000}"/>
    <cellStyle name="Normal 2 4 7 3 2 2 2" xfId="16587" xr:uid="{83ACE406-692B-4B59-B9E0-CE7ED3D5FE40}"/>
    <cellStyle name="Normal 2 4 7 3 2 3" xfId="12370" xr:uid="{B966224E-F35B-4378-9A9D-D55C406AC1B6}"/>
    <cellStyle name="Normal 2 4 7 3 3" xfId="5116" xr:uid="{00000000-0005-0000-0000-0000ED100000}"/>
    <cellStyle name="Normal 2 4 7 3 3 2" xfId="14442" xr:uid="{C6ED780B-3F3F-4EBC-BDBF-4FEE923CFB2B}"/>
    <cellStyle name="Normal 2 4 7 3 4" xfId="9276" xr:uid="{90A81E61-1719-41E4-8673-7681E805C2E0}"/>
    <cellStyle name="Normal 2 4 7 3 4 2" xfId="18591" xr:uid="{32AF2B13-7F77-49BA-B826-48D6E8AFF76B}"/>
    <cellStyle name="Normal 2 4 7 3 5" xfId="10225" xr:uid="{A716A344-33B1-4AAA-9AEE-5F9B5FA44B53}"/>
    <cellStyle name="Normal 2 4 7 4" xfId="1222" xr:uid="{00000000-0005-0000-0000-0000EE100000}"/>
    <cellStyle name="Normal 2 4 7 4 2" xfId="3452" xr:uid="{00000000-0005-0000-0000-0000EF100000}"/>
    <cellStyle name="Normal 2 4 7 4 2 2" xfId="7674" xr:uid="{00000000-0005-0000-0000-0000F0100000}"/>
    <cellStyle name="Normal 2 4 7 4 2 2 2" xfId="17000" xr:uid="{150D8E1E-56FC-4C35-94C4-0CD9F85303A2}"/>
    <cellStyle name="Normal 2 4 7 4 2 3" xfId="12783" xr:uid="{855EEEF1-BE46-4935-9B69-C06F08A6BED9}"/>
    <cellStyle name="Normal 2 4 7 4 3" xfId="5529" xr:uid="{00000000-0005-0000-0000-0000F1100000}"/>
    <cellStyle name="Normal 2 4 7 4 3 2" xfId="14855" xr:uid="{B545AD9A-3EC3-476A-8116-3E4C766C3EC6}"/>
    <cellStyle name="Normal 2 4 7 4 4" xfId="10638" xr:uid="{0503DD6E-F8C9-4BB0-9655-20A50196A235}"/>
    <cellStyle name="Normal 2 4 7 5" xfId="1635" xr:uid="{00000000-0005-0000-0000-0000F2100000}"/>
    <cellStyle name="Normal 2 4 7 5 2" xfId="3865" xr:uid="{00000000-0005-0000-0000-0000F3100000}"/>
    <cellStyle name="Normal 2 4 7 5 2 2" xfId="8087" xr:uid="{00000000-0005-0000-0000-0000F4100000}"/>
    <cellStyle name="Normal 2 4 7 5 2 2 2" xfId="17413" xr:uid="{B16C1EAC-0667-47BF-B956-DC3F966228FE}"/>
    <cellStyle name="Normal 2 4 7 5 2 3" xfId="13196" xr:uid="{9AFE5C74-1D6E-4F4C-B197-0258C0D15E99}"/>
    <cellStyle name="Normal 2 4 7 5 3" xfId="5942" xr:uid="{00000000-0005-0000-0000-0000F5100000}"/>
    <cellStyle name="Normal 2 4 7 5 3 2" xfId="15268" xr:uid="{61E70D70-6CCA-4DEC-AF42-F9E4CF8F0FA0}"/>
    <cellStyle name="Normal 2 4 7 5 4" xfId="11051" xr:uid="{0FF7FEBE-B223-48AF-AE5E-CB953819CB64}"/>
    <cellStyle name="Normal 2 4 7 6" xfId="2049" xr:uid="{00000000-0005-0000-0000-0000F6100000}"/>
    <cellStyle name="Normal 2 4 7 6 2" xfId="4278" xr:uid="{00000000-0005-0000-0000-0000F7100000}"/>
    <cellStyle name="Normal 2 4 7 6 2 2" xfId="8500" xr:uid="{00000000-0005-0000-0000-0000F8100000}"/>
    <cellStyle name="Normal 2 4 7 6 2 2 2" xfId="17826" xr:uid="{75461307-3556-4806-A5E2-AD42462FA6AC}"/>
    <cellStyle name="Normal 2 4 7 6 2 3" xfId="13609" xr:uid="{2E28BAAD-F586-4887-9F20-D9889DBB39E4}"/>
    <cellStyle name="Normal 2 4 7 6 3" xfId="6355" xr:uid="{00000000-0005-0000-0000-0000F9100000}"/>
    <cellStyle name="Normal 2 4 7 6 3 2" xfId="15681" xr:uid="{1C52169F-34A1-48D3-9B1D-A95CB6A80910}"/>
    <cellStyle name="Normal 2 4 7 6 4" xfId="11464" xr:uid="{6E37DE73-E5F8-4F47-91F2-6B77CC378002}"/>
    <cellStyle name="Normal 2 4 7 7" xfId="2485" xr:uid="{00000000-0005-0000-0000-0000FA100000}"/>
    <cellStyle name="Normal 2 4 7 7 2" xfId="6768" xr:uid="{00000000-0005-0000-0000-0000FB100000}"/>
    <cellStyle name="Normal 2 4 7 7 2 2" xfId="16094" xr:uid="{00E5A1AB-D7BE-4635-A237-DFBF8C260873}"/>
    <cellStyle name="Normal 2 4 7 7 3" xfId="11877" xr:uid="{2D4DAD80-588C-44B5-B6ED-5DEF6D16590D}"/>
    <cellStyle name="Normal 2 4 7 8" xfId="4702" xr:uid="{00000000-0005-0000-0000-0000FC100000}"/>
    <cellStyle name="Normal 2 4 7 8 2" xfId="14028" xr:uid="{FD8C4C88-6A46-4366-9407-C88D5D07F31D}"/>
    <cellStyle name="Normal 2 4 7 9" xfId="8851" xr:uid="{6946A6C1-9296-4D8F-B36F-8F7964FD7AC6}"/>
    <cellStyle name="Normal 2 4 7 9 2" xfId="18175" xr:uid="{6ED958CF-BF80-44B9-9DCB-90C019EA786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6589" xr:uid="{EC2F8F6C-8430-423D-B7B8-D726F59F2639}"/>
    <cellStyle name="Normal 2 4 8 2 2 3" xfId="12372" xr:uid="{EE5FF5A5-6816-4C98-802D-A6E2B1E307AE}"/>
    <cellStyle name="Normal 2 4 8 2 3" xfId="5118" xr:uid="{00000000-0005-0000-0000-000001110000}"/>
    <cellStyle name="Normal 2 4 8 2 3 2" xfId="14444" xr:uid="{B257DB37-12B3-4F85-AE43-033E31FF55EB}"/>
    <cellStyle name="Normal 2 4 8 2 4" xfId="9392" xr:uid="{812B973E-E5C9-43CD-85B0-C8CA30BD9BF3}"/>
    <cellStyle name="Normal 2 4 8 2 4 2" xfId="18707" xr:uid="{90E5DBE0-BE5C-4F88-9895-812AC52E96E1}"/>
    <cellStyle name="Normal 2 4 8 2 5" xfId="10227" xr:uid="{549C5FB6-F675-40CA-B23C-8AB6B8B2B9DA}"/>
    <cellStyle name="Normal 2 4 8 3" xfId="1224" xr:uid="{00000000-0005-0000-0000-000002110000}"/>
    <cellStyle name="Normal 2 4 8 3 2" xfId="3454" xr:uid="{00000000-0005-0000-0000-000003110000}"/>
    <cellStyle name="Normal 2 4 8 3 2 2" xfId="7676" xr:uid="{00000000-0005-0000-0000-000004110000}"/>
    <cellStyle name="Normal 2 4 8 3 2 2 2" xfId="17002" xr:uid="{7C49DF56-2ADB-473E-854D-8A8D0F9D7DCE}"/>
    <cellStyle name="Normal 2 4 8 3 2 3" xfId="12785" xr:uid="{A811FD57-3342-4969-BAB7-4A7C5D25E6C8}"/>
    <cellStyle name="Normal 2 4 8 3 3" xfId="5531" xr:uid="{00000000-0005-0000-0000-000005110000}"/>
    <cellStyle name="Normal 2 4 8 3 3 2" xfId="14857" xr:uid="{5891B406-233B-4EB2-8621-FB1E66C35984}"/>
    <cellStyle name="Normal 2 4 8 3 4" xfId="10640" xr:uid="{546C0277-D9C8-4EE7-AF7E-C1875DC2804F}"/>
    <cellStyle name="Normal 2 4 8 4" xfId="1637" xr:uid="{00000000-0005-0000-0000-000006110000}"/>
    <cellStyle name="Normal 2 4 8 4 2" xfId="3867" xr:uid="{00000000-0005-0000-0000-000007110000}"/>
    <cellStyle name="Normal 2 4 8 4 2 2" xfId="8089" xr:uid="{00000000-0005-0000-0000-000008110000}"/>
    <cellStyle name="Normal 2 4 8 4 2 2 2" xfId="17415" xr:uid="{2AB80588-5AF3-4817-8413-04984038EED9}"/>
    <cellStyle name="Normal 2 4 8 4 2 3" xfId="13198" xr:uid="{1A2C4858-BAE9-41DB-B534-081B154FA130}"/>
    <cellStyle name="Normal 2 4 8 4 3" xfId="5944" xr:uid="{00000000-0005-0000-0000-000009110000}"/>
    <cellStyle name="Normal 2 4 8 4 3 2" xfId="15270" xr:uid="{6BBCE993-2842-44DD-90CC-7DB11F944C23}"/>
    <cellStyle name="Normal 2 4 8 4 4" xfId="11053" xr:uid="{2CEE9140-F1BB-4FCF-8633-C0861C723EA6}"/>
    <cellStyle name="Normal 2 4 8 5" xfId="2051" xr:uid="{00000000-0005-0000-0000-00000A110000}"/>
    <cellStyle name="Normal 2 4 8 5 2" xfId="4280" xr:uid="{00000000-0005-0000-0000-00000B110000}"/>
    <cellStyle name="Normal 2 4 8 5 2 2" xfId="8502" xr:uid="{00000000-0005-0000-0000-00000C110000}"/>
    <cellStyle name="Normal 2 4 8 5 2 2 2" xfId="17828" xr:uid="{A96C2095-285A-4D99-B3F8-F36EF702B1E0}"/>
    <cellStyle name="Normal 2 4 8 5 2 3" xfId="13611" xr:uid="{C3048F88-55AF-4DD3-A728-905FC59CD4C4}"/>
    <cellStyle name="Normal 2 4 8 5 3" xfId="6357" xr:uid="{00000000-0005-0000-0000-00000D110000}"/>
    <cellStyle name="Normal 2 4 8 5 3 2" xfId="15683" xr:uid="{E31B4531-C5C4-4770-A0DC-2D47E2836FC8}"/>
    <cellStyle name="Normal 2 4 8 5 4" xfId="11466" xr:uid="{751DD194-574A-4C6E-9602-A318B794F89A}"/>
    <cellStyle name="Normal 2 4 8 6" xfId="2487" xr:uid="{00000000-0005-0000-0000-00000E110000}"/>
    <cellStyle name="Normal 2 4 8 6 2" xfId="6770" xr:uid="{00000000-0005-0000-0000-00000F110000}"/>
    <cellStyle name="Normal 2 4 8 6 2 2" xfId="16096" xr:uid="{D72651C0-E6E2-4E01-A9D5-E280665F0269}"/>
    <cellStyle name="Normal 2 4 8 6 3" xfId="11879" xr:uid="{5F45B535-04D3-4B72-A657-E018F0CD75D8}"/>
    <cellStyle name="Normal 2 4 8 7" xfId="4704" xr:uid="{00000000-0005-0000-0000-000010110000}"/>
    <cellStyle name="Normal 2 4 8 7 2" xfId="14030" xr:uid="{EF24C46D-EA3A-4410-B3F3-DACA59503D50}"/>
    <cellStyle name="Normal 2 4 8 8" xfId="8967" xr:uid="{32AC97CD-D3FD-4AE1-A8B2-07BEA9D5DE52}"/>
    <cellStyle name="Normal 2 4 8 8 2" xfId="18291" xr:uid="{55EA6914-B62F-4CA2-9D78-9A3C1E7413C4}"/>
    <cellStyle name="Normal 2 4 8 9" xfId="9813" xr:uid="{F94E1B97-72B2-4F68-B2AA-EDBD3FE85FA2}"/>
    <cellStyle name="Normal 2 4 9" xfId="9170" xr:uid="{5569C060-E090-4551-A44D-517EC3FD1834}"/>
    <cellStyle name="Normal 2 4 9 2" xfId="18488" xr:uid="{9C31A7CB-ED4E-4905-B39A-309ED4CAAFFA}"/>
    <cellStyle name="Normal 2 5" xfId="315" xr:uid="{00000000-0005-0000-0000-000011110000}"/>
    <cellStyle name="Normal 2 5 10" xfId="4705" xr:uid="{00000000-0005-0000-0000-000012110000}"/>
    <cellStyle name="Normal 2 5 10 2" xfId="14031" xr:uid="{8123A306-5CEA-4318-8D82-67AAA7FC6998}"/>
    <cellStyle name="Normal 2 5 11" xfId="9814" xr:uid="{450FF3E7-101A-4936-BE8B-2DA124E5DCF7}"/>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0 2" xfId="18140" xr:uid="{ED95DE71-6D14-4A8C-BE6E-16E1D25B9B58}"/>
    <cellStyle name="Normal 2 5 4 11" xfId="9815" xr:uid="{4A08B3E0-9FDD-474C-A7DD-44ED6428C8C8}"/>
    <cellStyle name="Normal 2 5 4 2" xfId="319" xr:uid="{00000000-0005-0000-0000-000016110000}"/>
    <cellStyle name="Normal 2 5 4 2 10" xfId="9816" xr:uid="{F7002111-F488-4943-BAE6-BA011A4C9AA6}"/>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93" xr:uid="{779947C5-E0CB-4847-9B17-9CE6F90232B3}"/>
    <cellStyle name="Normal 2 5 4 2 2 2 2 3" xfId="12376" xr:uid="{092F3449-EB28-4995-B0C8-0AA6D2E0D8B7}"/>
    <cellStyle name="Normal 2 5 4 2 2 2 3" xfId="5122" xr:uid="{00000000-0005-0000-0000-00001B110000}"/>
    <cellStyle name="Normal 2 5 4 2 2 2 3 2" xfId="14448" xr:uid="{2B199791-3A98-45D2-A52F-7364C4564BA5}"/>
    <cellStyle name="Normal 2 5 4 2 2 2 4" xfId="9551" xr:uid="{392D7741-6781-4EA5-9C28-040053C1B05B}"/>
    <cellStyle name="Normal 2 5 4 2 2 2 4 2" xfId="18866" xr:uid="{D83E581B-9151-4D7E-9969-5383FB2044C6}"/>
    <cellStyle name="Normal 2 5 4 2 2 2 5" xfId="10231" xr:uid="{EB2545D4-BD95-44B7-B55E-939E2D573153}"/>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7006" xr:uid="{E4088789-67E9-42BA-862D-C1F9D4776AB4}"/>
    <cellStyle name="Normal 2 5 4 2 2 3 2 3" xfId="12789" xr:uid="{D83C88F8-9AC2-4590-9C98-96ADECA2DE56}"/>
    <cellStyle name="Normal 2 5 4 2 2 3 3" xfId="5535" xr:uid="{00000000-0005-0000-0000-00001F110000}"/>
    <cellStyle name="Normal 2 5 4 2 2 3 3 2" xfId="14861" xr:uid="{CC7A25D5-24BC-47F5-975B-F333B9F012A6}"/>
    <cellStyle name="Normal 2 5 4 2 2 3 4" xfId="10644" xr:uid="{84819853-3FCE-4F7C-8A78-4E70113CCAA5}"/>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419" xr:uid="{44F602CE-CBFE-45E2-8FF9-364622646D0B}"/>
    <cellStyle name="Normal 2 5 4 2 2 4 2 3" xfId="13202" xr:uid="{E2A3DF96-850B-4DBE-BF73-28DADD0EEB50}"/>
    <cellStyle name="Normal 2 5 4 2 2 4 3" xfId="5948" xr:uid="{00000000-0005-0000-0000-000023110000}"/>
    <cellStyle name="Normal 2 5 4 2 2 4 3 2" xfId="15274" xr:uid="{F31D0AAD-5980-4F2E-9335-4642368E870B}"/>
    <cellStyle name="Normal 2 5 4 2 2 4 4" xfId="11057" xr:uid="{18CD2692-BB18-4190-97D2-CE9191E08228}"/>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832" xr:uid="{6972F6FE-12B7-4641-B743-08293C6D87E1}"/>
    <cellStyle name="Normal 2 5 4 2 2 5 2 3" xfId="13615" xr:uid="{006546C8-DBFE-41A3-8DF8-8BB2E37A4884}"/>
    <cellStyle name="Normal 2 5 4 2 2 5 3" xfId="6361" xr:uid="{00000000-0005-0000-0000-000027110000}"/>
    <cellStyle name="Normal 2 5 4 2 2 5 3 2" xfId="15687" xr:uid="{ADAF0751-CB49-4451-B985-CC3CAB0BCCB7}"/>
    <cellStyle name="Normal 2 5 4 2 2 5 4" xfId="11470" xr:uid="{5BC5F43A-2C4E-4872-9FA1-9437F3841218}"/>
    <cellStyle name="Normal 2 5 4 2 2 6" xfId="2491" xr:uid="{00000000-0005-0000-0000-000028110000}"/>
    <cellStyle name="Normal 2 5 4 2 2 6 2" xfId="6774" xr:uid="{00000000-0005-0000-0000-000029110000}"/>
    <cellStyle name="Normal 2 5 4 2 2 6 2 2" xfId="16100" xr:uid="{2B7AADEE-EDFD-459D-92BC-965CD6DE2020}"/>
    <cellStyle name="Normal 2 5 4 2 2 6 3" xfId="11883" xr:uid="{C8F1FA47-E670-45B7-95C1-D3BD1D53AAEF}"/>
    <cellStyle name="Normal 2 5 4 2 2 7" xfId="4708" xr:uid="{00000000-0005-0000-0000-00002A110000}"/>
    <cellStyle name="Normal 2 5 4 2 2 7 2" xfId="14034" xr:uid="{B106F771-0B37-4AF8-85A9-4B0D10DE2801}"/>
    <cellStyle name="Normal 2 5 4 2 2 8" xfId="9126" xr:uid="{C2CF4AFD-4082-4555-941B-6E9759C32D63}"/>
    <cellStyle name="Normal 2 5 4 2 2 8 2" xfId="18450" xr:uid="{5F88DA50-2320-4F3B-A3D3-43FF50CA4AF5}"/>
    <cellStyle name="Normal 2 5 4 2 2 9" xfId="9817" xr:uid="{4A2B77C0-34E7-4956-BC5E-1B44B8802558}"/>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92" xr:uid="{886D18BA-88BD-486C-A966-2C5A841FBF5E}"/>
    <cellStyle name="Normal 2 5 4 2 3 2 3" xfId="12375" xr:uid="{705F5BA6-4037-420E-92F7-B35A8BD558F0}"/>
    <cellStyle name="Normal 2 5 4 2 3 3" xfId="5121" xr:uid="{00000000-0005-0000-0000-00002E110000}"/>
    <cellStyle name="Normal 2 5 4 2 3 3 2" xfId="14447" xr:uid="{2E9171EF-18D1-4BA1-9A52-B4236483B0BF}"/>
    <cellStyle name="Normal 2 5 4 2 3 4" xfId="9344" xr:uid="{207B8A34-09D9-4349-A9C7-5A5A998C6B6F}"/>
    <cellStyle name="Normal 2 5 4 2 3 4 2" xfId="18659" xr:uid="{B60B4BCA-A93E-4B72-BE3E-3F6B7E71B473}"/>
    <cellStyle name="Normal 2 5 4 2 3 5" xfId="10230" xr:uid="{8EE7BBFA-6B2C-4B7A-A14D-21B49D681317}"/>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7005" xr:uid="{3C391CCD-4CD4-4F51-8506-2E52FBBD1FA0}"/>
    <cellStyle name="Normal 2 5 4 2 4 2 3" xfId="12788" xr:uid="{D1C88783-B11D-47E6-AC49-B6EF67279FCB}"/>
    <cellStyle name="Normal 2 5 4 2 4 3" xfId="5534" xr:uid="{00000000-0005-0000-0000-000032110000}"/>
    <cellStyle name="Normal 2 5 4 2 4 3 2" xfId="14860" xr:uid="{4FA6D235-3847-4001-B841-6836A84ADA6A}"/>
    <cellStyle name="Normal 2 5 4 2 4 4" xfId="10643" xr:uid="{4E45CB03-5E51-489D-B4B2-BA3A866E5167}"/>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418" xr:uid="{EBFE8033-228B-4FA4-BD82-4507685EDAF3}"/>
    <cellStyle name="Normal 2 5 4 2 5 2 3" xfId="13201" xr:uid="{7F17E76F-5ADC-41EC-9190-9461F162F4C5}"/>
    <cellStyle name="Normal 2 5 4 2 5 3" xfId="5947" xr:uid="{00000000-0005-0000-0000-000036110000}"/>
    <cellStyle name="Normal 2 5 4 2 5 3 2" xfId="15273" xr:uid="{491296F3-E09F-4D76-9762-A7B6414796FA}"/>
    <cellStyle name="Normal 2 5 4 2 5 4" xfId="11056" xr:uid="{F811473F-504F-4CA2-8686-4165361E3F7C}"/>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831" xr:uid="{2B4A93ED-6615-499F-8253-B9D4615064A7}"/>
    <cellStyle name="Normal 2 5 4 2 6 2 3" xfId="13614" xr:uid="{AE7923F1-0828-4375-8E2D-54E87137809D}"/>
    <cellStyle name="Normal 2 5 4 2 6 3" xfId="6360" xr:uid="{00000000-0005-0000-0000-00003A110000}"/>
    <cellStyle name="Normal 2 5 4 2 6 3 2" xfId="15686" xr:uid="{7C795ED4-921D-4E37-9283-8F72B1632FC1}"/>
    <cellStyle name="Normal 2 5 4 2 6 4" xfId="11469" xr:uid="{43CD3B4C-EC3B-4D34-B5AB-34B4582DC5E8}"/>
    <cellStyle name="Normal 2 5 4 2 7" xfId="2490" xr:uid="{00000000-0005-0000-0000-00003B110000}"/>
    <cellStyle name="Normal 2 5 4 2 7 2" xfId="6773" xr:uid="{00000000-0005-0000-0000-00003C110000}"/>
    <cellStyle name="Normal 2 5 4 2 7 2 2" xfId="16099" xr:uid="{2730045F-0145-4AB0-976D-DDD85D645AA1}"/>
    <cellStyle name="Normal 2 5 4 2 7 3" xfId="11882" xr:uid="{25440435-FF44-4484-BBCC-962A296E2FCD}"/>
    <cellStyle name="Normal 2 5 4 2 8" xfId="4707" xr:uid="{00000000-0005-0000-0000-00003D110000}"/>
    <cellStyle name="Normal 2 5 4 2 8 2" xfId="14033" xr:uid="{ED3D1335-6AFA-4D45-B3A2-BBEDE874CA03}"/>
    <cellStyle name="Normal 2 5 4 2 9" xfId="8919" xr:uid="{2A8C96F6-0F22-4271-BCA3-7E5B2E35A54F}"/>
    <cellStyle name="Normal 2 5 4 2 9 2" xfId="18243" xr:uid="{8A8A2F2F-DAFE-40E4-9B13-67E0C51E2683}"/>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94" xr:uid="{501AECD6-A3F0-4760-8CBF-596FC1B02234}"/>
    <cellStyle name="Normal 2 5 4 3 2 2 3" xfId="12377" xr:uid="{C91FE979-A166-4621-9F9A-999BDC362F2D}"/>
    <cellStyle name="Normal 2 5 4 3 2 3" xfId="5123" xr:uid="{00000000-0005-0000-0000-000042110000}"/>
    <cellStyle name="Normal 2 5 4 3 2 3 2" xfId="14449" xr:uid="{CF2FDA9C-05C5-4929-8A1A-3076946975FD}"/>
    <cellStyle name="Normal 2 5 4 3 2 4" xfId="9448" xr:uid="{0C1738F2-697E-4430-8A3F-E67747B3EDB0}"/>
    <cellStyle name="Normal 2 5 4 3 2 4 2" xfId="18763" xr:uid="{7E3DD0FB-CAEC-47AA-8D97-10A4D8A9186D}"/>
    <cellStyle name="Normal 2 5 4 3 2 5" xfId="10232" xr:uid="{8DA3EB91-3567-4DF7-9135-41D8FB37484B}"/>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7007" xr:uid="{829C1E76-596B-488B-B2BC-EB34889869E3}"/>
    <cellStyle name="Normal 2 5 4 3 3 2 3" xfId="12790" xr:uid="{425AC3AB-A217-4DF1-A1A6-638B34ECC8F1}"/>
    <cellStyle name="Normal 2 5 4 3 3 3" xfId="5536" xr:uid="{00000000-0005-0000-0000-000046110000}"/>
    <cellStyle name="Normal 2 5 4 3 3 3 2" xfId="14862" xr:uid="{8E4BF39E-3FC9-4944-B065-43FCD8ED36C1}"/>
    <cellStyle name="Normal 2 5 4 3 3 4" xfId="10645" xr:uid="{E5E3B8E1-EAE9-4351-BE12-C541A373AA2B}"/>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420" xr:uid="{CB6A3C2D-DC23-4559-AFA6-7968855EEB51}"/>
    <cellStyle name="Normal 2 5 4 3 4 2 3" xfId="13203" xr:uid="{313CF2A3-C936-4610-83C3-B4D00192879C}"/>
    <cellStyle name="Normal 2 5 4 3 4 3" xfId="5949" xr:uid="{00000000-0005-0000-0000-00004A110000}"/>
    <cellStyle name="Normal 2 5 4 3 4 3 2" xfId="15275" xr:uid="{A2591E05-5F9E-4ED6-B443-C0FD51B9439C}"/>
    <cellStyle name="Normal 2 5 4 3 4 4" xfId="11058" xr:uid="{15DD9ADF-B681-4FC3-A95B-2FF94EE1853D}"/>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833" xr:uid="{39A226FC-DF2E-4D51-AA0B-B2885B0E182F}"/>
    <cellStyle name="Normal 2 5 4 3 5 2 3" xfId="13616" xr:uid="{BAED60D3-4D27-4CE5-BCBA-639468384968}"/>
    <cellStyle name="Normal 2 5 4 3 5 3" xfId="6362" xr:uid="{00000000-0005-0000-0000-00004E110000}"/>
    <cellStyle name="Normal 2 5 4 3 5 3 2" xfId="15688" xr:uid="{A3407706-BA7E-4A35-A45B-CC218494F248}"/>
    <cellStyle name="Normal 2 5 4 3 5 4" xfId="11471" xr:uid="{368929F5-E7A2-4A37-B087-E2B26917586E}"/>
    <cellStyle name="Normal 2 5 4 3 6" xfId="2492" xr:uid="{00000000-0005-0000-0000-00004F110000}"/>
    <cellStyle name="Normal 2 5 4 3 6 2" xfId="6775" xr:uid="{00000000-0005-0000-0000-000050110000}"/>
    <cellStyle name="Normal 2 5 4 3 6 2 2" xfId="16101" xr:uid="{09C1C6AC-109A-4F12-8F37-C5D72A2D0332}"/>
    <cellStyle name="Normal 2 5 4 3 6 3" xfId="11884" xr:uid="{196DF349-41CE-483B-BA6D-4FF6E164065C}"/>
    <cellStyle name="Normal 2 5 4 3 7" xfId="4709" xr:uid="{00000000-0005-0000-0000-000051110000}"/>
    <cellStyle name="Normal 2 5 4 3 7 2" xfId="14035" xr:uid="{F5E90E93-11EE-47FA-8F75-77FEF9427F62}"/>
    <cellStyle name="Normal 2 5 4 3 8" xfId="9023" xr:uid="{9B869639-3DD4-4511-AD70-D5125D34938F}"/>
    <cellStyle name="Normal 2 5 4 3 8 2" xfId="18347" xr:uid="{9CAE3072-94E9-47FE-8355-E38C0FA5912D}"/>
    <cellStyle name="Normal 2 5 4 3 9" xfId="9818" xr:uid="{442A1D9E-37D7-47A7-A1EE-16A82FBC2B15}"/>
    <cellStyle name="Normal 2 5 4 4" xfId="804" xr:uid="{00000000-0005-0000-0000-000052110000}"/>
    <cellStyle name="Normal 2 5 4 4 2" xfId="3043" xr:uid="{00000000-0005-0000-0000-000053110000}"/>
    <cellStyle name="Normal 2 5 4 4 2 2" xfId="7265" xr:uid="{00000000-0005-0000-0000-000054110000}"/>
    <cellStyle name="Normal 2 5 4 4 2 2 2" xfId="16591" xr:uid="{E3889384-6698-415B-9FA5-455D0DF3B72E}"/>
    <cellStyle name="Normal 2 5 4 4 2 3" xfId="12374" xr:uid="{36222D47-0B97-4E4C-BF4F-1B086E5DD365}"/>
    <cellStyle name="Normal 2 5 4 4 3" xfId="5120" xr:uid="{00000000-0005-0000-0000-000055110000}"/>
    <cellStyle name="Normal 2 5 4 4 3 2" xfId="14446" xr:uid="{778BB36F-7212-4886-BB0B-5B91CABC3972}"/>
    <cellStyle name="Normal 2 5 4 4 4" xfId="9241" xr:uid="{2BD2F05F-E4C9-46B4-B3C9-F0D081C1F38F}"/>
    <cellStyle name="Normal 2 5 4 4 4 2" xfId="18556" xr:uid="{06CE641E-3026-4F9E-A372-778D4303EB06}"/>
    <cellStyle name="Normal 2 5 4 4 5" xfId="10229" xr:uid="{D5A08E08-5D2E-473F-843B-DAF6555C14B5}"/>
    <cellStyle name="Normal 2 5 4 5" xfId="1226" xr:uid="{00000000-0005-0000-0000-000056110000}"/>
    <cellStyle name="Normal 2 5 4 5 2" xfId="3456" xr:uid="{00000000-0005-0000-0000-000057110000}"/>
    <cellStyle name="Normal 2 5 4 5 2 2" xfId="7678" xr:uid="{00000000-0005-0000-0000-000058110000}"/>
    <cellStyle name="Normal 2 5 4 5 2 2 2" xfId="17004" xr:uid="{5764B8C0-36DD-407A-85B8-E7DA1FC9C2D9}"/>
    <cellStyle name="Normal 2 5 4 5 2 3" xfId="12787" xr:uid="{CA0E8B11-609E-4C0A-9A83-40242FAC07A2}"/>
    <cellStyle name="Normal 2 5 4 5 3" xfId="5533" xr:uid="{00000000-0005-0000-0000-000059110000}"/>
    <cellStyle name="Normal 2 5 4 5 3 2" xfId="14859" xr:uid="{4F2BAB38-B1E2-4B70-AE83-01D1CCAFADD4}"/>
    <cellStyle name="Normal 2 5 4 5 4" xfId="10642" xr:uid="{2CDB3018-DD81-414B-B66A-CCF4D923FA55}"/>
    <cellStyle name="Normal 2 5 4 6" xfId="1639" xr:uid="{00000000-0005-0000-0000-00005A110000}"/>
    <cellStyle name="Normal 2 5 4 6 2" xfId="3869" xr:uid="{00000000-0005-0000-0000-00005B110000}"/>
    <cellStyle name="Normal 2 5 4 6 2 2" xfId="8091" xr:uid="{00000000-0005-0000-0000-00005C110000}"/>
    <cellStyle name="Normal 2 5 4 6 2 2 2" xfId="17417" xr:uid="{83919F3C-0FF6-4601-A12B-E2C59D1D59BC}"/>
    <cellStyle name="Normal 2 5 4 6 2 3" xfId="13200" xr:uid="{103E265E-7C08-42A1-86C8-EAE916D3EF24}"/>
    <cellStyle name="Normal 2 5 4 6 3" xfId="5946" xr:uid="{00000000-0005-0000-0000-00005D110000}"/>
    <cellStyle name="Normal 2 5 4 6 3 2" xfId="15272" xr:uid="{56EB0485-D876-4F45-9EEA-8D451A7AC082}"/>
    <cellStyle name="Normal 2 5 4 6 4" xfId="11055" xr:uid="{08D722A8-A8FB-4317-BC6D-46363DAF9740}"/>
    <cellStyle name="Normal 2 5 4 7" xfId="2053" xr:uid="{00000000-0005-0000-0000-00005E110000}"/>
    <cellStyle name="Normal 2 5 4 7 2" xfId="4282" xr:uid="{00000000-0005-0000-0000-00005F110000}"/>
    <cellStyle name="Normal 2 5 4 7 2 2" xfId="8504" xr:uid="{00000000-0005-0000-0000-000060110000}"/>
    <cellStyle name="Normal 2 5 4 7 2 2 2" xfId="17830" xr:uid="{9C26C684-C8A5-4B51-8B86-7F22F487DD3D}"/>
    <cellStyle name="Normal 2 5 4 7 2 3" xfId="13613" xr:uid="{C8B8420A-7BAC-4539-8792-CD6BC9F4B75E}"/>
    <cellStyle name="Normal 2 5 4 7 3" xfId="6359" xr:uid="{00000000-0005-0000-0000-000061110000}"/>
    <cellStyle name="Normal 2 5 4 7 3 2" xfId="15685" xr:uid="{B7AE7142-D544-470D-B253-9A3E8690742B}"/>
    <cellStyle name="Normal 2 5 4 7 4" xfId="11468" xr:uid="{0F234D4B-790E-4FB9-88C3-F0B3F339FAC7}"/>
    <cellStyle name="Normal 2 5 4 8" xfId="2489" xr:uid="{00000000-0005-0000-0000-000062110000}"/>
    <cellStyle name="Normal 2 5 4 8 2" xfId="6772" xr:uid="{00000000-0005-0000-0000-000063110000}"/>
    <cellStyle name="Normal 2 5 4 8 2 2" xfId="16098" xr:uid="{6858CCE8-BFA9-4C2F-9FAC-C41C600FD66A}"/>
    <cellStyle name="Normal 2 5 4 8 3" xfId="11881" xr:uid="{BF2F6BC8-6D3D-4380-B99E-2207FBEA8F0C}"/>
    <cellStyle name="Normal 2 5 4 9" xfId="4706" xr:uid="{00000000-0005-0000-0000-000064110000}"/>
    <cellStyle name="Normal 2 5 4 9 2" xfId="14032" xr:uid="{B80F0018-E1AB-4EA0-BAE2-7AE35E1A8A2B}"/>
    <cellStyle name="Normal 2 5 5" xfId="803" xr:uid="{00000000-0005-0000-0000-000065110000}"/>
    <cellStyle name="Normal 2 5 5 2" xfId="3042" xr:uid="{00000000-0005-0000-0000-000066110000}"/>
    <cellStyle name="Normal 2 5 5 2 2" xfId="7264" xr:uid="{00000000-0005-0000-0000-000067110000}"/>
    <cellStyle name="Normal 2 5 5 2 2 2" xfId="16590" xr:uid="{27EC2DB2-8F4B-40E0-9F7B-B8ED08DE1B49}"/>
    <cellStyle name="Normal 2 5 5 2 3" xfId="12373" xr:uid="{88104689-744B-45EA-8006-AD06D9FB262A}"/>
    <cellStyle name="Normal 2 5 5 3" xfId="5119" xr:uid="{00000000-0005-0000-0000-000068110000}"/>
    <cellStyle name="Normal 2 5 5 3 2" xfId="14445" xr:uid="{9F75F221-D7A2-4842-9A24-6A5C13347DC0}"/>
    <cellStyle name="Normal 2 5 5 4" xfId="9606" xr:uid="{3AE4D77A-44EE-40C2-9F71-05FBDE2746B2}"/>
    <cellStyle name="Normal 2 5 5 4 2" xfId="18907" xr:uid="{B6EB8EEF-40F0-45CC-82FE-E425A44C7538}"/>
    <cellStyle name="Normal 2 5 5 5" xfId="10228" xr:uid="{ACF2ADC4-DD09-4AF0-91EC-F9486052570D}"/>
    <cellStyle name="Normal 2 5 6" xfId="1225" xr:uid="{00000000-0005-0000-0000-000069110000}"/>
    <cellStyle name="Normal 2 5 6 2" xfId="3455" xr:uid="{00000000-0005-0000-0000-00006A110000}"/>
    <cellStyle name="Normal 2 5 6 2 2" xfId="7677" xr:uid="{00000000-0005-0000-0000-00006B110000}"/>
    <cellStyle name="Normal 2 5 6 2 2 2" xfId="17003" xr:uid="{676751E9-FF3A-4E1C-B84C-444D40E5CB06}"/>
    <cellStyle name="Normal 2 5 6 2 3" xfId="12786" xr:uid="{E5E81F65-CC13-437B-9050-6665148A4141}"/>
    <cellStyle name="Normal 2 5 6 3" xfId="5532" xr:uid="{00000000-0005-0000-0000-00006C110000}"/>
    <cellStyle name="Normal 2 5 6 3 2" xfId="14858" xr:uid="{C9EF772B-B6C3-4B9A-909C-6D6ADFDDD2D8}"/>
    <cellStyle name="Normal 2 5 6 4" xfId="10641" xr:uid="{CBADE99C-66DF-47CC-8A25-97434A90EAB7}"/>
    <cellStyle name="Normal 2 5 7" xfId="1638" xr:uid="{00000000-0005-0000-0000-00006D110000}"/>
    <cellStyle name="Normal 2 5 7 2" xfId="3868" xr:uid="{00000000-0005-0000-0000-00006E110000}"/>
    <cellStyle name="Normal 2 5 7 2 2" xfId="8090" xr:uid="{00000000-0005-0000-0000-00006F110000}"/>
    <cellStyle name="Normal 2 5 7 2 2 2" xfId="17416" xr:uid="{CA1AC02D-2A74-48E0-BBC6-6C8EF2255841}"/>
    <cellStyle name="Normal 2 5 7 2 3" xfId="13199" xr:uid="{F6553C09-D264-4B88-8745-5907EFF03E5B}"/>
    <cellStyle name="Normal 2 5 7 3" xfId="5945" xr:uid="{00000000-0005-0000-0000-000070110000}"/>
    <cellStyle name="Normal 2 5 7 3 2" xfId="15271" xr:uid="{DC9FCA07-23EE-486B-8BD1-5E0BE91B289C}"/>
    <cellStyle name="Normal 2 5 7 4" xfId="11054" xr:uid="{02EEE122-E2B7-4A0A-B512-EA21F6279825}"/>
    <cellStyle name="Normal 2 5 8" xfId="2052" xr:uid="{00000000-0005-0000-0000-000071110000}"/>
    <cellStyle name="Normal 2 5 8 2" xfId="4281" xr:uid="{00000000-0005-0000-0000-000072110000}"/>
    <cellStyle name="Normal 2 5 8 2 2" xfId="8503" xr:uid="{00000000-0005-0000-0000-000073110000}"/>
    <cellStyle name="Normal 2 5 8 2 2 2" xfId="17829" xr:uid="{573051D5-B40F-46DD-9438-3D6344EAA36E}"/>
    <cellStyle name="Normal 2 5 8 2 3" xfId="13612" xr:uid="{2D691CDD-740D-4219-A7C5-E53FE8DB4B47}"/>
    <cellStyle name="Normal 2 5 8 3" xfId="6358" xr:uid="{00000000-0005-0000-0000-000074110000}"/>
    <cellStyle name="Normal 2 5 8 3 2" xfId="15684" xr:uid="{6E51B26F-FDA7-4E1F-BBDF-AF17CA422FD8}"/>
    <cellStyle name="Normal 2 5 8 4" xfId="11467" xr:uid="{E2B6D382-3D77-44C1-94E2-95A1A45108BF}"/>
    <cellStyle name="Normal 2 5 9" xfId="2488" xr:uid="{00000000-0005-0000-0000-000075110000}"/>
    <cellStyle name="Normal 2 5 9 2" xfId="6771" xr:uid="{00000000-0005-0000-0000-000076110000}"/>
    <cellStyle name="Normal 2 5 9 2 2" xfId="16097" xr:uid="{66190C9C-F12C-4263-9CDB-E21A6F0BF449}"/>
    <cellStyle name="Normal 2 5 9 3" xfId="11880" xr:uid="{55BA819A-88FA-4FC4-BF02-00E3001CFF0C}"/>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7 3 2" xfId="18479" xr:uid="{422A72B6-EDA3-4826-A50C-52548A03CEEB}"/>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9819" xr:uid="{69FF3736-6451-478D-92F2-35A4C9B0F012}"/>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0 2" xfId="18141" xr:uid="{A474740C-429D-422C-969B-97617D7FCE4E}"/>
    <cellStyle name="Normal 3 2 3 11" xfId="9820" xr:uid="{A3B76325-3F8E-44DC-882D-3AD20143D1EA}"/>
    <cellStyle name="Normal 3 2 3 2" xfId="327" xr:uid="{00000000-0005-0000-0000-00007F110000}"/>
    <cellStyle name="Normal 3 2 3 2 10" xfId="9821" xr:uid="{54D80D36-FD36-4D50-8DC7-3518295CB607}"/>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98" xr:uid="{14CC7BD5-AD0C-41E2-80D3-8EB563167DAB}"/>
    <cellStyle name="Normal 3 2 3 2 2 2 2 3" xfId="12381" xr:uid="{5DE85A78-2968-460C-8E69-7061F25E249C}"/>
    <cellStyle name="Normal 3 2 3 2 2 2 3" xfId="5127" xr:uid="{00000000-0005-0000-0000-000084110000}"/>
    <cellStyle name="Normal 3 2 3 2 2 2 3 2" xfId="14453" xr:uid="{BA6B5E82-D19C-441B-A738-E33443152B1B}"/>
    <cellStyle name="Normal 3 2 3 2 2 2 4" xfId="9552" xr:uid="{54198C1B-8B77-4C07-BFED-28C4D4E00A0C}"/>
    <cellStyle name="Normal 3 2 3 2 2 2 4 2" xfId="18867" xr:uid="{6C297A06-2A31-41ED-894F-476CC30453B3}"/>
    <cellStyle name="Normal 3 2 3 2 2 2 5" xfId="10236" xr:uid="{E78D4AEC-3A36-4839-A7F4-BD8D33C0F552}"/>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7011" xr:uid="{A58B30C4-9717-4316-8B31-A0B7238C47A5}"/>
    <cellStyle name="Normal 3 2 3 2 2 3 2 3" xfId="12794" xr:uid="{DE4D4EE9-F5EE-4B2E-9A9F-3E1D1D3D35D1}"/>
    <cellStyle name="Normal 3 2 3 2 2 3 3" xfId="5540" xr:uid="{00000000-0005-0000-0000-000088110000}"/>
    <cellStyle name="Normal 3 2 3 2 2 3 3 2" xfId="14866" xr:uid="{C161C1B5-78BD-484A-BCCF-63BF8754DE26}"/>
    <cellStyle name="Normal 3 2 3 2 2 3 4" xfId="10649" xr:uid="{8CAA5618-BE1F-4828-989A-6BBF027860EB}"/>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424" xr:uid="{A3E7AC41-EBED-4A12-9B17-6D32CA798C5B}"/>
    <cellStyle name="Normal 3 2 3 2 2 4 2 3" xfId="13207" xr:uid="{63C57D21-A127-4E1B-9C2D-ABF2CAED7968}"/>
    <cellStyle name="Normal 3 2 3 2 2 4 3" xfId="5953" xr:uid="{00000000-0005-0000-0000-00008C110000}"/>
    <cellStyle name="Normal 3 2 3 2 2 4 3 2" xfId="15279" xr:uid="{F0760E42-91EF-4198-95BE-73B1686F3A1D}"/>
    <cellStyle name="Normal 3 2 3 2 2 4 4" xfId="11062" xr:uid="{6F515C34-9D17-4FBB-9AC2-11B98F4A2574}"/>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837" xr:uid="{0801A986-7765-4A1C-A39D-B39910E18EF5}"/>
    <cellStyle name="Normal 3 2 3 2 2 5 2 3" xfId="13620" xr:uid="{6EB44787-4082-48D3-A9A8-854A250BCD1D}"/>
    <cellStyle name="Normal 3 2 3 2 2 5 3" xfId="6366" xr:uid="{00000000-0005-0000-0000-000090110000}"/>
    <cellStyle name="Normal 3 2 3 2 2 5 3 2" xfId="15692" xr:uid="{3F1A0CD6-5B5D-4612-915A-E15269D63C99}"/>
    <cellStyle name="Normal 3 2 3 2 2 5 4" xfId="11475" xr:uid="{770E014E-3338-4BB7-AF85-760BD7D41069}"/>
    <cellStyle name="Normal 3 2 3 2 2 6" xfId="2496" xr:uid="{00000000-0005-0000-0000-000091110000}"/>
    <cellStyle name="Normal 3 2 3 2 2 6 2" xfId="6779" xr:uid="{00000000-0005-0000-0000-000092110000}"/>
    <cellStyle name="Normal 3 2 3 2 2 6 2 2" xfId="16105" xr:uid="{217E8632-2AE1-4C70-8436-41B555F4EB5C}"/>
    <cellStyle name="Normal 3 2 3 2 2 6 3" xfId="11888" xr:uid="{A86A93AB-B9F3-4F3E-AF41-5A1FA319461A}"/>
    <cellStyle name="Normal 3 2 3 2 2 7" xfId="4713" xr:uid="{00000000-0005-0000-0000-000093110000}"/>
    <cellStyle name="Normal 3 2 3 2 2 7 2" xfId="14039" xr:uid="{81C75000-3B7D-4C4F-B06A-A5414AF5FB70}"/>
    <cellStyle name="Normal 3 2 3 2 2 8" xfId="9127" xr:uid="{0583B12A-AAD6-4358-9C0C-42D6EBC3DFD8}"/>
    <cellStyle name="Normal 3 2 3 2 2 8 2" xfId="18451" xr:uid="{533B989F-4176-428D-A5FA-C1B0EABA32D3}"/>
    <cellStyle name="Normal 3 2 3 2 2 9" xfId="9822" xr:uid="{766825C2-46D3-42E9-AE89-6C4169C5F83D}"/>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97" xr:uid="{E858798C-B773-43FC-B495-416A7DEBA895}"/>
    <cellStyle name="Normal 3 2 3 2 3 2 3" xfId="12380" xr:uid="{B03E5056-0B2F-4B2B-8E07-B15CB9594F40}"/>
    <cellStyle name="Normal 3 2 3 2 3 3" xfId="5126" xr:uid="{00000000-0005-0000-0000-000097110000}"/>
    <cellStyle name="Normal 3 2 3 2 3 3 2" xfId="14452" xr:uid="{1217A6F3-936B-4FF5-B6FB-EF46C632CB99}"/>
    <cellStyle name="Normal 3 2 3 2 3 4" xfId="9345" xr:uid="{C34A3811-3C7F-4E99-A17A-CCF74A426C86}"/>
    <cellStyle name="Normal 3 2 3 2 3 4 2" xfId="18660" xr:uid="{EA2F759E-FCEE-4411-AC55-EDA01D27AFE4}"/>
    <cellStyle name="Normal 3 2 3 2 3 5" xfId="10235" xr:uid="{66A53B0A-DBDD-4A21-8241-446ED2388CAD}"/>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7010" xr:uid="{5453457D-4B89-446C-961E-128FD2531F42}"/>
    <cellStyle name="Normal 3 2 3 2 4 2 3" xfId="12793" xr:uid="{3319F8A2-4DEE-4DEE-A513-A53D3B89FAEF}"/>
    <cellStyle name="Normal 3 2 3 2 4 3" xfId="5539" xr:uid="{00000000-0005-0000-0000-00009B110000}"/>
    <cellStyle name="Normal 3 2 3 2 4 3 2" xfId="14865" xr:uid="{B1B4E181-CDAD-4544-82F0-B985DBC08D70}"/>
    <cellStyle name="Normal 3 2 3 2 4 4" xfId="10648" xr:uid="{3B3DF0B6-B12A-4FF9-BD27-30C5BAFD7ED8}"/>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423" xr:uid="{5304C334-335C-4CE9-BD90-7D826F667ABA}"/>
    <cellStyle name="Normal 3 2 3 2 5 2 3" xfId="13206" xr:uid="{F9EC5857-C758-4B4C-ABBF-11F80B01DE4C}"/>
    <cellStyle name="Normal 3 2 3 2 5 3" xfId="5952" xr:uid="{00000000-0005-0000-0000-00009F110000}"/>
    <cellStyle name="Normal 3 2 3 2 5 3 2" xfId="15278" xr:uid="{321E6FFF-45C4-4AF0-A894-2EEDEF1D9690}"/>
    <cellStyle name="Normal 3 2 3 2 5 4" xfId="11061" xr:uid="{4E088C01-0415-47B5-8991-7450F5767A82}"/>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836" xr:uid="{FC823CB7-0AF6-4EED-B316-D0DC6CE358B8}"/>
    <cellStyle name="Normal 3 2 3 2 6 2 3" xfId="13619" xr:uid="{1FA839CB-65F6-4443-A2DD-BB91F600DF56}"/>
    <cellStyle name="Normal 3 2 3 2 6 3" xfId="6365" xr:uid="{00000000-0005-0000-0000-0000A3110000}"/>
    <cellStyle name="Normal 3 2 3 2 6 3 2" xfId="15691" xr:uid="{66C1352E-3CF7-42AB-B1B7-AFA87BF17DCA}"/>
    <cellStyle name="Normal 3 2 3 2 6 4" xfId="11474" xr:uid="{DD2B9421-450B-4D3B-BC7C-2E20FDB47D90}"/>
    <cellStyle name="Normal 3 2 3 2 7" xfId="2495" xr:uid="{00000000-0005-0000-0000-0000A4110000}"/>
    <cellStyle name="Normal 3 2 3 2 7 2" xfId="6778" xr:uid="{00000000-0005-0000-0000-0000A5110000}"/>
    <cellStyle name="Normal 3 2 3 2 7 2 2" xfId="16104" xr:uid="{D3993F1D-4985-4A6F-9D88-28157109326B}"/>
    <cellStyle name="Normal 3 2 3 2 7 3" xfId="11887" xr:uid="{471A5624-A384-4236-A2F2-B2D26C35C517}"/>
    <cellStyle name="Normal 3 2 3 2 8" xfId="4712" xr:uid="{00000000-0005-0000-0000-0000A6110000}"/>
    <cellStyle name="Normal 3 2 3 2 8 2" xfId="14038" xr:uid="{E3D93B03-790E-4DAB-8718-8B6329AF1660}"/>
    <cellStyle name="Normal 3 2 3 2 9" xfId="8920" xr:uid="{D9E0825A-068A-435C-BDBE-2C0571A11FAF}"/>
    <cellStyle name="Normal 3 2 3 2 9 2" xfId="18244" xr:uid="{4DD2584A-168B-40DF-A8C0-247F2894D764}"/>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99" xr:uid="{433B8192-9A52-40B5-ABDC-59D1ADC6B103}"/>
    <cellStyle name="Normal 3 2 3 3 2 2 3" xfId="12382" xr:uid="{EA7ED51A-9C3A-4EA8-8C5C-233FAFBA2500}"/>
    <cellStyle name="Normal 3 2 3 3 2 3" xfId="5128" xr:uid="{00000000-0005-0000-0000-0000AB110000}"/>
    <cellStyle name="Normal 3 2 3 3 2 3 2" xfId="14454" xr:uid="{66698F3F-F5C3-44DB-AF54-D097BD4DE28D}"/>
    <cellStyle name="Normal 3 2 3 3 2 4" xfId="9449" xr:uid="{7F58A2DC-DF16-44D1-8D09-04DD41EF4468}"/>
    <cellStyle name="Normal 3 2 3 3 2 4 2" xfId="18764" xr:uid="{E408DF70-F9BE-4E19-921B-7041EF64450F}"/>
    <cellStyle name="Normal 3 2 3 3 2 5" xfId="10237" xr:uid="{D1148881-6697-4272-93ED-A98D15BFAE1B}"/>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7012" xr:uid="{CFC64FD5-825F-4374-B39A-9219B33324CA}"/>
    <cellStyle name="Normal 3 2 3 3 3 2 3" xfId="12795" xr:uid="{634CD830-5489-44F3-B224-FBB0B879D1C1}"/>
    <cellStyle name="Normal 3 2 3 3 3 3" xfId="5541" xr:uid="{00000000-0005-0000-0000-0000AF110000}"/>
    <cellStyle name="Normal 3 2 3 3 3 3 2" xfId="14867" xr:uid="{40B27730-288D-4D98-9F0D-0ACFF5FB5D1E}"/>
    <cellStyle name="Normal 3 2 3 3 3 4" xfId="10650" xr:uid="{0259F720-BBA3-472C-8701-7BA07DE36A93}"/>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425" xr:uid="{064DEA6D-C1C2-437A-B2FA-6921D6915D87}"/>
    <cellStyle name="Normal 3 2 3 3 4 2 3" xfId="13208" xr:uid="{441EE4CB-FF4B-4853-A37D-4BCA91105282}"/>
    <cellStyle name="Normal 3 2 3 3 4 3" xfId="5954" xr:uid="{00000000-0005-0000-0000-0000B3110000}"/>
    <cellStyle name="Normal 3 2 3 3 4 3 2" xfId="15280" xr:uid="{19CE2769-3E8A-44EA-8AC6-A1357D3E09BD}"/>
    <cellStyle name="Normal 3 2 3 3 4 4" xfId="11063" xr:uid="{7033F6B0-9FE1-42ED-8C16-F5BB303094C1}"/>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838" xr:uid="{AD4FDC86-7410-4749-90AC-17FB3FA017AE}"/>
    <cellStyle name="Normal 3 2 3 3 5 2 3" xfId="13621" xr:uid="{20CB87C7-78DB-49D8-8E99-2460E9456300}"/>
    <cellStyle name="Normal 3 2 3 3 5 3" xfId="6367" xr:uid="{00000000-0005-0000-0000-0000B7110000}"/>
    <cellStyle name="Normal 3 2 3 3 5 3 2" xfId="15693" xr:uid="{3D88B46E-963F-46B5-B0BE-A6877701A5C4}"/>
    <cellStyle name="Normal 3 2 3 3 5 4" xfId="11476" xr:uid="{B76DBB05-F953-4B09-A28C-8705BA71DCB7}"/>
    <cellStyle name="Normal 3 2 3 3 6" xfId="2497" xr:uid="{00000000-0005-0000-0000-0000B8110000}"/>
    <cellStyle name="Normal 3 2 3 3 6 2" xfId="6780" xr:uid="{00000000-0005-0000-0000-0000B9110000}"/>
    <cellStyle name="Normal 3 2 3 3 6 2 2" xfId="16106" xr:uid="{EB189281-4599-403E-90CF-BE260640E6CB}"/>
    <cellStyle name="Normal 3 2 3 3 6 3" xfId="11889" xr:uid="{45584403-A465-4040-8E0B-BB41544410CA}"/>
    <cellStyle name="Normal 3 2 3 3 7" xfId="4714" xr:uid="{00000000-0005-0000-0000-0000BA110000}"/>
    <cellStyle name="Normal 3 2 3 3 7 2" xfId="14040" xr:uid="{7C9E7ADA-5726-40D6-9757-AB8318851C3E}"/>
    <cellStyle name="Normal 3 2 3 3 8" xfId="9024" xr:uid="{AE2F680F-18A3-47B5-ADCF-6BEAD71D50CE}"/>
    <cellStyle name="Normal 3 2 3 3 8 2" xfId="18348" xr:uid="{797A307A-0975-41DE-9C95-0A81506458AC}"/>
    <cellStyle name="Normal 3 2 3 3 9" xfId="9823" xr:uid="{04F63BFD-5E60-4754-AFB4-4DF10983950B}"/>
    <cellStyle name="Normal 3 2 3 4" xfId="811" xr:uid="{00000000-0005-0000-0000-0000BB110000}"/>
    <cellStyle name="Normal 3 2 3 4 2" xfId="3048" xr:uid="{00000000-0005-0000-0000-0000BC110000}"/>
    <cellStyle name="Normal 3 2 3 4 2 2" xfId="7270" xr:uid="{00000000-0005-0000-0000-0000BD110000}"/>
    <cellStyle name="Normal 3 2 3 4 2 2 2" xfId="16596" xr:uid="{E9EB1ED0-2B87-4650-8E36-2BB3AD70D992}"/>
    <cellStyle name="Normal 3 2 3 4 2 3" xfId="12379" xr:uid="{68737E3E-6171-4B13-A26A-9DF74B393F18}"/>
    <cellStyle name="Normal 3 2 3 4 3" xfId="5125" xr:uid="{00000000-0005-0000-0000-0000BE110000}"/>
    <cellStyle name="Normal 3 2 3 4 3 2" xfId="14451" xr:uid="{F1AD6812-4871-413E-A0A0-2478C2096764}"/>
    <cellStyle name="Normal 3 2 3 4 4" xfId="9242" xr:uid="{05AEEDFF-7EEB-40DB-B13D-145C971A771B}"/>
    <cellStyle name="Normal 3 2 3 4 4 2" xfId="18557" xr:uid="{51AD69AD-2921-4CE9-83A6-D33F1973F9C3}"/>
    <cellStyle name="Normal 3 2 3 4 5" xfId="10234" xr:uid="{7BA35FCA-73DA-4C29-8ACD-FC6F3399F45B}"/>
    <cellStyle name="Normal 3 2 3 5" xfId="1231" xr:uid="{00000000-0005-0000-0000-0000BF110000}"/>
    <cellStyle name="Normal 3 2 3 5 2" xfId="3461" xr:uid="{00000000-0005-0000-0000-0000C0110000}"/>
    <cellStyle name="Normal 3 2 3 5 2 2" xfId="7683" xr:uid="{00000000-0005-0000-0000-0000C1110000}"/>
    <cellStyle name="Normal 3 2 3 5 2 2 2" xfId="17009" xr:uid="{4D7C376C-5EC7-494F-B50C-1F66B15826C0}"/>
    <cellStyle name="Normal 3 2 3 5 2 3" xfId="12792" xr:uid="{AA6C6CA8-AF60-4411-82C4-AAB5087D6775}"/>
    <cellStyle name="Normal 3 2 3 5 3" xfId="5538" xr:uid="{00000000-0005-0000-0000-0000C2110000}"/>
    <cellStyle name="Normal 3 2 3 5 3 2" xfId="14864" xr:uid="{FA3DB73C-B1EE-47B1-BFEC-955908A5E308}"/>
    <cellStyle name="Normal 3 2 3 5 4" xfId="10647" xr:uid="{40E44391-6ED8-4082-B65E-E357E9C4ADF8}"/>
    <cellStyle name="Normal 3 2 3 6" xfId="1644" xr:uid="{00000000-0005-0000-0000-0000C3110000}"/>
    <cellStyle name="Normal 3 2 3 6 2" xfId="3874" xr:uid="{00000000-0005-0000-0000-0000C4110000}"/>
    <cellStyle name="Normal 3 2 3 6 2 2" xfId="8096" xr:uid="{00000000-0005-0000-0000-0000C5110000}"/>
    <cellStyle name="Normal 3 2 3 6 2 2 2" xfId="17422" xr:uid="{017D423D-E277-4507-8612-9833A942A8C1}"/>
    <cellStyle name="Normal 3 2 3 6 2 3" xfId="13205" xr:uid="{50B49479-3697-44A4-80F8-0F5C9E03FC1A}"/>
    <cellStyle name="Normal 3 2 3 6 3" xfId="5951" xr:uid="{00000000-0005-0000-0000-0000C6110000}"/>
    <cellStyle name="Normal 3 2 3 6 3 2" xfId="15277" xr:uid="{2F2A597D-43CA-4BD5-8110-AD1E2113F914}"/>
    <cellStyle name="Normal 3 2 3 6 4" xfId="11060" xr:uid="{59F56D0E-2AC8-4461-ABFA-FF4AC3033062}"/>
    <cellStyle name="Normal 3 2 3 7" xfId="2058" xr:uid="{00000000-0005-0000-0000-0000C7110000}"/>
    <cellStyle name="Normal 3 2 3 7 2" xfId="4287" xr:uid="{00000000-0005-0000-0000-0000C8110000}"/>
    <cellStyle name="Normal 3 2 3 7 2 2" xfId="8509" xr:uid="{00000000-0005-0000-0000-0000C9110000}"/>
    <cellStyle name="Normal 3 2 3 7 2 2 2" xfId="17835" xr:uid="{00A0CF40-716A-4213-AAF8-3BF3EFAFA995}"/>
    <cellStyle name="Normal 3 2 3 7 2 3" xfId="13618" xr:uid="{3F5FB424-526F-4A2E-8148-D727B96F364F}"/>
    <cellStyle name="Normal 3 2 3 7 3" xfId="6364" xr:uid="{00000000-0005-0000-0000-0000CA110000}"/>
    <cellStyle name="Normal 3 2 3 7 3 2" xfId="15690" xr:uid="{8F723CC8-508A-4443-8224-90F223F48F70}"/>
    <cellStyle name="Normal 3 2 3 7 4" xfId="11473" xr:uid="{2BC64493-7FD5-4A64-8938-3576F494145C}"/>
    <cellStyle name="Normal 3 2 3 8" xfId="2494" xr:uid="{00000000-0005-0000-0000-0000CB110000}"/>
    <cellStyle name="Normal 3 2 3 8 2" xfId="6777" xr:uid="{00000000-0005-0000-0000-0000CC110000}"/>
    <cellStyle name="Normal 3 2 3 8 2 2" xfId="16103" xr:uid="{EDF568C9-4484-41F2-8F10-00BF64CA8A41}"/>
    <cellStyle name="Normal 3 2 3 8 3" xfId="11886" xr:uid="{68F84052-82EE-4227-A6E6-18C0804C2954}"/>
    <cellStyle name="Normal 3 2 3 9" xfId="4711" xr:uid="{00000000-0005-0000-0000-0000CD110000}"/>
    <cellStyle name="Normal 3 2 3 9 2" xfId="14037" xr:uid="{58628C0D-DDAD-4728-BC76-FE2725BC20BE}"/>
    <cellStyle name="Normal 3 2 4" xfId="809" xr:uid="{00000000-0005-0000-0000-0000CE110000}"/>
    <cellStyle name="Normal 3 2 4 2" xfId="3047" xr:uid="{00000000-0005-0000-0000-0000CF110000}"/>
    <cellStyle name="Normal 3 2 4 2 2" xfId="7269" xr:uid="{00000000-0005-0000-0000-0000D0110000}"/>
    <cellStyle name="Normal 3 2 4 2 2 2" xfId="16595" xr:uid="{79648E00-D0A1-4AFE-848A-78DC081669AE}"/>
    <cellStyle name="Normal 3 2 4 2 3" xfId="12378" xr:uid="{FACF68D8-5DE8-46CD-87F3-E55B0B8B219D}"/>
    <cellStyle name="Normal 3 2 4 3" xfId="5124" xr:uid="{00000000-0005-0000-0000-0000D1110000}"/>
    <cellStyle name="Normal 3 2 4 3 2" xfId="14450" xr:uid="{0B010061-49EF-4F09-A683-09EAFA047F14}"/>
    <cellStyle name="Normal 3 2 4 4" xfId="9607" xr:uid="{7D769806-7069-4B8D-8CAC-B3B91BBA8D64}"/>
    <cellStyle name="Normal 3 2 4 4 2" xfId="18908" xr:uid="{9AD1278E-9846-4410-95CD-568DEB475D1A}"/>
    <cellStyle name="Normal 3 2 4 5" xfId="10233" xr:uid="{9F726F82-4AD0-421E-ADFE-65A1E383CE31}"/>
    <cellStyle name="Normal 3 2 5" xfId="1230" xr:uid="{00000000-0005-0000-0000-0000D2110000}"/>
    <cellStyle name="Normal 3 2 5 2" xfId="3460" xr:uid="{00000000-0005-0000-0000-0000D3110000}"/>
    <cellStyle name="Normal 3 2 5 2 2" xfId="7682" xr:uid="{00000000-0005-0000-0000-0000D4110000}"/>
    <cellStyle name="Normal 3 2 5 2 2 2" xfId="17008" xr:uid="{0BABAB58-99CC-4A78-ACD9-5C2817471FEB}"/>
    <cellStyle name="Normal 3 2 5 2 3" xfId="12791" xr:uid="{87C66B01-9594-4058-9985-1947AA96B2AA}"/>
    <cellStyle name="Normal 3 2 5 3" xfId="5537" xr:uid="{00000000-0005-0000-0000-0000D5110000}"/>
    <cellStyle name="Normal 3 2 5 3 2" xfId="14863" xr:uid="{990A6619-4168-4BF4-94D8-C26309D3C713}"/>
    <cellStyle name="Normal 3 2 5 4" xfId="10646" xr:uid="{F8D36A14-651E-43F9-BBF7-347F40607498}"/>
    <cellStyle name="Normal 3 2 6" xfId="1643" xr:uid="{00000000-0005-0000-0000-0000D6110000}"/>
    <cellStyle name="Normal 3 2 6 2" xfId="3873" xr:uid="{00000000-0005-0000-0000-0000D7110000}"/>
    <cellStyle name="Normal 3 2 6 2 2" xfId="8095" xr:uid="{00000000-0005-0000-0000-0000D8110000}"/>
    <cellStyle name="Normal 3 2 6 2 2 2" xfId="17421" xr:uid="{196E1B9B-04BE-4AE7-86B6-0D6B5247A245}"/>
    <cellStyle name="Normal 3 2 6 2 3" xfId="13204" xr:uid="{5CD14A5E-1B82-4A08-AE1E-73C46E4EF9A2}"/>
    <cellStyle name="Normal 3 2 6 3" xfId="5950" xr:uid="{00000000-0005-0000-0000-0000D9110000}"/>
    <cellStyle name="Normal 3 2 6 3 2" xfId="15276" xr:uid="{A4472BF2-0AAA-4504-B760-90E504017BA9}"/>
    <cellStyle name="Normal 3 2 6 4" xfId="11059" xr:uid="{89F66589-84DA-499A-8F98-DF48AD26DAC7}"/>
    <cellStyle name="Normal 3 2 7" xfId="2057" xr:uid="{00000000-0005-0000-0000-0000DA110000}"/>
    <cellStyle name="Normal 3 2 7 2" xfId="4286" xr:uid="{00000000-0005-0000-0000-0000DB110000}"/>
    <cellStyle name="Normal 3 2 7 2 2" xfId="8508" xr:uid="{00000000-0005-0000-0000-0000DC110000}"/>
    <cellStyle name="Normal 3 2 7 2 2 2" xfId="17834" xr:uid="{763C9F07-FF03-4A42-976B-7CF8762A534A}"/>
    <cellStyle name="Normal 3 2 7 2 3" xfId="13617" xr:uid="{E1BCE845-8A46-477C-B20B-665D9C1BFFF7}"/>
    <cellStyle name="Normal 3 2 7 3" xfId="6363" xr:uid="{00000000-0005-0000-0000-0000DD110000}"/>
    <cellStyle name="Normal 3 2 7 3 2" xfId="15689" xr:uid="{AE7166C2-C2FE-4860-906B-7DFD16913C2B}"/>
    <cellStyle name="Normal 3 2 7 4" xfId="11472" xr:uid="{876443A8-2E31-42FB-B703-2100F640FBA0}"/>
    <cellStyle name="Normal 3 2 8" xfId="2493" xr:uid="{00000000-0005-0000-0000-0000DE110000}"/>
    <cellStyle name="Normal 3 2 8 2" xfId="6776" xr:uid="{00000000-0005-0000-0000-0000DF110000}"/>
    <cellStyle name="Normal 3 2 8 2 2" xfId="16102" xr:uid="{0A2EBB76-4DCB-483E-AB76-96D4C907BB73}"/>
    <cellStyle name="Normal 3 2 8 3" xfId="11885" xr:uid="{846EE90B-0BE4-4703-B00D-5A35ADE52CF3}"/>
    <cellStyle name="Normal 3 2 9" xfId="4710" xr:uid="{00000000-0005-0000-0000-0000E0110000}"/>
    <cellStyle name="Normal 3 2 9 2" xfId="14036" xr:uid="{7F059487-FA32-40E4-9EA0-DB0A85CE8301}"/>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0 2" xfId="18064" xr:uid="{0AC25A5F-740E-489C-89F7-51B596AC4D42}"/>
    <cellStyle name="Normal 4 11" xfId="9824" xr:uid="{2E177931-0CE5-4BB5-B30C-E1C35CE90507}"/>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839" xr:uid="{4CB24DE4-ED18-4487-8A2E-45B9A43D5069}"/>
    <cellStyle name="Normal 4 2 2 10 2 3" xfId="13622" xr:uid="{E02FD60F-443E-4C13-9697-09AEAD8FD28D}"/>
    <cellStyle name="Normal 4 2 2 10 3" xfId="6368" xr:uid="{00000000-0005-0000-0000-0000ED110000}"/>
    <cellStyle name="Normal 4 2 2 10 3 2" xfId="15694" xr:uid="{2AF21C58-7737-4197-BA64-893363088DD7}"/>
    <cellStyle name="Normal 4 2 2 10 4" xfId="11477" xr:uid="{4B05C2FA-BD3E-4011-9718-EF1D6FE30AE2}"/>
    <cellStyle name="Normal 4 2 2 11" xfId="2498" xr:uid="{00000000-0005-0000-0000-0000EE110000}"/>
    <cellStyle name="Normal 4 2 2 11 2" xfId="6781" xr:uid="{00000000-0005-0000-0000-0000EF110000}"/>
    <cellStyle name="Normal 4 2 2 11 2 2" xfId="16107" xr:uid="{F02EBEAB-CC2F-4D9A-84A1-FFB9F6394BE5}"/>
    <cellStyle name="Normal 4 2 2 11 3" xfId="11890" xr:uid="{3A2B5A0B-4DCE-4CA1-ABB5-9C3C566C6367}"/>
    <cellStyle name="Normal 4 2 2 12" xfId="4716" xr:uid="{00000000-0005-0000-0000-0000F0110000}"/>
    <cellStyle name="Normal 4 2 2 12 2" xfId="14042" xr:uid="{92394877-0936-4F3D-9BDB-A0DE327B37C3}"/>
    <cellStyle name="Normal 4 2 2 13" xfId="8752" xr:uid="{7B61EFAC-4165-4615-9A47-7AF5DAE027C9}"/>
    <cellStyle name="Normal 4 2 2 13 2" xfId="18076" xr:uid="{5466B0EE-8C5C-4C15-B642-872DDE879717}"/>
    <cellStyle name="Normal 4 2 2 14" xfId="9825" xr:uid="{1518D877-2E98-4344-8E52-58065CBC2A64}"/>
    <cellStyle name="Normal 4 2 2 2" xfId="338" xr:uid="{00000000-0005-0000-0000-0000F1110000}"/>
    <cellStyle name="Normal 4 2 2 3" xfId="339" xr:uid="{00000000-0005-0000-0000-0000F2110000}"/>
    <cellStyle name="Normal 4 2 2 3 10" xfId="4717" xr:uid="{00000000-0005-0000-0000-0000F3110000}"/>
    <cellStyle name="Normal 4 2 2 3 10 2" xfId="14043" xr:uid="{A0694EA8-D0E0-4633-A110-55091DE469AA}"/>
    <cellStyle name="Normal 4 2 2 3 11" xfId="8784" xr:uid="{8AA3A883-811C-4C4A-AFFF-9AAED56BF228}"/>
    <cellStyle name="Normal 4 2 2 3 11 2" xfId="18108" xr:uid="{C4653F3F-F94C-4581-B16E-30481F8AF248}"/>
    <cellStyle name="Normal 4 2 2 3 12" xfId="9826" xr:uid="{C304F66E-CFFE-4A56-878D-D9FCDF685D31}"/>
    <cellStyle name="Normal 4 2 2 3 2" xfId="340" xr:uid="{00000000-0005-0000-0000-0000F4110000}"/>
    <cellStyle name="Normal 4 2 2 3 2 10" xfId="8819" xr:uid="{16629302-3759-4242-B07E-BB5D034B10E8}"/>
    <cellStyle name="Normal 4 2 2 3 2 10 2" xfId="18143" xr:uid="{E8C4A6EA-3BFB-4F3F-8A4B-4963413C0265}"/>
    <cellStyle name="Normal 4 2 2 3 2 11" xfId="9827" xr:uid="{E34FFF73-0C71-414A-97F6-41E94456D6CE}"/>
    <cellStyle name="Normal 4 2 2 3 2 2" xfId="341" xr:uid="{00000000-0005-0000-0000-0000F5110000}"/>
    <cellStyle name="Normal 4 2 2 3 2 2 10" xfId="9828" xr:uid="{3602702A-9701-496F-941E-271234F410A4}"/>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604" xr:uid="{762D16F4-6BF2-4E5C-A405-FDC0E0F6FA93}"/>
    <cellStyle name="Normal 4 2 2 3 2 2 2 2 2 3" xfId="12387" xr:uid="{AAB67BD3-C717-445A-BE7A-A0C6E2C0AC18}"/>
    <cellStyle name="Normal 4 2 2 3 2 2 2 2 3" xfId="5133" xr:uid="{00000000-0005-0000-0000-0000FA110000}"/>
    <cellStyle name="Normal 4 2 2 3 2 2 2 2 3 2" xfId="14459" xr:uid="{B3582B9E-F890-4B47-8308-8A037E41CDB8}"/>
    <cellStyle name="Normal 4 2 2 3 2 2 2 2 4" xfId="9554" xr:uid="{BAC669EC-8948-4716-90C3-0688F03300CE}"/>
    <cellStyle name="Normal 4 2 2 3 2 2 2 2 4 2" xfId="18869" xr:uid="{A4028327-5945-48CF-A100-C669AE66FFDF}"/>
    <cellStyle name="Normal 4 2 2 3 2 2 2 2 5" xfId="10242" xr:uid="{B7B6CFBA-4192-427F-A7AE-55066C1A5285}"/>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7017" xr:uid="{757EB2C2-3133-48E4-B49B-4237759FD392}"/>
    <cellStyle name="Normal 4 2 2 3 2 2 2 3 2 3" xfId="12800" xr:uid="{4CE44AD4-529A-4A70-A0F3-9848FE95ABAC}"/>
    <cellStyle name="Normal 4 2 2 3 2 2 2 3 3" xfId="5546" xr:uid="{00000000-0005-0000-0000-0000FE110000}"/>
    <cellStyle name="Normal 4 2 2 3 2 2 2 3 3 2" xfId="14872" xr:uid="{A9080F06-7C5B-4BB7-8BBA-45C583837EA1}"/>
    <cellStyle name="Normal 4 2 2 3 2 2 2 3 4" xfId="10655" xr:uid="{D114BB54-6A9C-4125-ADAA-ADDB6ED8BBB9}"/>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430" xr:uid="{799047B2-BE39-4119-9580-272C001121E5}"/>
    <cellStyle name="Normal 4 2 2 3 2 2 2 4 2 3" xfId="13213" xr:uid="{6FCEEDF5-29AB-4574-909A-10C5B7AFE72F}"/>
    <cellStyle name="Normal 4 2 2 3 2 2 2 4 3" xfId="5959" xr:uid="{00000000-0005-0000-0000-000002120000}"/>
    <cellStyle name="Normal 4 2 2 3 2 2 2 4 3 2" xfId="15285" xr:uid="{2ACE74CD-A5B4-47B2-8021-36EDEAF54EA8}"/>
    <cellStyle name="Normal 4 2 2 3 2 2 2 4 4" xfId="11068" xr:uid="{F83164D6-9BF7-4C28-9013-1985E36B26A1}"/>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843" xr:uid="{ED6F1400-9F3F-4B18-BD3E-F09CF9ECE830}"/>
    <cellStyle name="Normal 4 2 2 3 2 2 2 5 2 3" xfId="13626" xr:uid="{3103577C-43C1-4270-956E-DFD7D8D05086}"/>
    <cellStyle name="Normal 4 2 2 3 2 2 2 5 3" xfId="6372" xr:uid="{00000000-0005-0000-0000-000006120000}"/>
    <cellStyle name="Normal 4 2 2 3 2 2 2 5 3 2" xfId="15698" xr:uid="{81A646EF-C20F-4C24-AD94-6ACF7B7A6B93}"/>
    <cellStyle name="Normal 4 2 2 3 2 2 2 5 4" xfId="11481" xr:uid="{04E1A3A9-F9F5-4296-8ECC-12001026B106}"/>
    <cellStyle name="Normal 4 2 2 3 2 2 2 6" xfId="2502" xr:uid="{00000000-0005-0000-0000-000007120000}"/>
    <cellStyle name="Normal 4 2 2 3 2 2 2 6 2" xfId="6785" xr:uid="{00000000-0005-0000-0000-000008120000}"/>
    <cellStyle name="Normal 4 2 2 3 2 2 2 6 2 2" xfId="16111" xr:uid="{05DAA38F-5912-437D-9830-A2607ADC9A74}"/>
    <cellStyle name="Normal 4 2 2 3 2 2 2 6 3" xfId="11894" xr:uid="{9D15BBDE-0F08-4665-8A2F-1721F10FF73D}"/>
    <cellStyle name="Normal 4 2 2 3 2 2 2 7" xfId="4720" xr:uid="{00000000-0005-0000-0000-000009120000}"/>
    <cellStyle name="Normal 4 2 2 3 2 2 2 7 2" xfId="14046" xr:uid="{8C17BC1B-BFE1-4C64-A0E2-13A7780ECBF8}"/>
    <cellStyle name="Normal 4 2 2 3 2 2 2 8" xfId="9129" xr:uid="{970F8072-C8D6-4D17-95D6-EBF431EAD262}"/>
    <cellStyle name="Normal 4 2 2 3 2 2 2 8 2" xfId="18453" xr:uid="{3FED9DFD-470A-491A-8656-A182E3A2369D}"/>
    <cellStyle name="Normal 4 2 2 3 2 2 2 9" xfId="9829" xr:uid="{A296CBC2-0922-433B-9BFD-27E0AFBE28D3}"/>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603" xr:uid="{E555268D-E73C-41FE-B156-7EFE766A51C3}"/>
    <cellStyle name="Normal 4 2 2 3 2 2 3 2 3" xfId="12386" xr:uid="{93299D1A-E8FE-4DA4-9BFF-DB3DB280103D}"/>
    <cellStyle name="Normal 4 2 2 3 2 2 3 3" xfId="5132" xr:uid="{00000000-0005-0000-0000-00000D120000}"/>
    <cellStyle name="Normal 4 2 2 3 2 2 3 3 2" xfId="14458" xr:uid="{71FCB788-1C39-47E7-8C19-FF7CB4AE007B}"/>
    <cellStyle name="Normal 4 2 2 3 2 2 3 4" xfId="9347" xr:uid="{8C9012CB-19BB-4242-9F43-373358B13B52}"/>
    <cellStyle name="Normal 4 2 2 3 2 2 3 4 2" xfId="18662" xr:uid="{08AEEAE8-47C5-444C-954B-8F7F3D097DC7}"/>
    <cellStyle name="Normal 4 2 2 3 2 2 3 5" xfId="10241" xr:uid="{7519A514-823E-491B-BA11-B5C9AFBA3AAE}"/>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7016" xr:uid="{691DAF16-175C-4124-91E8-C897CF53867B}"/>
    <cellStyle name="Normal 4 2 2 3 2 2 4 2 3" xfId="12799" xr:uid="{523117E3-B0E9-46A2-A2DC-42E694486677}"/>
    <cellStyle name="Normal 4 2 2 3 2 2 4 3" xfId="5545" xr:uid="{00000000-0005-0000-0000-000011120000}"/>
    <cellStyle name="Normal 4 2 2 3 2 2 4 3 2" xfId="14871" xr:uid="{6BD7F928-0410-4B02-8F2D-114891A37EB7}"/>
    <cellStyle name="Normal 4 2 2 3 2 2 4 4" xfId="10654" xr:uid="{1FCDEAA0-3592-4CA3-A110-0171E8F2CE6C}"/>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429" xr:uid="{41CE8818-6751-4FF6-BC7E-B0E72B75FE74}"/>
    <cellStyle name="Normal 4 2 2 3 2 2 5 2 3" xfId="13212" xr:uid="{A9BA4049-A497-4554-86DB-238283A1E4C2}"/>
    <cellStyle name="Normal 4 2 2 3 2 2 5 3" xfId="5958" xr:uid="{00000000-0005-0000-0000-000015120000}"/>
    <cellStyle name="Normal 4 2 2 3 2 2 5 3 2" xfId="15284" xr:uid="{31FC641D-A9C0-4D35-B426-A89365C03F0E}"/>
    <cellStyle name="Normal 4 2 2 3 2 2 5 4" xfId="11067" xr:uid="{8A155A1C-C827-4758-98C8-1445EE271B3B}"/>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842" xr:uid="{2C137C1E-C0F2-41AD-9416-5B79A7FF13E8}"/>
    <cellStyle name="Normal 4 2 2 3 2 2 6 2 3" xfId="13625" xr:uid="{DF24EDA5-BC24-403A-8CBC-D75A1682818C}"/>
    <cellStyle name="Normal 4 2 2 3 2 2 6 3" xfId="6371" xr:uid="{00000000-0005-0000-0000-000019120000}"/>
    <cellStyle name="Normal 4 2 2 3 2 2 6 3 2" xfId="15697" xr:uid="{538FA68E-24F9-4C3B-AAEC-026877C1A28E}"/>
    <cellStyle name="Normal 4 2 2 3 2 2 6 4" xfId="11480" xr:uid="{AC9A596D-9A13-4980-BA1A-56B34BF4869B}"/>
    <cellStyle name="Normal 4 2 2 3 2 2 7" xfId="2501" xr:uid="{00000000-0005-0000-0000-00001A120000}"/>
    <cellStyle name="Normal 4 2 2 3 2 2 7 2" xfId="6784" xr:uid="{00000000-0005-0000-0000-00001B120000}"/>
    <cellStyle name="Normal 4 2 2 3 2 2 7 2 2" xfId="16110" xr:uid="{E3733144-6658-47F9-8A06-4D8D875E2C83}"/>
    <cellStyle name="Normal 4 2 2 3 2 2 7 3" xfId="11893" xr:uid="{D69F9E80-84EB-4463-8E7F-182D36EE8396}"/>
    <cellStyle name="Normal 4 2 2 3 2 2 8" xfId="4719" xr:uid="{00000000-0005-0000-0000-00001C120000}"/>
    <cellStyle name="Normal 4 2 2 3 2 2 8 2" xfId="14045" xr:uid="{BCF846DC-9F0F-4B72-9C6D-BCB1D16E7230}"/>
    <cellStyle name="Normal 4 2 2 3 2 2 9" xfId="8922" xr:uid="{32C9E21B-8C85-4874-B28C-82BF39BA84E2}"/>
    <cellStyle name="Normal 4 2 2 3 2 2 9 2" xfId="18246" xr:uid="{6F9A3212-324B-4D77-BBE0-7031A2C36E67}"/>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605" xr:uid="{DCEB53FF-6278-4E4C-9B07-9C616C6BA3F1}"/>
    <cellStyle name="Normal 4 2 2 3 2 3 2 2 3" xfId="12388" xr:uid="{65F70CE1-7AD5-4B98-8F46-D47E293AED83}"/>
    <cellStyle name="Normal 4 2 2 3 2 3 2 3" xfId="5134" xr:uid="{00000000-0005-0000-0000-000021120000}"/>
    <cellStyle name="Normal 4 2 2 3 2 3 2 3 2" xfId="14460" xr:uid="{D014D2EE-3CBC-4702-B975-DB2D2F9EE849}"/>
    <cellStyle name="Normal 4 2 2 3 2 3 2 4" xfId="9451" xr:uid="{85AA9164-95F1-48F2-907A-54AD445D074F}"/>
    <cellStyle name="Normal 4 2 2 3 2 3 2 4 2" xfId="18766" xr:uid="{F59CE746-A0EE-4740-A4F1-B621F262A7FE}"/>
    <cellStyle name="Normal 4 2 2 3 2 3 2 5" xfId="10243" xr:uid="{8CA2F8FD-0118-446F-80AF-A017AC57B778}"/>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7018" xr:uid="{6CA9D493-F271-4718-91F3-3D3EE1F43805}"/>
    <cellStyle name="Normal 4 2 2 3 2 3 3 2 3" xfId="12801" xr:uid="{5E8BBFFB-C9B0-4F4C-8ED0-96FFBEFD81C1}"/>
    <cellStyle name="Normal 4 2 2 3 2 3 3 3" xfId="5547" xr:uid="{00000000-0005-0000-0000-000025120000}"/>
    <cellStyle name="Normal 4 2 2 3 2 3 3 3 2" xfId="14873" xr:uid="{7DBECC44-EABF-4F4D-8975-2C576C42CFFE}"/>
    <cellStyle name="Normal 4 2 2 3 2 3 3 4" xfId="10656" xr:uid="{21F908FB-16E1-419A-B625-4A5F0C717801}"/>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431" xr:uid="{33157822-E9ED-43BC-A34B-5B87CEDC85FE}"/>
    <cellStyle name="Normal 4 2 2 3 2 3 4 2 3" xfId="13214" xr:uid="{1EDB13D9-2C8B-45EB-9B30-78219370DC61}"/>
    <cellStyle name="Normal 4 2 2 3 2 3 4 3" xfId="5960" xr:uid="{00000000-0005-0000-0000-000029120000}"/>
    <cellStyle name="Normal 4 2 2 3 2 3 4 3 2" xfId="15286" xr:uid="{B5897D3D-32CE-4348-893C-2870CCC77985}"/>
    <cellStyle name="Normal 4 2 2 3 2 3 4 4" xfId="11069" xr:uid="{3F36FD2E-7307-463A-9821-B0ECF0F5027E}"/>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44" xr:uid="{A7FCAD9F-5DAA-4A34-862C-FE7A1012D4B4}"/>
    <cellStyle name="Normal 4 2 2 3 2 3 5 2 3" xfId="13627" xr:uid="{0A82A4B7-C8A2-4AB2-9835-FD9FA134D896}"/>
    <cellStyle name="Normal 4 2 2 3 2 3 5 3" xfId="6373" xr:uid="{00000000-0005-0000-0000-00002D120000}"/>
    <cellStyle name="Normal 4 2 2 3 2 3 5 3 2" xfId="15699" xr:uid="{2914FE54-DF47-4105-A61C-76A1BB60CEB5}"/>
    <cellStyle name="Normal 4 2 2 3 2 3 5 4" xfId="11482" xr:uid="{050496D8-7951-4A30-8F30-E6E6EEE631DD}"/>
    <cellStyle name="Normal 4 2 2 3 2 3 6" xfId="2503" xr:uid="{00000000-0005-0000-0000-00002E120000}"/>
    <cellStyle name="Normal 4 2 2 3 2 3 6 2" xfId="6786" xr:uid="{00000000-0005-0000-0000-00002F120000}"/>
    <cellStyle name="Normal 4 2 2 3 2 3 6 2 2" xfId="16112" xr:uid="{D4FD6D46-6DCA-491A-A90B-B9A5798D30A3}"/>
    <cellStyle name="Normal 4 2 2 3 2 3 6 3" xfId="11895" xr:uid="{19A96661-B1DB-4D72-98E5-55C1E187B9A7}"/>
    <cellStyle name="Normal 4 2 2 3 2 3 7" xfId="4721" xr:uid="{00000000-0005-0000-0000-000030120000}"/>
    <cellStyle name="Normal 4 2 2 3 2 3 7 2" xfId="14047" xr:uid="{1E1E4938-44E5-48AB-BDA1-5C6644565F3B}"/>
    <cellStyle name="Normal 4 2 2 3 2 3 8" xfId="9026" xr:uid="{319D63D3-F71C-4F99-9FD1-E3D0665567E8}"/>
    <cellStyle name="Normal 4 2 2 3 2 3 8 2" xfId="18350" xr:uid="{CD7BE0BC-2C22-4056-8732-766895936E7F}"/>
    <cellStyle name="Normal 4 2 2 3 2 3 9" xfId="9830" xr:uid="{66D36822-412E-453D-BD39-B0EEAB097D84}"/>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602" xr:uid="{61CA2CAD-111A-4FF3-8626-45E6196430EC}"/>
    <cellStyle name="Normal 4 2 2 3 2 4 2 3" xfId="12385" xr:uid="{4920C8F7-FD63-48CF-9B8C-BBA9E2868727}"/>
    <cellStyle name="Normal 4 2 2 3 2 4 3" xfId="5131" xr:uid="{00000000-0005-0000-0000-000034120000}"/>
    <cellStyle name="Normal 4 2 2 3 2 4 3 2" xfId="14457" xr:uid="{58234FC1-6F26-4F6C-911B-C9F509423F96}"/>
    <cellStyle name="Normal 4 2 2 3 2 4 4" xfId="9244" xr:uid="{98623F27-324A-40DE-AA2B-56E1FCE087EE}"/>
    <cellStyle name="Normal 4 2 2 3 2 4 4 2" xfId="18559" xr:uid="{29145B75-106A-4E5E-9D03-3E100D3CDE6D}"/>
    <cellStyle name="Normal 4 2 2 3 2 4 5" xfId="10240" xr:uid="{ABB980BB-6DB2-4AF0-9391-2BE9B266A789}"/>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7015" xr:uid="{E3A886C1-4BFB-4F5C-B03B-F751D5BB012B}"/>
    <cellStyle name="Normal 4 2 2 3 2 5 2 3" xfId="12798" xr:uid="{A5DE848A-C5A8-494F-B61B-AF4CACB49D08}"/>
    <cellStyle name="Normal 4 2 2 3 2 5 3" xfId="5544" xr:uid="{00000000-0005-0000-0000-000038120000}"/>
    <cellStyle name="Normal 4 2 2 3 2 5 3 2" xfId="14870" xr:uid="{A52450BA-D371-43BB-905E-9D74377A2D34}"/>
    <cellStyle name="Normal 4 2 2 3 2 5 4" xfId="10653" xr:uid="{3AAE9E73-A3FC-415E-A8DB-E188C28C5D9F}"/>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428" xr:uid="{33B1D591-AF95-448D-86C7-88F5806FB580}"/>
    <cellStyle name="Normal 4 2 2 3 2 6 2 3" xfId="13211" xr:uid="{8869282D-1856-4559-94FC-73A49FF8CA4F}"/>
    <cellStyle name="Normal 4 2 2 3 2 6 3" xfId="5957" xr:uid="{00000000-0005-0000-0000-00003C120000}"/>
    <cellStyle name="Normal 4 2 2 3 2 6 3 2" xfId="15283" xr:uid="{BD077720-2AB9-482F-8F3B-61EF5C95B6AE}"/>
    <cellStyle name="Normal 4 2 2 3 2 6 4" xfId="11066" xr:uid="{FB1583F8-6BD2-4EDA-8B7A-A1D715DD8ECA}"/>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841" xr:uid="{4CF10264-34F5-42D8-A381-89010BDFD192}"/>
    <cellStyle name="Normal 4 2 2 3 2 7 2 3" xfId="13624" xr:uid="{06910638-FE41-4834-89B3-54CE2F1823BA}"/>
    <cellStyle name="Normal 4 2 2 3 2 7 3" xfId="6370" xr:uid="{00000000-0005-0000-0000-000040120000}"/>
    <cellStyle name="Normal 4 2 2 3 2 7 3 2" xfId="15696" xr:uid="{A9304CE1-C051-4C80-8702-1A4F4D3A855E}"/>
    <cellStyle name="Normal 4 2 2 3 2 7 4" xfId="11479" xr:uid="{85A81AC6-5DCB-4AB6-AEBB-941D3266E9D7}"/>
    <cellStyle name="Normal 4 2 2 3 2 8" xfId="2500" xr:uid="{00000000-0005-0000-0000-000041120000}"/>
    <cellStyle name="Normal 4 2 2 3 2 8 2" xfId="6783" xr:uid="{00000000-0005-0000-0000-000042120000}"/>
    <cellStyle name="Normal 4 2 2 3 2 8 2 2" xfId="16109" xr:uid="{FF3CF074-1E53-495B-8A66-80779591956E}"/>
    <cellStyle name="Normal 4 2 2 3 2 8 3" xfId="11892" xr:uid="{EB598F32-B13B-4CB0-BDD7-A327E2FE2F19}"/>
    <cellStyle name="Normal 4 2 2 3 2 9" xfId="4718" xr:uid="{00000000-0005-0000-0000-000043120000}"/>
    <cellStyle name="Normal 4 2 2 3 2 9 2" xfId="14044" xr:uid="{349082FD-E319-408E-9B6F-034CF50A40EF}"/>
    <cellStyle name="Normal 4 2 2 3 3" xfId="344" xr:uid="{00000000-0005-0000-0000-000044120000}"/>
    <cellStyle name="Normal 4 2 2 3 3 10" xfId="9831" xr:uid="{F75A02F3-8142-4271-8E95-4A1A18683945}"/>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607" xr:uid="{7FE56526-EFF3-4ABC-917C-43AB7F572462}"/>
    <cellStyle name="Normal 4 2 2 3 3 2 2 2 3" xfId="12390" xr:uid="{C59BE422-9A93-49E9-906A-B596ECB88291}"/>
    <cellStyle name="Normal 4 2 2 3 3 2 2 3" xfId="5136" xr:uid="{00000000-0005-0000-0000-000049120000}"/>
    <cellStyle name="Normal 4 2 2 3 3 2 2 3 2" xfId="14462" xr:uid="{E668C761-0F22-436D-8067-090AED247508}"/>
    <cellStyle name="Normal 4 2 2 3 3 2 2 4" xfId="9519" xr:uid="{FB4BBD6E-D73B-4ABD-8656-6C15D7932E02}"/>
    <cellStyle name="Normal 4 2 2 3 3 2 2 4 2" xfId="18834" xr:uid="{98A8A7C5-721D-4DD0-BA2B-FD8A74CDE4AC}"/>
    <cellStyle name="Normal 4 2 2 3 3 2 2 5" xfId="10245" xr:uid="{8C2E5120-9C78-44ED-A183-79A88FEA3E38}"/>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7020" xr:uid="{793BE0A1-5A02-400E-A47F-D41A71A3600D}"/>
    <cellStyle name="Normal 4 2 2 3 3 2 3 2 3" xfId="12803" xr:uid="{5170FE97-2289-4D1C-943F-6B2014E1C418}"/>
    <cellStyle name="Normal 4 2 2 3 3 2 3 3" xfId="5549" xr:uid="{00000000-0005-0000-0000-00004D120000}"/>
    <cellStyle name="Normal 4 2 2 3 3 2 3 3 2" xfId="14875" xr:uid="{B37FDFB1-FBA6-4C7E-AF84-2E2EBA5B4A1D}"/>
    <cellStyle name="Normal 4 2 2 3 3 2 3 4" xfId="10658" xr:uid="{921FB2BF-4591-4352-BD83-D6E6FCB02F9C}"/>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433" xr:uid="{14BEF90F-AE98-4EB8-8E54-B04D1DAFAA1C}"/>
    <cellStyle name="Normal 4 2 2 3 3 2 4 2 3" xfId="13216" xr:uid="{86077ED9-8247-4F60-9678-4180096715A5}"/>
    <cellStyle name="Normal 4 2 2 3 3 2 4 3" xfId="5962" xr:uid="{00000000-0005-0000-0000-000051120000}"/>
    <cellStyle name="Normal 4 2 2 3 3 2 4 3 2" xfId="15288" xr:uid="{F479B1F8-E885-4340-B88D-81B9307890D8}"/>
    <cellStyle name="Normal 4 2 2 3 3 2 4 4" xfId="11071" xr:uid="{720718C9-B31F-4045-A025-3381FE6BA236}"/>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46" xr:uid="{35C89658-B7F9-404D-9A44-FC0D7DA69573}"/>
    <cellStyle name="Normal 4 2 2 3 3 2 5 2 3" xfId="13629" xr:uid="{87BEF5C7-F397-4DA3-8E59-CAA3517F336B}"/>
    <cellStyle name="Normal 4 2 2 3 3 2 5 3" xfId="6375" xr:uid="{00000000-0005-0000-0000-000055120000}"/>
    <cellStyle name="Normal 4 2 2 3 3 2 5 3 2" xfId="15701" xr:uid="{F7F7CE50-C163-4FA9-8E3E-B6F3CDF537FE}"/>
    <cellStyle name="Normal 4 2 2 3 3 2 5 4" xfId="11484" xr:uid="{13ED935C-872C-47E7-B22F-2DDA760D2AAE}"/>
    <cellStyle name="Normal 4 2 2 3 3 2 6" xfId="2505" xr:uid="{00000000-0005-0000-0000-000056120000}"/>
    <cellStyle name="Normal 4 2 2 3 3 2 6 2" xfId="6788" xr:uid="{00000000-0005-0000-0000-000057120000}"/>
    <cellStyle name="Normal 4 2 2 3 3 2 6 2 2" xfId="16114" xr:uid="{8E413A66-1FFB-4E19-B247-0937EF34923F}"/>
    <cellStyle name="Normal 4 2 2 3 3 2 6 3" xfId="11897" xr:uid="{64369717-61D6-42A5-9F7A-6EBA64679E44}"/>
    <cellStyle name="Normal 4 2 2 3 3 2 7" xfId="4723" xr:uid="{00000000-0005-0000-0000-000058120000}"/>
    <cellStyle name="Normal 4 2 2 3 3 2 7 2" xfId="14049" xr:uid="{3C4CA2DD-FBB3-4037-B571-75A8416318EC}"/>
    <cellStyle name="Normal 4 2 2 3 3 2 8" xfId="9094" xr:uid="{1333D468-E252-4686-88C1-38A56B910A8E}"/>
    <cellStyle name="Normal 4 2 2 3 3 2 8 2" xfId="18418" xr:uid="{DA27CA5A-D4A4-444B-B851-E255C9E000E0}"/>
    <cellStyle name="Normal 4 2 2 3 3 2 9" xfId="9832" xr:uid="{38AB0E66-C175-4FC9-A06B-1B9875FDB96D}"/>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606" xr:uid="{852F85B7-F2B3-4628-A2AA-86E69440B11C}"/>
    <cellStyle name="Normal 4 2 2 3 3 3 2 3" xfId="12389" xr:uid="{4FE662CA-119F-4021-AFFA-880AE9E768D1}"/>
    <cellStyle name="Normal 4 2 2 3 3 3 3" xfId="5135" xr:uid="{00000000-0005-0000-0000-00005C120000}"/>
    <cellStyle name="Normal 4 2 2 3 3 3 3 2" xfId="14461" xr:uid="{3BE5F487-500A-4BC9-9F0A-EBC17EB5E735}"/>
    <cellStyle name="Normal 4 2 2 3 3 3 4" xfId="9312" xr:uid="{0065946C-778C-4913-8F8B-68BBB1A30769}"/>
    <cellStyle name="Normal 4 2 2 3 3 3 4 2" xfId="18627" xr:uid="{4A960945-B327-4533-9D7B-11CF1B8DEF92}"/>
    <cellStyle name="Normal 4 2 2 3 3 3 5" xfId="10244" xr:uid="{D61F1C95-3770-4FC4-A39B-795384595238}"/>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7019" xr:uid="{5C6DB650-B239-414F-B476-B5EACBC1C111}"/>
    <cellStyle name="Normal 4 2 2 3 3 4 2 3" xfId="12802" xr:uid="{6715C53A-8C77-4D97-B5A6-B6FA4E8E3918}"/>
    <cellStyle name="Normal 4 2 2 3 3 4 3" xfId="5548" xr:uid="{00000000-0005-0000-0000-000060120000}"/>
    <cellStyle name="Normal 4 2 2 3 3 4 3 2" xfId="14874" xr:uid="{0C050ED3-235A-4AA2-AB5A-F6301A7A2BA0}"/>
    <cellStyle name="Normal 4 2 2 3 3 4 4" xfId="10657" xr:uid="{E586A373-BA58-42D1-B0B5-068AB535B4AB}"/>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432" xr:uid="{687E87A1-1C31-4C55-B5CE-4D36AD9A1731}"/>
    <cellStyle name="Normal 4 2 2 3 3 5 2 3" xfId="13215" xr:uid="{20FCDB87-92DB-4E0C-B8E5-4192E3BAB3BC}"/>
    <cellStyle name="Normal 4 2 2 3 3 5 3" xfId="5961" xr:uid="{00000000-0005-0000-0000-000064120000}"/>
    <cellStyle name="Normal 4 2 2 3 3 5 3 2" xfId="15287" xr:uid="{37A0A51E-9B1E-4358-89B8-9343C9B5E225}"/>
    <cellStyle name="Normal 4 2 2 3 3 5 4" xfId="11070" xr:uid="{6802B893-A2B4-4487-A339-3202A91D4522}"/>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45" xr:uid="{C0A81ACB-70F4-4F13-82A8-0B3E65EBC7DA}"/>
    <cellStyle name="Normal 4 2 2 3 3 6 2 3" xfId="13628" xr:uid="{1868B6B5-8651-48E4-937E-4F07D3413F51}"/>
    <cellStyle name="Normal 4 2 2 3 3 6 3" xfId="6374" xr:uid="{00000000-0005-0000-0000-000068120000}"/>
    <cellStyle name="Normal 4 2 2 3 3 6 3 2" xfId="15700" xr:uid="{D004B8C0-E306-40E9-9FA5-02621E02BA88}"/>
    <cellStyle name="Normal 4 2 2 3 3 6 4" xfId="11483" xr:uid="{4D5F8ADE-DC4E-43F7-BF0F-15A1A52F898E}"/>
    <cellStyle name="Normal 4 2 2 3 3 7" xfId="2504" xr:uid="{00000000-0005-0000-0000-000069120000}"/>
    <cellStyle name="Normal 4 2 2 3 3 7 2" xfId="6787" xr:uid="{00000000-0005-0000-0000-00006A120000}"/>
    <cellStyle name="Normal 4 2 2 3 3 7 2 2" xfId="16113" xr:uid="{CE5665F0-8162-4FE9-94B7-1621896F1847}"/>
    <cellStyle name="Normal 4 2 2 3 3 7 3" xfId="11896" xr:uid="{0CFF8046-8591-424B-8FD5-BED1412C17A9}"/>
    <cellStyle name="Normal 4 2 2 3 3 8" xfId="4722" xr:uid="{00000000-0005-0000-0000-00006B120000}"/>
    <cellStyle name="Normal 4 2 2 3 3 8 2" xfId="14048" xr:uid="{368A60A4-F3EA-436D-8D43-B39020C737E6}"/>
    <cellStyle name="Normal 4 2 2 3 3 9" xfId="8887" xr:uid="{FD79599D-FD4F-44F4-A7A6-B948A2C15DD2}"/>
    <cellStyle name="Normal 4 2 2 3 3 9 2" xfId="18211" xr:uid="{083D8BBB-9175-4B5F-BB5B-192702B9003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608" xr:uid="{6FFBD64A-64FE-4BBF-B920-260010BC89B0}"/>
    <cellStyle name="Normal 4 2 2 3 4 2 2 3" xfId="12391" xr:uid="{C61E0990-FA48-4506-8D67-28AF4AD01E83}"/>
    <cellStyle name="Normal 4 2 2 3 4 2 3" xfId="5137" xr:uid="{00000000-0005-0000-0000-000070120000}"/>
    <cellStyle name="Normal 4 2 2 3 4 2 3 2" xfId="14463" xr:uid="{D0AC2E03-D85E-4D78-882F-C4EF6F5262E9}"/>
    <cellStyle name="Normal 4 2 2 3 4 2 4" xfId="9416" xr:uid="{B0F1A5CD-0EDE-48A7-9669-6902681F696C}"/>
    <cellStyle name="Normal 4 2 2 3 4 2 4 2" xfId="18731" xr:uid="{4FF225D1-F45F-4BFF-8486-639B9A00FC66}"/>
    <cellStyle name="Normal 4 2 2 3 4 2 5" xfId="10246" xr:uid="{9A6E4736-5C47-41BE-A002-73ECF4F7EC32}"/>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7021" xr:uid="{045B8D33-DA15-4783-AB86-B222FE6448CD}"/>
    <cellStyle name="Normal 4 2 2 3 4 3 2 3" xfId="12804" xr:uid="{DE24294D-C3C6-4DB2-BA92-A4D86DA1E6D8}"/>
    <cellStyle name="Normal 4 2 2 3 4 3 3" xfId="5550" xr:uid="{00000000-0005-0000-0000-000074120000}"/>
    <cellStyle name="Normal 4 2 2 3 4 3 3 2" xfId="14876" xr:uid="{CC64673C-4C0A-4D41-9C5A-9DFDFCCD6681}"/>
    <cellStyle name="Normal 4 2 2 3 4 3 4" xfId="10659" xr:uid="{7735760F-3644-4867-9DA1-1E689FF36AB6}"/>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434" xr:uid="{DA401894-EACB-4F7B-B853-FA0F54FB8FD4}"/>
    <cellStyle name="Normal 4 2 2 3 4 4 2 3" xfId="13217" xr:uid="{2DC3153F-7EAE-4B29-A96E-5CC727F6DA97}"/>
    <cellStyle name="Normal 4 2 2 3 4 4 3" xfId="5963" xr:uid="{00000000-0005-0000-0000-000078120000}"/>
    <cellStyle name="Normal 4 2 2 3 4 4 3 2" xfId="15289" xr:uid="{53826B46-748F-461E-AB7B-3F21936CC2E2}"/>
    <cellStyle name="Normal 4 2 2 3 4 4 4" xfId="11072" xr:uid="{4294D367-40F9-4EF2-9850-2C54227E8E33}"/>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47" xr:uid="{CCF16421-8D4C-42B4-95B5-FD85A7BD49C3}"/>
    <cellStyle name="Normal 4 2 2 3 4 5 2 3" xfId="13630" xr:uid="{7647ACF4-76E7-4390-AFE0-0BF4C49ABE13}"/>
    <cellStyle name="Normal 4 2 2 3 4 5 3" xfId="6376" xr:uid="{00000000-0005-0000-0000-00007C120000}"/>
    <cellStyle name="Normal 4 2 2 3 4 5 3 2" xfId="15702" xr:uid="{8411658F-E142-4AAA-9E3B-7998EFD51FBB}"/>
    <cellStyle name="Normal 4 2 2 3 4 5 4" xfId="11485" xr:uid="{E1E06FD2-2775-4734-9A6A-9E4508599C2F}"/>
    <cellStyle name="Normal 4 2 2 3 4 6" xfId="2506" xr:uid="{00000000-0005-0000-0000-00007D120000}"/>
    <cellStyle name="Normal 4 2 2 3 4 6 2" xfId="6789" xr:uid="{00000000-0005-0000-0000-00007E120000}"/>
    <cellStyle name="Normal 4 2 2 3 4 6 2 2" xfId="16115" xr:uid="{B464E553-BAD2-4D97-8447-A2A12EFA556F}"/>
    <cellStyle name="Normal 4 2 2 3 4 6 3" xfId="11898" xr:uid="{B8D680F2-B33A-40E3-968C-AE0E23C48091}"/>
    <cellStyle name="Normal 4 2 2 3 4 7" xfId="4724" xr:uid="{00000000-0005-0000-0000-00007F120000}"/>
    <cellStyle name="Normal 4 2 2 3 4 7 2" xfId="14050" xr:uid="{A6259FE1-1DDB-4869-925D-96F0CE2BD180}"/>
    <cellStyle name="Normal 4 2 2 3 4 8" xfId="8991" xr:uid="{84464EC3-90C2-4B18-8399-135C935528F7}"/>
    <cellStyle name="Normal 4 2 2 3 4 8 2" xfId="18315" xr:uid="{BB5D70D0-1605-4957-B4C6-35EAFBCEC214}"/>
    <cellStyle name="Normal 4 2 2 3 4 9" xfId="9833" xr:uid="{F7728AC4-3606-4A49-BD1B-C242B6D119F2}"/>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601" xr:uid="{8C74C42C-712D-4CAF-B58D-A94E45636D0D}"/>
    <cellStyle name="Normal 4 2 2 3 5 2 3" xfId="12384" xr:uid="{AAB70FDD-B703-4583-A1FB-2F7676A55176}"/>
    <cellStyle name="Normal 4 2 2 3 5 3" xfId="5130" xr:uid="{00000000-0005-0000-0000-000083120000}"/>
    <cellStyle name="Normal 4 2 2 3 5 3 2" xfId="14456" xr:uid="{CC79FD8B-BDD8-464D-8F77-D34DCC17CEBE}"/>
    <cellStyle name="Normal 4 2 2 3 5 4" xfId="9208" xr:uid="{7BF9CD11-B90D-42F2-928D-A8BE344C6F46}"/>
    <cellStyle name="Normal 4 2 2 3 5 4 2" xfId="18524" xr:uid="{64DCCD20-EAD9-4116-BA24-DFCC34F2D14B}"/>
    <cellStyle name="Normal 4 2 2 3 5 5" xfId="10239" xr:uid="{ECDFC351-93AF-4306-B889-480C9B145221}"/>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7014" xr:uid="{08782A34-7709-41D1-A0A3-A69BF0A71502}"/>
    <cellStyle name="Normal 4 2 2 3 6 2 3" xfId="12797" xr:uid="{1E4A8E40-5345-4818-89B0-03CF3B31589E}"/>
    <cellStyle name="Normal 4 2 2 3 6 3" xfId="5543" xr:uid="{00000000-0005-0000-0000-000087120000}"/>
    <cellStyle name="Normal 4 2 2 3 6 3 2" xfId="14869" xr:uid="{1F8B4215-2F7B-4870-B32E-FEE7EB4A8DA0}"/>
    <cellStyle name="Normal 4 2 2 3 6 4" xfId="10652" xr:uid="{EC4B59D4-90D5-41DA-8F09-7643A9C77DC5}"/>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427" xr:uid="{3933C589-33E8-4B96-87B5-B79DA63ECE70}"/>
    <cellStyle name="Normal 4 2 2 3 7 2 3" xfId="13210" xr:uid="{E0AFDB6B-6038-43F9-B7B5-3B0495825378}"/>
    <cellStyle name="Normal 4 2 2 3 7 3" xfId="5956" xr:uid="{00000000-0005-0000-0000-00008B120000}"/>
    <cellStyle name="Normal 4 2 2 3 7 3 2" xfId="15282" xr:uid="{8FFB9160-7BD3-47EB-8237-57A5F0887AF2}"/>
    <cellStyle name="Normal 4 2 2 3 7 4" xfId="11065" xr:uid="{E30EDA02-9982-451F-9AA1-043AD49A1D89}"/>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840" xr:uid="{17595FB8-FFF4-4193-9052-7E7441419C8A}"/>
    <cellStyle name="Normal 4 2 2 3 8 2 3" xfId="13623" xr:uid="{1A4B4A78-2CCA-41E2-8672-685D888A55EB}"/>
    <cellStyle name="Normal 4 2 2 3 8 3" xfId="6369" xr:uid="{00000000-0005-0000-0000-00008F120000}"/>
    <cellStyle name="Normal 4 2 2 3 8 3 2" xfId="15695" xr:uid="{19244101-35F6-442E-AB5B-61C43394F28F}"/>
    <cellStyle name="Normal 4 2 2 3 8 4" xfId="11478" xr:uid="{6362CC88-C64B-4577-8D63-1F6BB6879D3E}"/>
    <cellStyle name="Normal 4 2 2 3 9" xfId="2499" xr:uid="{00000000-0005-0000-0000-000090120000}"/>
    <cellStyle name="Normal 4 2 2 3 9 2" xfId="6782" xr:uid="{00000000-0005-0000-0000-000091120000}"/>
    <cellStyle name="Normal 4 2 2 3 9 2 2" xfId="16108" xr:uid="{2DD8FB12-991F-4191-9ACD-86DBC4DA87D4}"/>
    <cellStyle name="Normal 4 2 2 3 9 3" xfId="11891" xr:uid="{81218EF0-2814-4D22-9980-FA56B4FABC46}"/>
    <cellStyle name="Normal 4 2 2 4" xfId="347" xr:uid="{00000000-0005-0000-0000-000092120000}"/>
    <cellStyle name="Normal 4 2 2 4 10" xfId="8818" xr:uid="{A73977A7-52C6-4368-9F59-166E1B99BBDE}"/>
    <cellStyle name="Normal 4 2 2 4 10 2" xfId="18142" xr:uid="{AE390152-DCB8-4E64-A0C9-E419EDD517A1}"/>
    <cellStyle name="Normal 4 2 2 4 11" xfId="9834" xr:uid="{55DDA6F1-BCA0-4FFA-9F32-01FBE2575A1E}"/>
    <cellStyle name="Normal 4 2 2 4 2" xfId="348" xr:uid="{00000000-0005-0000-0000-000093120000}"/>
    <cellStyle name="Normal 4 2 2 4 2 10" xfId="9835" xr:uid="{5DC15166-ABBC-4A5F-A19C-B5F967784AD5}"/>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611" xr:uid="{81C3D36D-2FB8-402D-9C6B-A5E3379ECEBD}"/>
    <cellStyle name="Normal 4 2 2 4 2 2 2 2 3" xfId="12394" xr:uid="{EC6CC555-7127-44D5-AC04-7A6DE7902C80}"/>
    <cellStyle name="Normal 4 2 2 4 2 2 2 3" xfId="5140" xr:uid="{00000000-0005-0000-0000-000098120000}"/>
    <cellStyle name="Normal 4 2 2 4 2 2 2 3 2" xfId="14466" xr:uid="{C02FF203-301A-46B7-9339-9009F47876B0}"/>
    <cellStyle name="Normal 4 2 2 4 2 2 2 4" xfId="9553" xr:uid="{7FCAF883-2374-4470-BA95-AD8EB054639C}"/>
    <cellStyle name="Normal 4 2 2 4 2 2 2 4 2" xfId="18868" xr:uid="{A45FF906-99C8-47FC-8211-F6BC39BDD1D6}"/>
    <cellStyle name="Normal 4 2 2 4 2 2 2 5" xfId="10249" xr:uid="{B272593C-9C22-4D68-81F1-FE25B509988A}"/>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7024" xr:uid="{2F93ED91-80D2-499F-ABE9-0EF0DA94F179}"/>
    <cellStyle name="Normal 4 2 2 4 2 2 3 2 3" xfId="12807" xr:uid="{414EA207-A9B6-4A10-857F-FF54BA2DA206}"/>
    <cellStyle name="Normal 4 2 2 4 2 2 3 3" xfId="5553" xr:uid="{00000000-0005-0000-0000-00009C120000}"/>
    <cellStyle name="Normal 4 2 2 4 2 2 3 3 2" xfId="14879" xr:uid="{A4F93097-2467-47A6-AD6E-8DA3AD0D65E9}"/>
    <cellStyle name="Normal 4 2 2 4 2 2 3 4" xfId="10662" xr:uid="{47582D2E-D4B7-4B36-BB67-4ECBD483BF3C}"/>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437" xr:uid="{4594BDFC-AD65-48C3-B859-E0262149C405}"/>
    <cellStyle name="Normal 4 2 2 4 2 2 4 2 3" xfId="13220" xr:uid="{9C7BA74B-13E8-4748-97AF-8C70B82EB57F}"/>
    <cellStyle name="Normal 4 2 2 4 2 2 4 3" xfId="5966" xr:uid="{00000000-0005-0000-0000-0000A0120000}"/>
    <cellStyle name="Normal 4 2 2 4 2 2 4 3 2" xfId="15292" xr:uid="{AE447013-D001-4B8D-90FA-491A611111D7}"/>
    <cellStyle name="Normal 4 2 2 4 2 2 4 4" xfId="11075" xr:uid="{DCA620F9-9B54-4091-900F-D6388EB0AF94}"/>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50" xr:uid="{FA511D6D-76A8-43D3-BD88-8CD766F6CFB0}"/>
    <cellStyle name="Normal 4 2 2 4 2 2 5 2 3" xfId="13633" xr:uid="{0A16D7F7-AA3F-4A45-B8BC-3AAA72AE147D}"/>
    <cellStyle name="Normal 4 2 2 4 2 2 5 3" xfId="6379" xr:uid="{00000000-0005-0000-0000-0000A4120000}"/>
    <cellStyle name="Normal 4 2 2 4 2 2 5 3 2" xfId="15705" xr:uid="{1A845932-1602-45B5-9F60-0C1D635F9C81}"/>
    <cellStyle name="Normal 4 2 2 4 2 2 5 4" xfId="11488" xr:uid="{021707EC-E4C6-417F-955E-AF1E77A68ADE}"/>
    <cellStyle name="Normal 4 2 2 4 2 2 6" xfId="2509" xr:uid="{00000000-0005-0000-0000-0000A5120000}"/>
    <cellStyle name="Normal 4 2 2 4 2 2 6 2" xfId="6792" xr:uid="{00000000-0005-0000-0000-0000A6120000}"/>
    <cellStyle name="Normal 4 2 2 4 2 2 6 2 2" xfId="16118" xr:uid="{DA7ACA0C-3975-4764-BC30-3A76A0AEFF2B}"/>
    <cellStyle name="Normal 4 2 2 4 2 2 6 3" xfId="11901" xr:uid="{E6A0668D-0A93-4E54-AF38-17CCAB4E50FA}"/>
    <cellStyle name="Normal 4 2 2 4 2 2 7" xfId="4727" xr:uid="{00000000-0005-0000-0000-0000A7120000}"/>
    <cellStyle name="Normal 4 2 2 4 2 2 7 2" xfId="14053" xr:uid="{5053AE7C-E7E6-4C3C-9FAD-89470872AFDF}"/>
    <cellStyle name="Normal 4 2 2 4 2 2 8" xfId="9128" xr:uid="{3D9AD2A4-E3D1-4BAF-8F43-BFB1FE8E222D}"/>
    <cellStyle name="Normal 4 2 2 4 2 2 8 2" xfId="18452" xr:uid="{0EE54F60-FDAD-4F27-9071-638DBC89EBAA}"/>
    <cellStyle name="Normal 4 2 2 4 2 2 9" xfId="9836" xr:uid="{1A209F55-C3AF-4BF9-BDE3-DB6750C0B8A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610" xr:uid="{F7D1AD17-D864-4ED1-8459-31C398F151D1}"/>
    <cellStyle name="Normal 4 2 2 4 2 3 2 3" xfId="12393" xr:uid="{D7C6A893-570A-46A3-AA0B-CE2A28B3DB24}"/>
    <cellStyle name="Normal 4 2 2 4 2 3 3" xfId="5139" xr:uid="{00000000-0005-0000-0000-0000AB120000}"/>
    <cellStyle name="Normal 4 2 2 4 2 3 3 2" xfId="14465" xr:uid="{57829DAD-8BD4-43E7-B991-D3FF67B8120C}"/>
    <cellStyle name="Normal 4 2 2 4 2 3 4" xfId="9346" xr:uid="{11110DEC-01F5-467C-B0F9-3286FF7E57CB}"/>
    <cellStyle name="Normal 4 2 2 4 2 3 4 2" xfId="18661" xr:uid="{0EB8A22F-88EA-4387-9F48-025400B5AA91}"/>
    <cellStyle name="Normal 4 2 2 4 2 3 5" xfId="10248" xr:uid="{EADC9FA7-0F9A-4C77-9C9F-CA6BF13357E1}"/>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7023" xr:uid="{D9086C85-16F6-43DE-AD6D-C7A01EEEAC17}"/>
    <cellStyle name="Normal 4 2 2 4 2 4 2 3" xfId="12806" xr:uid="{9277B7D0-692C-4D7E-9F27-0A31ACB34289}"/>
    <cellStyle name="Normal 4 2 2 4 2 4 3" xfId="5552" xr:uid="{00000000-0005-0000-0000-0000AF120000}"/>
    <cellStyle name="Normal 4 2 2 4 2 4 3 2" xfId="14878" xr:uid="{CFBB713A-222A-412C-B6AC-A92D77768E08}"/>
    <cellStyle name="Normal 4 2 2 4 2 4 4" xfId="10661" xr:uid="{FE78979D-E638-4A8D-9177-5CDF91EBABAA}"/>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436" xr:uid="{B4B2EC5A-E458-4663-BD03-260C11DCF716}"/>
    <cellStyle name="Normal 4 2 2 4 2 5 2 3" xfId="13219" xr:uid="{459D939B-106C-4B7B-8F29-6274524B27C5}"/>
    <cellStyle name="Normal 4 2 2 4 2 5 3" xfId="5965" xr:uid="{00000000-0005-0000-0000-0000B3120000}"/>
    <cellStyle name="Normal 4 2 2 4 2 5 3 2" xfId="15291" xr:uid="{FA847607-2BB6-47AE-96FD-6E862A3DA018}"/>
    <cellStyle name="Normal 4 2 2 4 2 5 4" xfId="11074" xr:uid="{45489A74-F6AA-4CFF-9226-AB88B386E239}"/>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49" xr:uid="{9940CADD-9714-4B08-A8A0-EB9003634901}"/>
    <cellStyle name="Normal 4 2 2 4 2 6 2 3" xfId="13632" xr:uid="{C77451C5-6E8E-4068-A4E7-88FE5400F278}"/>
    <cellStyle name="Normal 4 2 2 4 2 6 3" xfId="6378" xr:uid="{00000000-0005-0000-0000-0000B7120000}"/>
    <cellStyle name="Normal 4 2 2 4 2 6 3 2" xfId="15704" xr:uid="{CB3231D8-7791-465A-A42A-DDD5CC6754CA}"/>
    <cellStyle name="Normal 4 2 2 4 2 6 4" xfId="11487" xr:uid="{7E70C4B0-7CA7-4399-BE2D-D9741A98EC16}"/>
    <cellStyle name="Normal 4 2 2 4 2 7" xfId="2508" xr:uid="{00000000-0005-0000-0000-0000B8120000}"/>
    <cellStyle name="Normal 4 2 2 4 2 7 2" xfId="6791" xr:uid="{00000000-0005-0000-0000-0000B9120000}"/>
    <cellStyle name="Normal 4 2 2 4 2 7 2 2" xfId="16117" xr:uid="{C3F7F07C-779F-4B89-807F-B524793E0FFD}"/>
    <cellStyle name="Normal 4 2 2 4 2 7 3" xfId="11900" xr:uid="{87E591BA-8164-48C4-AC8E-CFB7AFE07600}"/>
    <cellStyle name="Normal 4 2 2 4 2 8" xfId="4726" xr:uid="{00000000-0005-0000-0000-0000BA120000}"/>
    <cellStyle name="Normal 4 2 2 4 2 8 2" xfId="14052" xr:uid="{0B66B5E5-831B-4BCD-93F1-C3D4E41806B9}"/>
    <cellStyle name="Normal 4 2 2 4 2 9" xfId="8921" xr:uid="{43AA3CA1-A6D2-47CC-8276-CBFAB7238AA6}"/>
    <cellStyle name="Normal 4 2 2 4 2 9 2" xfId="18245" xr:uid="{43369CBC-1045-4DB5-894F-0327B69A584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612" xr:uid="{50CE01D9-EE81-41EC-9962-3C3AB4BAEBAB}"/>
    <cellStyle name="Normal 4 2 2 4 3 2 2 3" xfId="12395" xr:uid="{58EAD80E-E0B3-4359-A676-BC646154E034}"/>
    <cellStyle name="Normal 4 2 2 4 3 2 3" xfId="5141" xr:uid="{00000000-0005-0000-0000-0000BF120000}"/>
    <cellStyle name="Normal 4 2 2 4 3 2 3 2" xfId="14467" xr:uid="{A818670E-5DFF-43AF-AF8E-1314E1190F47}"/>
    <cellStyle name="Normal 4 2 2 4 3 2 4" xfId="9450" xr:uid="{0F54578A-5DA3-4B6E-9E36-71CC7CD6BFE8}"/>
    <cellStyle name="Normal 4 2 2 4 3 2 4 2" xfId="18765" xr:uid="{DFA1B64E-955B-4F1A-B916-C24FBA4C40B9}"/>
    <cellStyle name="Normal 4 2 2 4 3 2 5" xfId="10250" xr:uid="{67BCA985-FB5C-4B4C-82C0-EEA06EE55024}"/>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7025" xr:uid="{BB544A27-1BEC-45E1-9EAC-DC7256A56D35}"/>
    <cellStyle name="Normal 4 2 2 4 3 3 2 3" xfId="12808" xr:uid="{ADD3C6B6-713B-40E3-AB9B-1F2328FA95A3}"/>
    <cellStyle name="Normal 4 2 2 4 3 3 3" xfId="5554" xr:uid="{00000000-0005-0000-0000-0000C3120000}"/>
    <cellStyle name="Normal 4 2 2 4 3 3 3 2" xfId="14880" xr:uid="{C3514A73-195D-44D4-AAE1-5540A8B44919}"/>
    <cellStyle name="Normal 4 2 2 4 3 3 4" xfId="10663" xr:uid="{5E35B2DD-7FE6-4C3D-B890-A02C016A72AA}"/>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438" xr:uid="{D55C3323-8067-4519-B850-CB62B9FEA78F}"/>
    <cellStyle name="Normal 4 2 2 4 3 4 2 3" xfId="13221" xr:uid="{42B3FEA4-6AA8-4B5B-A6DA-83F33B7091AB}"/>
    <cellStyle name="Normal 4 2 2 4 3 4 3" xfId="5967" xr:uid="{00000000-0005-0000-0000-0000C7120000}"/>
    <cellStyle name="Normal 4 2 2 4 3 4 3 2" xfId="15293" xr:uid="{1A882EE2-BCFD-4B77-8ACA-04C52D5759EB}"/>
    <cellStyle name="Normal 4 2 2 4 3 4 4" xfId="11076" xr:uid="{394F685D-2FF0-4412-A76A-E1583CFCDBAB}"/>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51" xr:uid="{26888248-CDCB-43DD-98B4-0878CE2D4C9B}"/>
    <cellStyle name="Normal 4 2 2 4 3 5 2 3" xfId="13634" xr:uid="{0BEE293E-0E46-4A29-A0E9-A14995379FBF}"/>
    <cellStyle name="Normal 4 2 2 4 3 5 3" xfId="6380" xr:uid="{00000000-0005-0000-0000-0000CB120000}"/>
    <cellStyle name="Normal 4 2 2 4 3 5 3 2" xfId="15706" xr:uid="{A17EE258-2F1E-4743-9F5D-A76B2EB5F873}"/>
    <cellStyle name="Normal 4 2 2 4 3 5 4" xfId="11489" xr:uid="{1BA2183C-C648-4FA2-A097-37A637F70A6B}"/>
    <cellStyle name="Normal 4 2 2 4 3 6" xfId="2510" xr:uid="{00000000-0005-0000-0000-0000CC120000}"/>
    <cellStyle name="Normal 4 2 2 4 3 6 2" xfId="6793" xr:uid="{00000000-0005-0000-0000-0000CD120000}"/>
    <cellStyle name="Normal 4 2 2 4 3 6 2 2" xfId="16119" xr:uid="{1E33C3CA-A0D7-4883-A2E4-3370E2696760}"/>
    <cellStyle name="Normal 4 2 2 4 3 6 3" xfId="11902" xr:uid="{2426765F-FDF5-4A1A-B611-E6DE0B3A7EA4}"/>
    <cellStyle name="Normal 4 2 2 4 3 7" xfId="4728" xr:uid="{00000000-0005-0000-0000-0000CE120000}"/>
    <cellStyle name="Normal 4 2 2 4 3 7 2" xfId="14054" xr:uid="{637B8C4F-F589-4A8D-B2AB-968E569781A1}"/>
    <cellStyle name="Normal 4 2 2 4 3 8" xfId="9025" xr:uid="{436CB353-A916-4AB2-B5E2-8C1BDAEA1182}"/>
    <cellStyle name="Normal 4 2 2 4 3 8 2" xfId="18349" xr:uid="{AF214DE1-927F-4CBB-9903-60444B334035}"/>
    <cellStyle name="Normal 4 2 2 4 3 9" xfId="9837" xr:uid="{0BD42D27-D2F6-4FF7-A9A1-01B1902FEAFD}"/>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609" xr:uid="{D6C30943-425B-47AA-9183-AF925E973170}"/>
    <cellStyle name="Normal 4 2 2 4 4 2 3" xfId="12392" xr:uid="{DA681260-2A3A-4B02-888B-BD83BB96C1F2}"/>
    <cellStyle name="Normal 4 2 2 4 4 3" xfId="5138" xr:uid="{00000000-0005-0000-0000-0000D2120000}"/>
    <cellStyle name="Normal 4 2 2 4 4 3 2" xfId="14464" xr:uid="{9944A7A4-19AB-4E66-9C5F-2F58A979D9DA}"/>
    <cellStyle name="Normal 4 2 2 4 4 4" xfId="9243" xr:uid="{FD46A281-F5BE-478B-950E-209D1D56FC0E}"/>
    <cellStyle name="Normal 4 2 2 4 4 4 2" xfId="18558" xr:uid="{3EF3D4C4-D532-40CF-A77D-C7D015C6FD71}"/>
    <cellStyle name="Normal 4 2 2 4 4 5" xfId="10247" xr:uid="{AAFBE191-1B08-4C5E-9843-5FE0B406DFD0}"/>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7022" xr:uid="{6C28E613-9DF6-40BD-A676-7AA55EBE8BE7}"/>
    <cellStyle name="Normal 4 2 2 4 5 2 3" xfId="12805" xr:uid="{0654F385-3FE2-45F3-AA69-01F8A155EC93}"/>
    <cellStyle name="Normal 4 2 2 4 5 3" xfId="5551" xr:uid="{00000000-0005-0000-0000-0000D6120000}"/>
    <cellStyle name="Normal 4 2 2 4 5 3 2" xfId="14877" xr:uid="{7EE82C35-538F-4C00-99A2-3D28976C9765}"/>
    <cellStyle name="Normal 4 2 2 4 5 4" xfId="10660" xr:uid="{A86B0A62-3D9B-466A-8ADE-2FD504A66D25}"/>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435" xr:uid="{D6BEDD31-AD67-45F3-9124-04510E17E65E}"/>
    <cellStyle name="Normal 4 2 2 4 6 2 3" xfId="13218" xr:uid="{D0726C4C-22C9-48A8-BC59-84D95170EBE6}"/>
    <cellStyle name="Normal 4 2 2 4 6 3" xfId="5964" xr:uid="{00000000-0005-0000-0000-0000DA120000}"/>
    <cellStyle name="Normal 4 2 2 4 6 3 2" xfId="15290" xr:uid="{B838F73B-8547-4C09-95A5-0843382A76FB}"/>
    <cellStyle name="Normal 4 2 2 4 6 4" xfId="11073" xr:uid="{A1C22636-0446-44A2-87C4-A9410B6CE23E}"/>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48" xr:uid="{8CCE8D09-272C-4625-8490-99C6D84321A1}"/>
    <cellStyle name="Normal 4 2 2 4 7 2 3" xfId="13631" xr:uid="{49F21EA7-787F-4435-8BA4-8BDDE3504669}"/>
    <cellStyle name="Normal 4 2 2 4 7 3" xfId="6377" xr:uid="{00000000-0005-0000-0000-0000DE120000}"/>
    <cellStyle name="Normal 4 2 2 4 7 3 2" xfId="15703" xr:uid="{E9E0F481-C65C-4668-8C58-F0859B81D165}"/>
    <cellStyle name="Normal 4 2 2 4 7 4" xfId="11486" xr:uid="{417200E8-0A5B-4430-BED1-0B05BB9EDD57}"/>
    <cellStyle name="Normal 4 2 2 4 8" xfId="2507" xr:uid="{00000000-0005-0000-0000-0000DF120000}"/>
    <cellStyle name="Normal 4 2 2 4 8 2" xfId="6790" xr:uid="{00000000-0005-0000-0000-0000E0120000}"/>
    <cellStyle name="Normal 4 2 2 4 8 2 2" xfId="16116" xr:uid="{863B4DE1-14A9-41D4-8BD3-2815844DCB4D}"/>
    <cellStyle name="Normal 4 2 2 4 8 3" xfId="11899" xr:uid="{EEF04E8D-C02C-4AB9-8F78-D7FE0EEFAA2B}"/>
    <cellStyle name="Normal 4 2 2 4 9" xfId="4725" xr:uid="{00000000-0005-0000-0000-0000E1120000}"/>
    <cellStyle name="Normal 4 2 2 4 9 2" xfId="14051" xr:uid="{632A9D65-C139-4258-88B8-3637F57B9886}"/>
    <cellStyle name="Normal 4 2 2 5" xfId="351" xr:uid="{00000000-0005-0000-0000-0000E2120000}"/>
    <cellStyle name="Normal 4 2 2 5 10" xfId="9838" xr:uid="{499E2A05-5454-455A-B83D-336A05B3BA59}"/>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614" xr:uid="{84ED0E1B-8622-42A8-9E03-57351EDD3741}"/>
    <cellStyle name="Normal 4 2 2 5 2 2 2 3" xfId="12397" xr:uid="{646E01BB-19C7-4523-B87A-C7E288CB63A6}"/>
    <cellStyle name="Normal 4 2 2 5 2 2 3" xfId="5143" xr:uid="{00000000-0005-0000-0000-0000E7120000}"/>
    <cellStyle name="Normal 4 2 2 5 2 2 3 2" xfId="14469" xr:uid="{7A56524D-B2FE-41DA-AB5D-240B6C9F77B8}"/>
    <cellStyle name="Normal 4 2 2 5 2 2 4" xfId="9487" xr:uid="{83D2756E-B983-4EA9-AB48-FF4D3E821CE4}"/>
    <cellStyle name="Normal 4 2 2 5 2 2 4 2" xfId="18802" xr:uid="{EB9E2553-3B61-4F15-9A2C-84BC9C91F130}"/>
    <cellStyle name="Normal 4 2 2 5 2 2 5" xfId="10252" xr:uid="{ECC66C6C-8347-47B4-B0AF-0584AAB6CC79}"/>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7027" xr:uid="{C139858F-61F6-475F-9747-57A205392044}"/>
    <cellStyle name="Normal 4 2 2 5 2 3 2 3" xfId="12810" xr:uid="{F411E78A-6F4C-4C09-96F9-4E1DC263B615}"/>
    <cellStyle name="Normal 4 2 2 5 2 3 3" xfId="5556" xr:uid="{00000000-0005-0000-0000-0000EB120000}"/>
    <cellStyle name="Normal 4 2 2 5 2 3 3 2" xfId="14882" xr:uid="{0CA94FE1-E143-47B9-868F-36A9756C42A7}"/>
    <cellStyle name="Normal 4 2 2 5 2 3 4" xfId="10665" xr:uid="{B7F0FE89-CEB2-4ABD-90F2-1B5AB087470E}"/>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440" xr:uid="{A7F0C182-681C-4366-8C5F-20CB655F589C}"/>
    <cellStyle name="Normal 4 2 2 5 2 4 2 3" xfId="13223" xr:uid="{C2C56DA0-6EBE-49F6-99D1-7B16D2F67636}"/>
    <cellStyle name="Normal 4 2 2 5 2 4 3" xfId="5969" xr:uid="{00000000-0005-0000-0000-0000EF120000}"/>
    <cellStyle name="Normal 4 2 2 5 2 4 3 2" xfId="15295" xr:uid="{BEFDAD13-503F-4959-AD62-1A57F32CD138}"/>
    <cellStyle name="Normal 4 2 2 5 2 4 4" xfId="11078" xr:uid="{CB25057B-0E94-4D0B-A5CB-F8BC4F17B00A}"/>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53" xr:uid="{5C9039E1-0289-4027-8FB1-6E6C64637BD9}"/>
    <cellStyle name="Normal 4 2 2 5 2 5 2 3" xfId="13636" xr:uid="{21E695AD-AD2D-4DEA-8D00-5BEBB93679AD}"/>
    <cellStyle name="Normal 4 2 2 5 2 5 3" xfId="6382" xr:uid="{00000000-0005-0000-0000-0000F3120000}"/>
    <cellStyle name="Normal 4 2 2 5 2 5 3 2" xfId="15708" xr:uid="{58E0FB6F-FE25-4A05-ACDE-CB4EC3522EE1}"/>
    <cellStyle name="Normal 4 2 2 5 2 5 4" xfId="11491" xr:uid="{D0134EB0-0ADD-4EDE-829C-6C9AFFAF6CD2}"/>
    <cellStyle name="Normal 4 2 2 5 2 6" xfId="2512" xr:uid="{00000000-0005-0000-0000-0000F4120000}"/>
    <cellStyle name="Normal 4 2 2 5 2 6 2" xfId="6795" xr:uid="{00000000-0005-0000-0000-0000F5120000}"/>
    <cellStyle name="Normal 4 2 2 5 2 6 2 2" xfId="16121" xr:uid="{109F9AA8-CBD7-42C8-B53A-41D438D7E6E0}"/>
    <cellStyle name="Normal 4 2 2 5 2 6 3" xfId="11904" xr:uid="{ACD74641-6D76-4BB4-ABA1-3ABDC68CAE24}"/>
    <cellStyle name="Normal 4 2 2 5 2 7" xfId="4730" xr:uid="{00000000-0005-0000-0000-0000F6120000}"/>
    <cellStyle name="Normal 4 2 2 5 2 7 2" xfId="14056" xr:uid="{FB81A20E-4770-407F-9A5E-5D83FE476D64}"/>
    <cellStyle name="Normal 4 2 2 5 2 8" xfId="9062" xr:uid="{FED54422-C2E5-44B3-AA7C-C6088F47A385}"/>
    <cellStyle name="Normal 4 2 2 5 2 8 2" xfId="18386" xr:uid="{3A762413-5591-41FF-9594-B854E7F05092}"/>
    <cellStyle name="Normal 4 2 2 5 2 9" xfId="9839" xr:uid="{D455106F-0761-483D-A2C9-561589E43DBB}"/>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613" xr:uid="{5F296970-8C64-4EEA-B0D0-0A9E73EAF650}"/>
    <cellStyle name="Normal 4 2 2 5 3 2 3" xfId="12396" xr:uid="{E147D08C-1B5D-4985-A012-D9BF3B61B1AD}"/>
    <cellStyle name="Normal 4 2 2 5 3 3" xfId="5142" xr:uid="{00000000-0005-0000-0000-0000FA120000}"/>
    <cellStyle name="Normal 4 2 2 5 3 3 2" xfId="14468" xr:uid="{E4C86961-F852-4062-A470-5EA9AC251BE0}"/>
    <cellStyle name="Normal 4 2 2 5 3 4" xfId="9280" xr:uid="{C70B18D8-E279-4D37-82EF-3177E9FA554F}"/>
    <cellStyle name="Normal 4 2 2 5 3 4 2" xfId="18595" xr:uid="{58D8EAD5-E685-4A12-BE50-4EEB48CAFF71}"/>
    <cellStyle name="Normal 4 2 2 5 3 5" xfId="10251" xr:uid="{93EB4669-C32A-4045-86F5-526CA077E62D}"/>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7026" xr:uid="{32EC7EA5-1951-4FDA-AECD-6CA0EA35090F}"/>
    <cellStyle name="Normal 4 2 2 5 4 2 3" xfId="12809" xr:uid="{2B881414-FAAE-4EA1-9761-26A6644AA316}"/>
    <cellStyle name="Normal 4 2 2 5 4 3" xfId="5555" xr:uid="{00000000-0005-0000-0000-0000FE120000}"/>
    <cellStyle name="Normal 4 2 2 5 4 3 2" xfId="14881" xr:uid="{B1C6DA08-3FF2-49F7-8C4B-D4DE5A8A7D93}"/>
    <cellStyle name="Normal 4 2 2 5 4 4" xfId="10664" xr:uid="{62FF04F6-817D-4430-B669-756D96B25299}"/>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439" xr:uid="{CECA1787-61C6-49D6-A71D-C2780E1D5AAC}"/>
    <cellStyle name="Normal 4 2 2 5 5 2 3" xfId="13222" xr:uid="{1B2C7EC0-61A6-49CB-8F24-4BEC146D23C7}"/>
    <cellStyle name="Normal 4 2 2 5 5 3" xfId="5968" xr:uid="{00000000-0005-0000-0000-000002130000}"/>
    <cellStyle name="Normal 4 2 2 5 5 3 2" xfId="15294" xr:uid="{4240EC6B-A40C-4441-A703-2412F94BE7D2}"/>
    <cellStyle name="Normal 4 2 2 5 5 4" xfId="11077" xr:uid="{9F1D4B6B-B43F-40E2-9D0B-A23D389EBD15}"/>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52" xr:uid="{07A9C5A3-CC25-47B1-A77B-7EEEDAB046AA}"/>
    <cellStyle name="Normal 4 2 2 5 6 2 3" xfId="13635" xr:uid="{3A93634B-9427-4E25-A819-9FC37DA7682E}"/>
    <cellStyle name="Normal 4 2 2 5 6 3" xfId="6381" xr:uid="{00000000-0005-0000-0000-000006130000}"/>
    <cellStyle name="Normal 4 2 2 5 6 3 2" xfId="15707" xr:uid="{98094987-050B-48F7-80D2-05EB49150FCB}"/>
    <cellStyle name="Normal 4 2 2 5 6 4" xfId="11490" xr:uid="{B284D546-5DEF-4F19-A631-23BBAF63A780}"/>
    <cellStyle name="Normal 4 2 2 5 7" xfId="2511" xr:uid="{00000000-0005-0000-0000-000007130000}"/>
    <cellStyle name="Normal 4 2 2 5 7 2" xfId="6794" xr:uid="{00000000-0005-0000-0000-000008130000}"/>
    <cellStyle name="Normal 4 2 2 5 7 2 2" xfId="16120" xr:uid="{A6CB5D30-D927-4EC3-BDBB-29D42350C930}"/>
    <cellStyle name="Normal 4 2 2 5 7 3" xfId="11903" xr:uid="{4AFD1CA2-E32D-4D22-A056-EF13DCB9CAF1}"/>
    <cellStyle name="Normal 4 2 2 5 8" xfId="4729" xr:uid="{00000000-0005-0000-0000-000009130000}"/>
    <cellStyle name="Normal 4 2 2 5 8 2" xfId="14055" xr:uid="{FAAA5DEF-D362-4EED-A602-1874C1ADC6BD}"/>
    <cellStyle name="Normal 4 2 2 5 9" xfId="8855" xr:uid="{894DEE8B-A5CD-4C4E-B41D-DCEB92717109}"/>
    <cellStyle name="Normal 4 2 2 5 9 2" xfId="18179" xr:uid="{FA6185FB-6C66-4731-B3E9-3D011E9AA6DE}"/>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615" xr:uid="{9DA4CD20-2086-440D-9718-ACD24E592187}"/>
    <cellStyle name="Normal 4 2 2 6 2 2 3" xfId="12398" xr:uid="{A76E33D3-18BB-4CB8-9450-12864717EAAC}"/>
    <cellStyle name="Normal 4 2 2 6 2 3" xfId="5144" xr:uid="{00000000-0005-0000-0000-00000E130000}"/>
    <cellStyle name="Normal 4 2 2 6 2 3 2" xfId="14470" xr:uid="{D364D7DC-BFF4-40D7-A54C-6E4BDE368F3C}"/>
    <cellStyle name="Normal 4 2 2 6 2 4" xfId="9396" xr:uid="{5B10E6C6-987A-4149-BB81-321A07C7666F}"/>
    <cellStyle name="Normal 4 2 2 6 2 4 2" xfId="18711" xr:uid="{3FC3A00A-51A3-48F0-A997-7313A9500CF0}"/>
    <cellStyle name="Normal 4 2 2 6 2 5" xfId="10253" xr:uid="{C7FC3120-41FC-4CF4-AD70-2554DBF1F55E}"/>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7028" xr:uid="{1799DDAA-F219-4544-89F2-CAAAFC8D55F1}"/>
    <cellStyle name="Normal 4 2 2 6 3 2 3" xfId="12811" xr:uid="{093D911E-D82D-42D5-99B0-D1BF8635EC7E}"/>
    <cellStyle name="Normal 4 2 2 6 3 3" xfId="5557" xr:uid="{00000000-0005-0000-0000-000012130000}"/>
    <cellStyle name="Normal 4 2 2 6 3 3 2" xfId="14883" xr:uid="{E55F142C-1A41-4648-8F3D-39D47C0E6994}"/>
    <cellStyle name="Normal 4 2 2 6 3 4" xfId="10666" xr:uid="{58D2C58E-5489-410F-A3CF-E51428700321}"/>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441" xr:uid="{D76D9AC8-AF89-4D54-BABD-C438D7915C85}"/>
    <cellStyle name="Normal 4 2 2 6 4 2 3" xfId="13224" xr:uid="{162EC42F-E967-4344-8E1E-97F74A17389F}"/>
    <cellStyle name="Normal 4 2 2 6 4 3" xfId="5970" xr:uid="{00000000-0005-0000-0000-000016130000}"/>
    <cellStyle name="Normal 4 2 2 6 4 3 2" xfId="15296" xr:uid="{5703E0F4-52D6-473F-9E9B-A2D8903DA3D4}"/>
    <cellStyle name="Normal 4 2 2 6 4 4" xfId="11079" xr:uid="{0CE79A25-1199-493F-BF2C-7CE581262D63}"/>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54" xr:uid="{DC9A489D-EC8A-44DA-BF0B-34D68736086F}"/>
    <cellStyle name="Normal 4 2 2 6 5 2 3" xfId="13637" xr:uid="{5539AE46-421D-4764-AE4E-26B6AC1B0AD0}"/>
    <cellStyle name="Normal 4 2 2 6 5 3" xfId="6383" xr:uid="{00000000-0005-0000-0000-00001A130000}"/>
    <cellStyle name="Normal 4 2 2 6 5 3 2" xfId="15709" xr:uid="{B9D7A424-F62A-4086-9AF6-88E0800BC06A}"/>
    <cellStyle name="Normal 4 2 2 6 5 4" xfId="11492" xr:uid="{2D744A88-2FF2-44C0-ABA3-C95265AFEEB8}"/>
    <cellStyle name="Normal 4 2 2 6 6" xfId="2513" xr:uid="{00000000-0005-0000-0000-00001B130000}"/>
    <cellStyle name="Normal 4 2 2 6 6 2" xfId="6796" xr:uid="{00000000-0005-0000-0000-00001C130000}"/>
    <cellStyle name="Normal 4 2 2 6 6 2 2" xfId="16122" xr:uid="{A2DE0ED9-7551-45EF-AEDD-8931D6449A45}"/>
    <cellStyle name="Normal 4 2 2 6 6 3" xfId="11905" xr:uid="{F6075467-6AB3-4CEC-83FE-FDEDF3123375}"/>
    <cellStyle name="Normal 4 2 2 6 7" xfId="4731" xr:uid="{00000000-0005-0000-0000-00001D130000}"/>
    <cellStyle name="Normal 4 2 2 6 7 2" xfId="14057" xr:uid="{8E2C0437-083D-4CCF-A749-44A85F4CF406}"/>
    <cellStyle name="Normal 4 2 2 6 8" xfId="8971" xr:uid="{7BBA3CD4-2D32-439A-A2D5-9F7EB5E5A47E}"/>
    <cellStyle name="Normal 4 2 2 6 8 2" xfId="18295" xr:uid="{C5B66677-8E37-4373-B127-FF5BD08A0C59}"/>
    <cellStyle name="Normal 4 2 2 6 9" xfId="9840" xr:uid="{33AE129E-E287-463A-9F08-5ED4FCADCA6B}"/>
    <cellStyle name="Normal 4 2 2 7" xfId="815" xr:uid="{00000000-0005-0000-0000-00001E130000}"/>
    <cellStyle name="Normal 4 2 2 7 2" xfId="3052" xr:uid="{00000000-0005-0000-0000-00001F130000}"/>
    <cellStyle name="Normal 4 2 2 7 2 2" xfId="7274" xr:uid="{00000000-0005-0000-0000-000020130000}"/>
    <cellStyle name="Normal 4 2 2 7 2 2 2" xfId="16600" xr:uid="{50258CCE-64B7-4941-8BAA-A1E41BA5FCCE}"/>
    <cellStyle name="Normal 4 2 2 7 2 3" xfId="12383" xr:uid="{07692E6A-3BF6-4725-A997-38F056C09035}"/>
    <cellStyle name="Normal 4 2 2 7 3" xfId="5129" xr:uid="{00000000-0005-0000-0000-000021130000}"/>
    <cellStyle name="Normal 4 2 2 7 3 2" xfId="14455" xr:uid="{E7FE7228-38CB-4A8E-A435-A027A226F179}"/>
    <cellStyle name="Normal 4 2 2 7 4" xfId="9174" xr:uid="{5FB177AF-8B2E-4B7E-A1B7-4F6E323AF880}"/>
    <cellStyle name="Normal 4 2 2 7 4 2" xfId="18492" xr:uid="{2F688B9C-8FE7-4CDB-A517-7B1C667D9259}"/>
    <cellStyle name="Normal 4 2 2 7 5" xfId="10238" xr:uid="{238F7134-2439-4D48-894A-E81EA277583C}"/>
    <cellStyle name="Normal 4 2 2 8" xfId="1235" xr:uid="{00000000-0005-0000-0000-000022130000}"/>
    <cellStyle name="Normal 4 2 2 8 2" xfId="3465" xr:uid="{00000000-0005-0000-0000-000023130000}"/>
    <cellStyle name="Normal 4 2 2 8 2 2" xfId="7687" xr:uid="{00000000-0005-0000-0000-000024130000}"/>
    <cellStyle name="Normal 4 2 2 8 2 2 2" xfId="17013" xr:uid="{4A42B8C5-3F16-4D87-AB4C-0E8FD5BDF072}"/>
    <cellStyle name="Normal 4 2 2 8 2 3" xfId="12796" xr:uid="{D26A35C8-05E3-4970-8B47-AB9898261F6F}"/>
    <cellStyle name="Normal 4 2 2 8 3" xfId="5542" xr:uid="{00000000-0005-0000-0000-000025130000}"/>
    <cellStyle name="Normal 4 2 2 8 3 2" xfId="14868" xr:uid="{7AD87F9D-3F44-449D-A5FA-8A96BB6BDB74}"/>
    <cellStyle name="Normal 4 2 2 8 4" xfId="10651" xr:uid="{46731CA1-0DDD-4E14-ABE3-4E5C2210E715}"/>
    <cellStyle name="Normal 4 2 2 9" xfId="1648" xr:uid="{00000000-0005-0000-0000-000026130000}"/>
    <cellStyle name="Normal 4 2 2 9 2" xfId="3878" xr:uid="{00000000-0005-0000-0000-000027130000}"/>
    <cellStyle name="Normal 4 2 2 9 2 2" xfId="8100" xr:uid="{00000000-0005-0000-0000-000028130000}"/>
    <cellStyle name="Normal 4 2 2 9 2 2 2" xfId="17426" xr:uid="{13B9E2F4-4639-4914-BD02-3135916F9FC9}"/>
    <cellStyle name="Normal 4 2 2 9 2 3" xfId="13209" xr:uid="{6E8E0562-A8AC-4E8A-81C6-391471262F4C}"/>
    <cellStyle name="Normal 4 2 2 9 3" xfId="5955" xr:uid="{00000000-0005-0000-0000-000029130000}"/>
    <cellStyle name="Normal 4 2 2 9 3 2" xfId="15281" xr:uid="{57B90B96-0ACE-426E-B965-10056307C25E}"/>
    <cellStyle name="Normal 4 2 2 9 4" xfId="11064" xr:uid="{694D21FE-231D-4238-81AB-477E82AE7947}"/>
    <cellStyle name="Normal 4 2 3" xfId="354" xr:uid="{00000000-0005-0000-0000-00002A130000}"/>
    <cellStyle name="Normal 4 2 4" xfId="355" xr:uid="{00000000-0005-0000-0000-00002B130000}"/>
    <cellStyle name="Normal 4 2 4 10" xfId="4732" xr:uid="{00000000-0005-0000-0000-00002C130000}"/>
    <cellStyle name="Normal 4 2 4 10 2" xfId="14058" xr:uid="{C8AAD209-5BF5-44BA-AFAC-A7852AB896A9}"/>
    <cellStyle name="Normal 4 2 4 11" xfId="8775" xr:uid="{7AC259AB-9C32-4DC1-A787-2E2187A7C2D6}"/>
    <cellStyle name="Normal 4 2 4 11 2" xfId="18099" xr:uid="{C5B02CCA-81AE-41A1-A624-36C0EC6F33D5}"/>
    <cellStyle name="Normal 4 2 4 12" xfId="9841" xr:uid="{8EBED118-8B6E-4F7C-8E4C-D8D6C632A3E9}"/>
    <cellStyle name="Normal 4 2 4 2" xfId="356" xr:uid="{00000000-0005-0000-0000-00002D130000}"/>
    <cellStyle name="Normal 4 2 4 2 10" xfId="8820" xr:uid="{8B50D4F4-4786-467C-8322-69D665B73C2B}"/>
    <cellStyle name="Normal 4 2 4 2 10 2" xfId="18144" xr:uid="{B30E3F03-A1CA-4970-ABB8-2C401B336C05}"/>
    <cellStyle name="Normal 4 2 4 2 11" xfId="9842" xr:uid="{DDA0094C-5D27-4DA6-AAE9-955C4CA3A3D8}"/>
    <cellStyle name="Normal 4 2 4 2 2" xfId="357" xr:uid="{00000000-0005-0000-0000-00002E130000}"/>
    <cellStyle name="Normal 4 2 4 2 2 10" xfId="9843" xr:uid="{02B20CB1-D4C1-4061-82B7-B9DA6BC6C935}"/>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619" xr:uid="{8E098DBD-69A2-48FE-A71F-4C8025ED2E4A}"/>
    <cellStyle name="Normal 4 2 4 2 2 2 2 2 3" xfId="12402" xr:uid="{469DBA01-1A85-481C-ACE3-CF94A5229009}"/>
    <cellStyle name="Normal 4 2 4 2 2 2 2 3" xfId="5148" xr:uid="{00000000-0005-0000-0000-000033130000}"/>
    <cellStyle name="Normal 4 2 4 2 2 2 2 3 2" xfId="14474" xr:uid="{3D018DDD-E325-4848-B03C-706AD86E04B6}"/>
    <cellStyle name="Normal 4 2 4 2 2 2 2 4" xfId="9555" xr:uid="{31AE7BD4-4F26-4658-9939-15FCE733560E}"/>
    <cellStyle name="Normal 4 2 4 2 2 2 2 4 2" xfId="18870" xr:uid="{7ABF4B27-06C2-4D09-9F52-154D44C1946E}"/>
    <cellStyle name="Normal 4 2 4 2 2 2 2 5" xfId="10257" xr:uid="{0C62D003-3D13-4F8E-9B03-DDB67A09247B}"/>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7032" xr:uid="{24B67920-A844-484B-8E1B-09807822531D}"/>
    <cellStyle name="Normal 4 2 4 2 2 2 3 2 3" xfId="12815" xr:uid="{5D9DA034-9E32-4DC7-BBA0-ED96482BFCB3}"/>
    <cellStyle name="Normal 4 2 4 2 2 2 3 3" xfId="5561" xr:uid="{00000000-0005-0000-0000-000037130000}"/>
    <cellStyle name="Normal 4 2 4 2 2 2 3 3 2" xfId="14887" xr:uid="{3537434E-76EB-4FC9-ADDF-22D515898ED1}"/>
    <cellStyle name="Normal 4 2 4 2 2 2 3 4" xfId="10670" xr:uid="{E67880C2-F312-4426-BC2B-EB7DF6CC24A8}"/>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45" xr:uid="{296F16F9-7D02-4EE5-913B-79227B8A9841}"/>
    <cellStyle name="Normal 4 2 4 2 2 2 4 2 3" xfId="13228" xr:uid="{D327CA44-FE5D-4B38-ABE5-7F2CE64B8731}"/>
    <cellStyle name="Normal 4 2 4 2 2 2 4 3" xfId="5974" xr:uid="{00000000-0005-0000-0000-00003B130000}"/>
    <cellStyle name="Normal 4 2 4 2 2 2 4 3 2" xfId="15300" xr:uid="{185489DD-D0FF-4C3E-89C0-31E74C4EDFDD}"/>
    <cellStyle name="Normal 4 2 4 2 2 2 4 4" xfId="11083" xr:uid="{1F9EFA62-1727-4323-BE3E-C4861DB06919}"/>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58" xr:uid="{2F81A3F7-EC20-435D-A104-7FBBB01F93F8}"/>
    <cellStyle name="Normal 4 2 4 2 2 2 5 2 3" xfId="13641" xr:uid="{692801EF-EE55-4012-92E5-09D0054E3931}"/>
    <cellStyle name="Normal 4 2 4 2 2 2 5 3" xfId="6387" xr:uid="{00000000-0005-0000-0000-00003F130000}"/>
    <cellStyle name="Normal 4 2 4 2 2 2 5 3 2" xfId="15713" xr:uid="{350EDEAB-8D68-4A03-8737-6D84E6AA5928}"/>
    <cellStyle name="Normal 4 2 4 2 2 2 5 4" xfId="11496" xr:uid="{00A72AC0-685B-4876-B899-C7DF7A2CD8AE}"/>
    <cellStyle name="Normal 4 2 4 2 2 2 6" xfId="2517" xr:uid="{00000000-0005-0000-0000-000040130000}"/>
    <cellStyle name="Normal 4 2 4 2 2 2 6 2" xfId="6800" xr:uid="{00000000-0005-0000-0000-000041130000}"/>
    <cellStyle name="Normal 4 2 4 2 2 2 6 2 2" xfId="16126" xr:uid="{5B2E9DD6-557B-495C-8127-A6F29425E948}"/>
    <cellStyle name="Normal 4 2 4 2 2 2 6 3" xfId="11909" xr:uid="{D7B762B2-C468-476A-B3EC-C259F726135E}"/>
    <cellStyle name="Normal 4 2 4 2 2 2 7" xfId="4735" xr:uid="{00000000-0005-0000-0000-000042130000}"/>
    <cellStyle name="Normal 4 2 4 2 2 2 7 2" xfId="14061" xr:uid="{5EB6C044-345F-4554-81BA-53699E9041A1}"/>
    <cellStyle name="Normal 4 2 4 2 2 2 8" xfId="9130" xr:uid="{E4AAEB37-D6CE-4BD9-A166-BE52F754DAC4}"/>
    <cellStyle name="Normal 4 2 4 2 2 2 8 2" xfId="18454" xr:uid="{2DB065E4-6560-4942-AFDB-8EDEC26C4413}"/>
    <cellStyle name="Normal 4 2 4 2 2 2 9" xfId="9844" xr:uid="{F22293BD-7065-4F71-917B-B6A6836F6A6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618" xr:uid="{86C6450D-DB7B-4F52-859E-C08297DB0D67}"/>
    <cellStyle name="Normal 4 2 4 2 2 3 2 3" xfId="12401" xr:uid="{49361707-19C7-49B1-8000-53FDCE933566}"/>
    <cellStyle name="Normal 4 2 4 2 2 3 3" xfId="5147" xr:uid="{00000000-0005-0000-0000-000046130000}"/>
    <cellStyle name="Normal 4 2 4 2 2 3 3 2" xfId="14473" xr:uid="{86C64627-81BC-474B-9085-A4C089DC04D2}"/>
    <cellStyle name="Normal 4 2 4 2 2 3 4" xfId="9348" xr:uid="{E9E52CF6-B3CF-482F-B496-A22B0452951D}"/>
    <cellStyle name="Normal 4 2 4 2 2 3 4 2" xfId="18663" xr:uid="{1F1063F2-46F5-48BB-A807-5D039B32071F}"/>
    <cellStyle name="Normal 4 2 4 2 2 3 5" xfId="10256" xr:uid="{E0424CE4-F078-4CE8-B000-07D5B71CCC5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7031" xr:uid="{D106380E-FB53-4455-A0B4-C7F5F518915A}"/>
    <cellStyle name="Normal 4 2 4 2 2 4 2 3" xfId="12814" xr:uid="{D9E6A7B5-EA9F-4C85-83A4-72EBEAE8C92D}"/>
    <cellStyle name="Normal 4 2 4 2 2 4 3" xfId="5560" xr:uid="{00000000-0005-0000-0000-00004A130000}"/>
    <cellStyle name="Normal 4 2 4 2 2 4 3 2" xfId="14886" xr:uid="{E9304E2B-3C5F-4C36-9195-7AEEEC568416}"/>
    <cellStyle name="Normal 4 2 4 2 2 4 4" xfId="10669" xr:uid="{BFE8776C-8779-4008-85C2-8E846A9A4785}"/>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44" xr:uid="{A7A8AC67-A64F-4E4F-A4B2-482FEEB6F96E}"/>
    <cellStyle name="Normal 4 2 4 2 2 5 2 3" xfId="13227" xr:uid="{AAA90FB8-0BF1-41A7-BC4B-5E2469499AAB}"/>
    <cellStyle name="Normal 4 2 4 2 2 5 3" xfId="5973" xr:uid="{00000000-0005-0000-0000-00004E130000}"/>
    <cellStyle name="Normal 4 2 4 2 2 5 3 2" xfId="15299" xr:uid="{DFC50DC6-CFB7-446A-8604-D927B8FF5C08}"/>
    <cellStyle name="Normal 4 2 4 2 2 5 4" xfId="11082" xr:uid="{DB396473-FFEE-4A03-B228-248145C029EB}"/>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57" xr:uid="{CCC1E1A0-FFC1-4A0C-A1CB-AB36485B217D}"/>
    <cellStyle name="Normal 4 2 4 2 2 6 2 3" xfId="13640" xr:uid="{6C3B281D-A13D-4FCE-AD9E-D1A12F08251B}"/>
    <cellStyle name="Normal 4 2 4 2 2 6 3" xfId="6386" xr:uid="{00000000-0005-0000-0000-000052130000}"/>
    <cellStyle name="Normal 4 2 4 2 2 6 3 2" xfId="15712" xr:uid="{1D8E9BB1-9853-4CD1-AB2A-093AB844B0C5}"/>
    <cellStyle name="Normal 4 2 4 2 2 6 4" xfId="11495" xr:uid="{4E8ADC57-CE0A-483C-96D7-6954B754839F}"/>
    <cellStyle name="Normal 4 2 4 2 2 7" xfId="2516" xr:uid="{00000000-0005-0000-0000-000053130000}"/>
    <cellStyle name="Normal 4 2 4 2 2 7 2" xfId="6799" xr:uid="{00000000-0005-0000-0000-000054130000}"/>
    <cellStyle name="Normal 4 2 4 2 2 7 2 2" xfId="16125" xr:uid="{AB8DDF56-87D5-496A-94D9-12BB75481956}"/>
    <cellStyle name="Normal 4 2 4 2 2 7 3" xfId="11908" xr:uid="{BBC99AC3-DCAE-4872-B31E-7EB1CE723295}"/>
    <cellStyle name="Normal 4 2 4 2 2 8" xfId="4734" xr:uid="{00000000-0005-0000-0000-000055130000}"/>
    <cellStyle name="Normal 4 2 4 2 2 8 2" xfId="14060" xr:uid="{5830A44F-A3D2-4A57-A410-9BD0F3CFDA68}"/>
    <cellStyle name="Normal 4 2 4 2 2 9" xfId="8923" xr:uid="{2BBE6936-33B8-4624-9F85-2EE83C62ACB2}"/>
    <cellStyle name="Normal 4 2 4 2 2 9 2" xfId="18247" xr:uid="{C3D4BB7B-F633-4782-BA53-C2C40A6C10D6}"/>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620" xr:uid="{CC220D49-B882-44B8-ABEA-E6CE14FD8651}"/>
    <cellStyle name="Normal 4 2 4 2 3 2 2 3" xfId="12403" xr:uid="{A8EAB423-D3EE-403D-90BB-F37DAB52B893}"/>
    <cellStyle name="Normal 4 2 4 2 3 2 3" xfId="5149" xr:uid="{00000000-0005-0000-0000-00005A130000}"/>
    <cellStyle name="Normal 4 2 4 2 3 2 3 2" xfId="14475" xr:uid="{DEC2D79A-28AD-4C60-BF57-7A3F0E816389}"/>
    <cellStyle name="Normal 4 2 4 2 3 2 4" xfId="9452" xr:uid="{58F46659-8F00-4705-8554-54AEBE9B8A77}"/>
    <cellStyle name="Normal 4 2 4 2 3 2 4 2" xfId="18767" xr:uid="{068FC073-3CC6-4B00-9013-00567249683F}"/>
    <cellStyle name="Normal 4 2 4 2 3 2 5" xfId="10258" xr:uid="{520AC433-E724-47D5-8FC0-1FA559375B12}"/>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7033" xr:uid="{4F3E770D-A1F3-4D29-B0D1-7D0F9590579E}"/>
    <cellStyle name="Normal 4 2 4 2 3 3 2 3" xfId="12816" xr:uid="{AFAD8DF2-6619-4C3B-B39F-DDC8C9D2911B}"/>
    <cellStyle name="Normal 4 2 4 2 3 3 3" xfId="5562" xr:uid="{00000000-0005-0000-0000-00005E130000}"/>
    <cellStyle name="Normal 4 2 4 2 3 3 3 2" xfId="14888" xr:uid="{0DFE0318-AF91-42D0-A37E-707BE7E0A438}"/>
    <cellStyle name="Normal 4 2 4 2 3 3 4" xfId="10671" xr:uid="{E06133B0-5EE4-4938-8F57-D2F67DAFEBFE}"/>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46" xr:uid="{90D04FA2-7873-4C34-9C46-C42BC86E7D3E}"/>
    <cellStyle name="Normal 4 2 4 2 3 4 2 3" xfId="13229" xr:uid="{F6CDEF9C-7AFA-48E3-8B1C-4CC08447A2D2}"/>
    <cellStyle name="Normal 4 2 4 2 3 4 3" xfId="5975" xr:uid="{00000000-0005-0000-0000-000062130000}"/>
    <cellStyle name="Normal 4 2 4 2 3 4 3 2" xfId="15301" xr:uid="{6C49E001-801E-4AD1-B1A9-F8C208EB3FF4}"/>
    <cellStyle name="Normal 4 2 4 2 3 4 4" xfId="11084" xr:uid="{93A8575F-8B54-4E46-B668-9E47C3E628E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59" xr:uid="{DDE2E575-5981-4094-9AC1-8348CDBAFFDB}"/>
    <cellStyle name="Normal 4 2 4 2 3 5 2 3" xfId="13642" xr:uid="{C4D9D348-D252-4DCC-9C81-919C3BFA8CA5}"/>
    <cellStyle name="Normal 4 2 4 2 3 5 3" xfId="6388" xr:uid="{00000000-0005-0000-0000-000066130000}"/>
    <cellStyle name="Normal 4 2 4 2 3 5 3 2" xfId="15714" xr:uid="{A87C89A9-0273-4A1E-BABF-F7027167E099}"/>
    <cellStyle name="Normal 4 2 4 2 3 5 4" xfId="11497" xr:uid="{D45F9184-84FB-4A00-A974-30C2A57E3F48}"/>
    <cellStyle name="Normal 4 2 4 2 3 6" xfId="2518" xr:uid="{00000000-0005-0000-0000-000067130000}"/>
    <cellStyle name="Normal 4 2 4 2 3 6 2" xfId="6801" xr:uid="{00000000-0005-0000-0000-000068130000}"/>
    <cellStyle name="Normal 4 2 4 2 3 6 2 2" xfId="16127" xr:uid="{866EF56A-3114-435A-BBD3-670D4F69A9B7}"/>
    <cellStyle name="Normal 4 2 4 2 3 6 3" xfId="11910" xr:uid="{DE79783D-2D53-4FE3-818B-A488B825B00F}"/>
    <cellStyle name="Normal 4 2 4 2 3 7" xfId="4736" xr:uid="{00000000-0005-0000-0000-000069130000}"/>
    <cellStyle name="Normal 4 2 4 2 3 7 2" xfId="14062" xr:uid="{0CB07FA3-0719-4218-A350-421A867106FF}"/>
    <cellStyle name="Normal 4 2 4 2 3 8" xfId="9027" xr:uid="{DA430019-E492-48BB-ACD5-5BE853C50FBC}"/>
    <cellStyle name="Normal 4 2 4 2 3 8 2" xfId="18351" xr:uid="{29B42313-3C69-4802-984A-4F27DA37A2E5}"/>
    <cellStyle name="Normal 4 2 4 2 3 9" xfId="9845" xr:uid="{70246ED0-41C0-4473-9A0F-8FE115740819}"/>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617" xr:uid="{533B5FB2-4C02-493C-B2A1-F84A468F1391}"/>
    <cellStyle name="Normal 4 2 4 2 4 2 3" xfId="12400" xr:uid="{5C113E49-C583-4DFC-AC0C-19171D3E47CA}"/>
    <cellStyle name="Normal 4 2 4 2 4 3" xfId="5146" xr:uid="{00000000-0005-0000-0000-00006D130000}"/>
    <cellStyle name="Normal 4 2 4 2 4 3 2" xfId="14472" xr:uid="{F74AC363-6516-4337-99D6-A6215C03448C}"/>
    <cellStyle name="Normal 4 2 4 2 4 4" xfId="9245" xr:uid="{A0383DD8-843E-4601-922A-5CDD979D0589}"/>
    <cellStyle name="Normal 4 2 4 2 4 4 2" xfId="18560" xr:uid="{499A0165-51FC-4BE0-B33C-4A42ECBD1B59}"/>
    <cellStyle name="Normal 4 2 4 2 4 5" xfId="10255" xr:uid="{1C1DEB5E-749A-4555-9193-3EE2CB6FB91E}"/>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7030" xr:uid="{086D6842-5A8D-4CEF-8509-45056AB33205}"/>
    <cellStyle name="Normal 4 2 4 2 5 2 3" xfId="12813" xr:uid="{E051F8B3-37EB-4BBC-BF3B-A3397BD6319C}"/>
    <cellStyle name="Normal 4 2 4 2 5 3" xfId="5559" xr:uid="{00000000-0005-0000-0000-000071130000}"/>
    <cellStyle name="Normal 4 2 4 2 5 3 2" xfId="14885" xr:uid="{1AF2E08D-CF67-483C-BBA1-939BB617662E}"/>
    <cellStyle name="Normal 4 2 4 2 5 4" xfId="10668" xr:uid="{1C496B1D-9FC9-4C87-9146-8E4A2ED6CDB3}"/>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443" xr:uid="{E4527916-7E8F-431C-9AAE-59CFCD9BEC2B}"/>
    <cellStyle name="Normal 4 2 4 2 6 2 3" xfId="13226" xr:uid="{6ABAA9BF-ED11-4B66-818F-BEEE58D01435}"/>
    <cellStyle name="Normal 4 2 4 2 6 3" xfId="5972" xr:uid="{00000000-0005-0000-0000-000075130000}"/>
    <cellStyle name="Normal 4 2 4 2 6 3 2" xfId="15298" xr:uid="{D849E046-2AB5-46AB-AB31-285ACB0DA221}"/>
    <cellStyle name="Normal 4 2 4 2 6 4" xfId="11081" xr:uid="{DD695E64-93E4-4A83-BC0C-6AEA1D8F3B79}"/>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56" xr:uid="{8D9D542A-7DAA-4992-AB7D-7EBC9A323669}"/>
    <cellStyle name="Normal 4 2 4 2 7 2 3" xfId="13639" xr:uid="{A63FE478-C752-4FB1-ACD0-AE48EDFB98D1}"/>
    <cellStyle name="Normal 4 2 4 2 7 3" xfId="6385" xr:uid="{00000000-0005-0000-0000-000079130000}"/>
    <cellStyle name="Normal 4 2 4 2 7 3 2" xfId="15711" xr:uid="{BCD0BA04-77A6-423B-81F5-9E6F4A78218E}"/>
    <cellStyle name="Normal 4 2 4 2 7 4" xfId="11494" xr:uid="{AD014D8B-F168-4A3A-AFE9-44DA440AEC40}"/>
    <cellStyle name="Normal 4 2 4 2 8" xfId="2515" xr:uid="{00000000-0005-0000-0000-00007A130000}"/>
    <cellStyle name="Normal 4 2 4 2 8 2" xfId="6798" xr:uid="{00000000-0005-0000-0000-00007B130000}"/>
    <cellStyle name="Normal 4 2 4 2 8 2 2" xfId="16124" xr:uid="{9C855B7D-11BE-46AA-8E0E-F171AE9D3E6F}"/>
    <cellStyle name="Normal 4 2 4 2 8 3" xfId="11907" xr:uid="{09979816-42DE-4797-A7D7-23346E3F7A1D}"/>
    <cellStyle name="Normal 4 2 4 2 9" xfId="4733" xr:uid="{00000000-0005-0000-0000-00007C130000}"/>
    <cellStyle name="Normal 4 2 4 2 9 2" xfId="14059" xr:uid="{266097D5-8CA3-4223-A369-3AD9444CF347}"/>
    <cellStyle name="Normal 4 2 4 3" xfId="360" xr:uid="{00000000-0005-0000-0000-00007D130000}"/>
    <cellStyle name="Normal 4 2 4 3 10" xfId="9846" xr:uid="{1454B10A-7CBE-445C-9CF1-795ECF18C1B5}"/>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622" xr:uid="{E11CB04F-5137-49CE-AEDA-7C04040AF08F}"/>
    <cellStyle name="Normal 4 2 4 3 2 2 2 3" xfId="12405" xr:uid="{6B035CCE-AE9A-4B68-AA42-18C2177583BB}"/>
    <cellStyle name="Normal 4 2 4 3 2 2 3" xfId="5151" xr:uid="{00000000-0005-0000-0000-000082130000}"/>
    <cellStyle name="Normal 4 2 4 3 2 2 3 2" xfId="14477" xr:uid="{41145E35-EF48-4A0E-8A20-C2A8AE322F35}"/>
    <cellStyle name="Normal 4 2 4 3 2 2 4" xfId="9510" xr:uid="{AA534F18-B7F5-44D9-AE7D-03E6DE45E4F9}"/>
    <cellStyle name="Normal 4 2 4 3 2 2 4 2" xfId="18825" xr:uid="{C737EAF6-52ED-4E0C-BA6B-A6577F6F8AA8}"/>
    <cellStyle name="Normal 4 2 4 3 2 2 5" xfId="10260" xr:uid="{1AABA79C-33AD-40BB-9046-97A5808410C6}"/>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7035" xr:uid="{754B469F-8DAF-4AD9-ACE9-9C7518F52AE5}"/>
    <cellStyle name="Normal 4 2 4 3 2 3 2 3" xfId="12818" xr:uid="{C3715A87-A677-43D3-B69A-40A96BF765A7}"/>
    <cellStyle name="Normal 4 2 4 3 2 3 3" xfId="5564" xr:uid="{00000000-0005-0000-0000-000086130000}"/>
    <cellStyle name="Normal 4 2 4 3 2 3 3 2" xfId="14890" xr:uid="{739AD043-B19D-40D1-BA58-EF67427D80E0}"/>
    <cellStyle name="Normal 4 2 4 3 2 3 4" xfId="10673" xr:uid="{929DF3E4-5E48-4472-815C-5CBEAC894962}"/>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48" xr:uid="{E3BB0390-8416-4F57-9CC2-7A2DB9400525}"/>
    <cellStyle name="Normal 4 2 4 3 2 4 2 3" xfId="13231" xr:uid="{6DC35210-E2E4-46F7-B2B9-663222F13F85}"/>
    <cellStyle name="Normal 4 2 4 3 2 4 3" xfId="5977" xr:uid="{00000000-0005-0000-0000-00008A130000}"/>
    <cellStyle name="Normal 4 2 4 3 2 4 3 2" xfId="15303" xr:uid="{C7A618A0-532E-40CC-9B40-74F9346A9CFA}"/>
    <cellStyle name="Normal 4 2 4 3 2 4 4" xfId="11086" xr:uid="{61F580EF-FB65-4BAF-9A69-1D39C862E0F1}"/>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61" xr:uid="{600C69DF-15A2-44B5-AD9B-0F71999746E4}"/>
    <cellStyle name="Normal 4 2 4 3 2 5 2 3" xfId="13644" xr:uid="{6D23236E-AB13-46F8-8D2C-783FD2C62294}"/>
    <cellStyle name="Normal 4 2 4 3 2 5 3" xfId="6390" xr:uid="{00000000-0005-0000-0000-00008E130000}"/>
    <cellStyle name="Normal 4 2 4 3 2 5 3 2" xfId="15716" xr:uid="{5CAD9B73-0427-4444-B5DF-C989C710227B}"/>
    <cellStyle name="Normal 4 2 4 3 2 5 4" xfId="11499" xr:uid="{A72AD5C9-50B4-42B4-B574-DEBF38E37FF4}"/>
    <cellStyle name="Normal 4 2 4 3 2 6" xfId="2520" xr:uid="{00000000-0005-0000-0000-00008F130000}"/>
    <cellStyle name="Normal 4 2 4 3 2 6 2" xfId="6803" xr:uid="{00000000-0005-0000-0000-000090130000}"/>
    <cellStyle name="Normal 4 2 4 3 2 6 2 2" xfId="16129" xr:uid="{B319C20E-319A-4506-B14A-6F66E2D7FC38}"/>
    <cellStyle name="Normal 4 2 4 3 2 6 3" xfId="11912" xr:uid="{2BD50DF6-52FA-4D7C-B7A3-1CBE61DDDC33}"/>
    <cellStyle name="Normal 4 2 4 3 2 7" xfId="4738" xr:uid="{00000000-0005-0000-0000-000091130000}"/>
    <cellStyle name="Normal 4 2 4 3 2 7 2" xfId="14064" xr:uid="{93486A76-7FEC-4E0C-A521-2706E38884F9}"/>
    <cellStyle name="Normal 4 2 4 3 2 8" xfId="9085" xr:uid="{0181E53C-86DC-4588-8447-D559FCF01541}"/>
    <cellStyle name="Normal 4 2 4 3 2 8 2" xfId="18409" xr:uid="{FDAFA9F9-A899-431D-A76B-504922FFFEA5}"/>
    <cellStyle name="Normal 4 2 4 3 2 9" xfId="9847" xr:uid="{AD644BCD-EEC1-47D8-94E5-B716DF071E12}"/>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621" xr:uid="{9E18B38A-D8D5-4304-B8A4-36BEFE3512F8}"/>
    <cellStyle name="Normal 4 2 4 3 3 2 3" xfId="12404" xr:uid="{616ABCE3-ADFB-47E3-91FB-D954B73467E5}"/>
    <cellStyle name="Normal 4 2 4 3 3 3" xfId="5150" xr:uid="{00000000-0005-0000-0000-000095130000}"/>
    <cellStyle name="Normal 4 2 4 3 3 3 2" xfId="14476" xr:uid="{21B03176-5775-42B9-9B14-78CBE0E234ED}"/>
    <cellStyle name="Normal 4 2 4 3 3 4" xfId="9303" xr:uid="{51CE977A-E9B9-47DD-B6CE-3ECF34A578F1}"/>
    <cellStyle name="Normal 4 2 4 3 3 4 2" xfId="18618" xr:uid="{7CA8D7A0-230A-4CFB-A9EC-F48B964C1135}"/>
    <cellStyle name="Normal 4 2 4 3 3 5" xfId="10259" xr:uid="{090B9EEB-2F6D-4615-964E-F360685322AD}"/>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7034" xr:uid="{FD39F188-3F18-40F4-9436-974E08DBDB8D}"/>
    <cellStyle name="Normal 4 2 4 3 4 2 3" xfId="12817" xr:uid="{79266F7E-67CF-4B90-8793-EEA541629262}"/>
    <cellStyle name="Normal 4 2 4 3 4 3" xfId="5563" xr:uid="{00000000-0005-0000-0000-000099130000}"/>
    <cellStyle name="Normal 4 2 4 3 4 3 2" xfId="14889" xr:uid="{A1C600CB-73E3-40E7-9E3E-4524F555CE62}"/>
    <cellStyle name="Normal 4 2 4 3 4 4" xfId="10672" xr:uid="{2C54EF70-1F42-45D8-9E10-56CF4B48BFFB}"/>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47" xr:uid="{8F906DA9-188A-41B0-9BA4-D4C4FED515F9}"/>
    <cellStyle name="Normal 4 2 4 3 5 2 3" xfId="13230" xr:uid="{70E9A2E0-AA23-47FA-9B30-5683977460D2}"/>
    <cellStyle name="Normal 4 2 4 3 5 3" xfId="5976" xr:uid="{00000000-0005-0000-0000-00009D130000}"/>
    <cellStyle name="Normal 4 2 4 3 5 3 2" xfId="15302" xr:uid="{0F1D8B72-EA4B-4AE6-86C3-6C9CFC654C3D}"/>
    <cellStyle name="Normal 4 2 4 3 5 4" xfId="11085" xr:uid="{E42EE717-1B87-4D1F-B1C7-861F09783CFD}"/>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60" xr:uid="{D65E1518-9AF6-44C2-8CD1-CB1F77F0899A}"/>
    <cellStyle name="Normal 4 2 4 3 6 2 3" xfId="13643" xr:uid="{221E2062-1E6B-4AC8-B10D-EB64101A0935}"/>
    <cellStyle name="Normal 4 2 4 3 6 3" xfId="6389" xr:uid="{00000000-0005-0000-0000-0000A1130000}"/>
    <cellStyle name="Normal 4 2 4 3 6 3 2" xfId="15715" xr:uid="{BC1CA6E8-8F49-4A5D-8CDA-1D1BA4957D7A}"/>
    <cellStyle name="Normal 4 2 4 3 6 4" xfId="11498" xr:uid="{048E51A8-F242-49DD-8071-77898BB6269D}"/>
    <cellStyle name="Normal 4 2 4 3 7" xfId="2519" xr:uid="{00000000-0005-0000-0000-0000A2130000}"/>
    <cellStyle name="Normal 4 2 4 3 7 2" xfId="6802" xr:uid="{00000000-0005-0000-0000-0000A3130000}"/>
    <cellStyle name="Normal 4 2 4 3 7 2 2" xfId="16128" xr:uid="{278C77AE-A3D8-4E59-8514-9AC934CE04F3}"/>
    <cellStyle name="Normal 4 2 4 3 7 3" xfId="11911" xr:uid="{0B0BAB58-A38D-4CA8-B389-C0FB29134792}"/>
    <cellStyle name="Normal 4 2 4 3 8" xfId="4737" xr:uid="{00000000-0005-0000-0000-0000A4130000}"/>
    <cellStyle name="Normal 4 2 4 3 8 2" xfId="14063" xr:uid="{AC4103E2-D2FA-4733-B28D-47B4F6F1B3F0}"/>
    <cellStyle name="Normal 4 2 4 3 9" xfId="8878" xr:uid="{B73EE68A-BBFC-4E7A-B773-E14FCCFC8837}"/>
    <cellStyle name="Normal 4 2 4 3 9 2" xfId="18202" xr:uid="{2C6B8589-C211-4759-92D5-4562AC852913}"/>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623" xr:uid="{F768C01B-1793-4C23-9B9A-BDC48A6F527D}"/>
    <cellStyle name="Normal 4 2 4 4 2 2 3" xfId="12406" xr:uid="{58A16A7F-614E-44A1-951E-5082E44EF772}"/>
    <cellStyle name="Normal 4 2 4 4 2 3" xfId="5152" xr:uid="{00000000-0005-0000-0000-0000A9130000}"/>
    <cellStyle name="Normal 4 2 4 4 2 3 2" xfId="14478" xr:uid="{6D77221B-8FB0-4303-91EB-8CE4A5EB53FD}"/>
    <cellStyle name="Normal 4 2 4 4 2 4" xfId="9407" xr:uid="{5D8D6A7A-388E-41EC-80E9-28307FA015D6}"/>
    <cellStyle name="Normal 4 2 4 4 2 4 2" xfId="18722" xr:uid="{B621EE9D-6A66-4485-BE67-45839EEED4B0}"/>
    <cellStyle name="Normal 4 2 4 4 2 5" xfId="10261" xr:uid="{5F1F3FA2-C8FC-4504-80FD-610704EDE2DE}"/>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7036" xr:uid="{98B397C1-2DB4-4AE8-8786-8304C7697936}"/>
    <cellStyle name="Normal 4 2 4 4 3 2 3" xfId="12819" xr:uid="{7A787217-6FDE-4843-A381-48A9E29F60D8}"/>
    <cellStyle name="Normal 4 2 4 4 3 3" xfId="5565" xr:uid="{00000000-0005-0000-0000-0000AD130000}"/>
    <cellStyle name="Normal 4 2 4 4 3 3 2" xfId="14891" xr:uid="{EDBC6CFB-A9CB-4921-AAB3-AB3BC796A7A2}"/>
    <cellStyle name="Normal 4 2 4 4 3 4" xfId="10674" xr:uid="{9E2706FF-CA2E-45D1-808F-743D0898C855}"/>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49" xr:uid="{88F71831-FF86-4911-B088-45E69F3DC672}"/>
    <cellStyle name="Normal 4 2 4 4 4 2 3" xfId="13232" xr:uid="{F86A0DD4-C5DA-4E87-BB37-59300684EEE8}"/>
    <cellStyle name="Normal 4 2 4 4 4 3" xfId="5978" xr:uid="{00000000-0005-0000-0000-0000B1130000}"/>
    <cellStyle name="Normal 4 2 4 4 4 3 2" xfId="15304" xr:uid="{BF29F101-B0D9-406E-AA5B-5BFD14BAFF64}"/>
    <cellStyle name="Normal 4 2 4 4 4 4" xfId="11087" xr:uid="{6F9DA6F9-B856-41EC-A484-1264D71970E9}"/>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62" xr:uid="{43B4EB31-6F30-4B9B-B37E-205E78C777AD}"/>
    <cellStyle name="Normal 4 2 4 4 5 2 3" xfId="13645" xr:uid="{372BC01E-4A02-4882-B85F-B3B845FF646A}"/>
    <cellStyle name="Normal 4 2 4 4 5 3" xfId="6391" xr:uid="{00000000-0005-0000-0000-0000B5130000}"/>
    <cellStyle name="Normal 4 2 4 4 5 3 2" xfId="15717" xr:uid="{151BE6E1-4EE8-4CC0-855E-A6C24C7D0F72}"/>
    <cellStyle name="Normal 4 2 4 4 5 4" xfId="11500" xr:uid="{DC8BC3B2-7F1F-47AD-81E2-27C0C69DCFF0}"/>
    <cellStyle name="Normal 4 2 4 4 6" xfId="2521" xr:uid="{00000000-0005-0000-0000-0000B6130000}"/>
    <cellStyle name="Normal 4 2 4 4 6 2" xfId="6804" xr:uid="{00000000-0005-0000-0000-0000B7130000}"/>
    <cellStyle name="Normal 4 2 4 4 6 2 2" xfId="16130" xr:uid="{1BB3BE7F-B587-4BDE-8EA4-CD0EA65C4399}"/>
    <cellStyle name="Normal 4 2 4 4 6 3" xfId="11913" xr:uid="{97396AD3-2E24-41A8-8A44-2D802CA2FCC5}"/>
    <cellStyle name="Normal 4 2 4 4 7" xfId="4739" xr:uid="{00000000-0005-0000-0000-0000B8130000}"/>
    <cellStyle name="Normal 4 2 4 4 7 2" xfId="14065" xr:uid="{8DC01725-54D3-4B15-9C93-EAF8D150F78D}"/>
    <cellStyle name="Normal 4 2 4 4 8" xfId="8982" xr:uid="{4C273C9B-E12E-4EF2-812F-666600229207}"/>
    <cellStyle name="Normal 4 2 4 4 8 2" xfId="18306" xr:uid="{1992A31F-4BFF-4BCF-BB41-8B72F6C3F057}"/>
    <cellStyle name="Normal 4 2 4 4 9" xfId="9848" xr:uid="{0A066AE2-122B-4F2E-8B94-96F8EF963410}"/>
    <cellStyle name="Normal 4 2 4 5" xfId="831" xr:uid="{00000000-0005-0000-0000-0000B9130000}"/>
    <cellStyle name="Normal 4 2 4 5 2" xfId="3068" xr:uid="{00000000-0005-0000-0000-0000BA130000}"/>
    <cellStyle name="Normal 4 2 4 5 2 2" xfId="7290" xr:uid="{00000000-0005-0000-0000-0000BB130000}"/>
    <cellStyle name="Normal 4 2 4 5 2 2 2" xfId="16616" xr:uid="{05362E7C-F60A-47CF-AAC2-395B3F116051}"/>
    <cellStyle name="Normal 4 2 4 5 2 3" xfId="12399" xr:uid="{858E007C-C947-409F-BB68-7C728A420E24}"/>
    <cellStyle name="Normal 4 2 4 5 3" xfId="5145" xr:uid="{00000000-0005-0000-0000-0000BC130000}"/>
    <cellStyle name="Normal 4 2 4 5 3 2" xfId="14471" xr:uid="{58D37D7D-BDEE-4BA6-8162-E3AF0A2B9378}"/>
    <cellStyle name="Normal 4 2 4 5 4" xfId="9199" xr:uid="{1A9A2DC3-2FEA-4A30-A92C-84708E9B2741}"/>
    <cellStyle name="Normal 4 2 4 5 4 2" xfId="18515" xr:uid="{24D385B0-FDD7-4D20-8279-3560382FBBD7}"/>
    <cellStyle name="Normal 4 2 4 5 5" xfId="10254" xr:uid="{9E987E56-2FE3-4A59-B4B4-DDB2AF9ECE3D}"/>
    <cellStyle name="Normal 4 2 4 6" xfId="1251" xr:uid="{00000000-0005-0000-0000-0000BD130000}"/>
    <cellStyle name="Normal 4 2 4 6 2" xfId="3481" xr:uid="{00000000-0005-0000-0000-0000BE130000}"/>
    <cellStyle name="Normal 4 2 4 6 2 2" xfId="7703" xr:uid="{00000000-0005-0000-0000-0000BF130000}"/>
    <cellStyle name="Normal 4 2 4 6 2 2 2" xfId="17029" xr:uid="{81FF7F85-DA5B-4558-B794-EFA27A4FFC28}"/>
    <cellStyle name="Normal 4 2 4 6 2 3" xfId="12812" xr:uid="{837E359D-B088-40DD-8943-6A35F34C8025}"/>
    <cellStyle name="Normal 4 2 4 6 3" xfId="5558" xr:uid="{00000000-0005-0000-0000-0000C0130000}"/>
    <cellStyle name="Normal 4 2 4 6 3 2" xfId="14884" xr:uid="{579C4037-B4E7-4E46-86BB-C5456ED65AC9}"/>
    <cellStyle name="Normal 4 2 4 6 4" xfId="10667" xr:uid="{8A1E9C82-51AA-4A4F-B9CA-B35494A028A5}"/>
    <cellStyle name="Normal 4 2 4 7" xfId="1664" xr:uid="{00000000-0005-0000-0000-0000C1130000}"/>
    <cellStyle name="Normal 4 2 4 7 2" xfId="3894" xr:uid="{00000000-0005-0000-0000-0000C2130000}"/>
    <cellStyle name="Normal 4 2 4 7 2 2" xfId="8116" xr:uid="{00000000-0005-0000-0000-0000C3130000}"/>
    <cellStyle name="Normal 4 2 4 7 2 2 2" xfId="17442" xr:uid="{84A4323A-DEBD-4C3D-A5FF-0A02F8ED95D9}"/>
    <cellStyle name="Normal 4 2 4 7 2 3" xfId="13225" xr:uid="{748EA075-B660-4032-9B50-A0729EEEA21A}"/>
    <cellStyle name="Normal 4 2 4 7 3" xfId="5971" xr:uid="{00000000-0005-0000-0000-0000C4130000}"/>
    <cellStyle name="Normal 4 2 4 7 3 2" xfId="15297" xr:uid="{5E925821-4B5D-47B6-BA56-6EB08152AD0B}"/>
    <cellStyle name="Normal 4 2 4 7 4" xfId="11080" xr:uid="{AE1A9470-0F1A-48F2-972E-930A1BDC55AF}"/>
    <cellStyle name="Normal 4 2 4 8" xfId="2078" xr:uid="{00000000-0005-0000-0000-0000C5130000}"/>
    <cellStyle name="Normal 4 2 4 8 2" xfId="4307" xr:uid="{00000000-0005-0000-0000-0000C6130000}"/>
    <cellStyle name="Normal 4 2 4 8 2 2" xfId="8529" xr:uid="{00000000-0005-0000-0000-0000C7130000}"/>
    <cellStyle name="Normal 4 2 4 8 2 2 2" xfId="17855" xr:uid="{1A2C4A22-6AD5-4273-B021-AF77D9D6CD73}"/>
    <cellStyle name="Normal 4 2 4 8 2 3" xfId="13638" xr:uid="{50CF724E-20B0-4340-80F7-E3053E160BB7}"/>
    <cellStyle name="Normal 4 2 4 8 3" xfId="6384" xr:uid="{00000000-0005-0000-0000-0000C8130000}"/>
    <cellStyle name="Normal 4 2 4 8 3 2" xfId="15710" xr:uid="{94435FE5-FBB7-4631-B107-5203FA48A714}"/>
    <cellStyle name="Normal 4 2 4 8 4" xfId="11493" xr:uid="{EABC3AD7-D405-4957-A1B7-ED334C5BBB8A}"/>
    <cellStyle name="Normal 4 2 4 9" xfId="2514" xr:uid="{00000000-0005-0000-0000-0000C9130000}"/>
    <cellStyle name="Normal 4 2 4 9 2" xfId="6797" xr:uid="{00000000-0005-0000-0000-0000CA130000}"/>
    <cellStyle name="Normal 4 2 4 9 2 2" xfId="16123" xr:uid="{8CFFEE24-3CA1-431E-AFC6-EBF06CE97F6A}"/>
    <cellStyle name="Normal 4 2 4 9 3" xfId="11906" xr:uid="{C81BEF8E-48B4-4C09-8CBC-FE26EF03EFF3}"/>
    <cellStyle name="Normal 4 2 5" xfId="363" xr:uid="{00000000-0005-0000-0000-0000CB130000}"/>
    <cellStyle name="Normal 4 2 5 10" xfId="9849" xr:uid="{FD068F69-C833-44F5-956D-92DA36944D39}"/>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625" xr:uid="{1F47DAC6-74BB-457D-83F7-12639C885537}"/>
    <cellStyle name="Normal 4 2 5 2 2 2 3" xfId="12408" xr:uid="{EDD233C8-F01C-4977-9C80-ADC7A0A16743}"/>
    <cellStyle name="Normal 4 2 5 2 2 3" xfId="5154" xr:uid="{00000000-0005-0000-0000-0000D0130000}"/>
    <cellStyle name="Normal 4 2 5 2 2 3 2" xfId="14480" xr:uid="{2F553809-E07C-4002-9804-363788E6F013}"/>
    <cellStyle name="Normal 4 2 5 2 2 4" xfId="9478" xr:uid="{9FEAEEC2-067D-4244-BB0F-0858128140EB}"/>
    <cellStyle name="Normal 4 2 5 2 2 4 2" xfId="18793" xr:uid="{A44C8AB2-824B-4700-9631-9652B721CA5C}"/>
    <cellStyle name="Normal 4 2 5 2 2 5" xfId="10263" xr:uid="{891FA4AD-5C13-4F50-9E2C-9F1F5C77CF95}"/>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7038" xr:uid="{D9CF50A6-6023-4746-9D92-237D916EEE97}"/>
    <cellStyle name="Normal 4 2 5 2 3 2 3" xfId="12821" xr:uid="{F69F1A13-CAFD-4F18-8F45-3F48769BA6B3}"/>
    <cellStyle name="Normal 4 2 5 2 3 3" xfId="5567" xr:uid="{00000000-0005-0000-0000-0000D4130000}"/>
    <cellStyle name="Normal 4 2 5 2 3 3 2" xfId="14893" xr:uid="{34F874E3-EF42-400B-81E8-9D9C9A3544C2}"/>
    <cellStyle name="Normal 4 2 5 2 3 4" xfId="10676" xr:uid="{EABE7B61-EA73-45D0-B219-99746B207AB8}"/>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51" xr:uid="{ABEFCE2A-A49C-4BCD-96DC-07CBAD58F243}"/>
    <cellStyle name="Normal 4 2 5 2 4 2 3" xfId="13234" xr:uid="{7FF07E01-0D21-4742-8660-9C3244BDDD2F}"/>
    <cellStyle name="Normal 4 2 5 2 4 3" xfId="5980" xr:uid="{00000000-0005-0000-0000-0000D8130000}"/>
    <cellStyle name="Normal 4 2 5 2 4 3 2" xfId="15306" xr:uid="{B43599BF-B574-4624-82E2-3E3D48D5F205}"/>
    <cellStyle name="Normal 4 2 5 2 4 4" xfId="11089" xr:uid="{110E8A5D-18A3-4510-9E5F-9E0E003B37F9}"/>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64" xr:uid="{83CF6E47-E604-403B-831F-F39E2B2A51EF}"/>
    <cellStyle name="Normal 4 2 5 2 5 2 3" xfId="13647" xr:uid="{BC9F7436-65CD-4A4A-8DC7-7F8849AA8B4F}"/>
    <cellStyle name="Normal 4 2 5 2 5 3" xfId="6393" xr:uid="{00000000-0005-0000-0000-0000DC130000}"/>
    <cellStyle name="Normal 4 2 5 2 5 3 2" xfId="15719" xr:uid="{6DFD08F3-1B30-414D-AD8D-ABC55B1ACDB7}"/>
    <cellStyle name="Normal 4 2 5 2 5 4" xfId="11502" xr:uid="{3C5F5BA1-7462-46DB-92E9-D0B3AE6C308C}"/>
    <cellStyle name="Normal 4 2 5 2 6" xfId="2523" xr:uid="{00000000-0005-0000-0000-0000DD130000}"/>
    <cellStyle name="Normal 4 2 5 2 6 2" xfId="6806" xr:uid="{00000000-0005-0000-0000-0000DE130000}"/>
    <cellStyle name="Normal 4 2 5 2 6 2 2" xfId="16132" xr:uid="{898B0D20-E909-43F7-86A7-2E8D4B08D729}"/>
    <cellStyle name="Normal 4 2 5 2 6 3" xfId="11915" xr:uid="{D1953EDD-03CB-4F18-B2FD-DDA61B6B6A2D}"/>
    <cellStyle name="Normal 4 2 5 2 7" xfId="4741" xr:uid="{00000000-0005-0000-0000-0000DF130000}"/>
    <cellStyle name="Normal 4 2 5 2 7 2" xfId="14067" xr:uid="{CB1B3B28-F32D-4996-B0FF-70E9F8150AED}"/>
    <cellStyle name="Normal 4 2 5 2 8" xfId="9053" xr:uid="{0AE18A98-D9E6-47B9-86B0-DDAD3BC77B48}"/>
    <cellStyle name="Normal 4 2 5 2 8 2" xfId="18377" xr:uid="{E4E425FB-A780-4B88-99E5-07A4185A8FB7}"/>
    <cellStyle name="Normal 4 2 5 2 9" xfId="9850" xr:uid="{D722314B-CB96-469A-854A-8C92E63B5626}"/>
    <cellStyle name="Normal 4 2 5 3" xfId="839" xr:uid="{00000000-0005-0000-0000-0000E0130000}"/>
    <cellStyle name="Normal 4 2 5 3 2" xfId="3076" xr:uid="{00000000-0005-0000-0000-0000E1130000}"/>
    <cellStyle name="Normal 4 2 5 3 2 2" xfId="7298" xr:uid="{00000000-0005-0000-0000-0000E2130000}"/>
    <cellStyle name="Normal 4 2 5 3 2 2 2" xfId="16624" xr:uid="{CD001714-04DD-4D1A-808B-4729388C71F7}"/>
    <cellStyle name="Normal 4 2 5 3 2 3" xfId="12407" xr:uid="{543EA1ED-4168-48C4-A612-2CF2E60CEE7A}"/>
    <cellStyle name="Normal 4 2 5 3 3" xfId="5153" xr:uid="{00000000-0005-0000-0000-0000E3130000}"/>
    <cellStyle name="Normal 4 2 5 3 3 2" xfId="14479" xr:uid="{494889D5-3F9F-46F7-A60F-345ACAA84DCA}"/>
    <cellStyle name="Normal 4 2 5 3 4" xfId="9271" xr:uid="{41AE7BB1-E3C7-48BD-B24F-55AE39E68BB6}"/>
    <cellStyle name="Normal 4 2 5 3 4 2" xfId="18586" xr:uid="{EC0F1E6D-0A4B-4015-8815-8E45DBFF1235}"/>
    <cellStyle name="Normal 4 2 5 3 5" xfId="10262" xr:uid="{E145B2D1-DE0C-4964-AD91-FC269BBD08CC}"/>
    <cellStyle name="Normal 4 2 5 4" xfId="1259" xr:uid="{00000000-0005-0000-0000-0000E4130000}"/>
    <cellStyle name="Normal 4 2 5 4 2" xfId="3489" xr:uid="{00000000-0005-0000-0000-0000E5130000}"/>
    <cellStyle name="Normal 4 2 5 4 2 2" xfId="7711" xr:uid="{00000000-0005-0000-0000-0000E6130000}"/>
    <cellStyle name="Normal 4 2 5 4 2 2 2" xfId="17037" xr:uid="{615DA281-1CB3-4D04-B3B3-87334E9D0303}"/>
    <cellStyle name="Normal 4 2 5 4 2 3" xfId="12820" xr:uid="{BDED3B7E-F99C-48C8-9631-933C4E3438F2}"/>
    <cellStyle name="Normal 4 2 5 4 3" xfId="5566" xr:uid="{00000000-0005-0000-0000-0000E7130000}"/>
    <cellStyle name="Normal 4 2 5 4 3 2" xfId="14892" xr:uid="{6C664979-5A16-4F9C-A3BA-A096E8833AF0}"/>
    <cellStyle name="Normal 4 2 5 4 4" xfId="10675" xr:uid="{A90D99F8-055E-4455-883B-95D85D99ADC4}"/>
    <cellStyle name="Normal 4 2 5 5" xfId="1672" xr:uid="{00000000-0005-0000-0000-0000E8130000}"/>
    <cellStyle name="Normal 4 2 5 5 2" xfId="3902" xr:uid="{00000000-0005-0000-0000-0000E9130000}"/>
    <cellStyle name="Normal 4 2 5 5 2 2" xfId="8124" xr:uid="{00000000-0005-0000-0000-0000EA130000}"/>
    <cellStyle name="Normal 4 2 5 5 2 2 2" xfId="17450" xr:uid="{B3ACEEE7-85EE-44F5-8506-BCA1AF405BE1}"/>
    <cellStyle name="Normal 4 2 5 5 2 3" xfId="13233" xr:uid="{00F1BA45-DA47-47EA-BB11-CDCBE66B8E3E}"/>
    <cellStyle name="Normal 4 2 5 5 3" xfId="5979" xr:uid="{00000000-0005-0000-0000-0000EB130000}"/>
    <cellStyle name="Normal 4 2 5 5 3 2" xfId="15305" xr:uid="{0901DBDB-0C2E-4008-9C5E-A0384C1EE280}"/>
    <cellStyle name="Normal 4 2 5 5 4" xfId="11088" xr:uid="{356B760C-C1C9-40F3-9372-0B78B1B9508A}"/>
    <cellStyle name="Normal 4 2 5 6" xfId="2086" xr:uid="{00000000-0005-0000-0000-0000EC130000}"/>
    <cellStyle name="Normal 4 2 5 6 2" xfId="4315" xr:uid="{00000000-0005-0000-0000-0000ED130000}"/>
    <cellStyle name="Normal 4 2 5 6 2 2" xfId="8537" xr:uid="{00000000-0005-0000-0000-0000EE130000}"/>
    <cellStyle name="Normal 4 2 5 6 2 2 2" xfId="17863" xr:uid="{1C972DB8-23C6-4216-BCF7-5DFFEB1CBE59}"/>
    <cellStyle name="Normal 4 2 5 6 2 3" xfId="13646" xr:uid="{C4799F7E-FD00-4156-B685-247CCBB5CF52}"/>
    <cellStyle name="Normal 4 2 5 6 3" xfId="6392" xr:uid="{00000000-0005-0000-0000-0000EF130000}"/>
    <cellStyle name="Normal 4 2 5 6 3 2" xfId="15718" xr:uid="{900BD303-B067-443E-8F78-4B1F433ABE74}"/>
    <cellStyle name="Normal 4 2 5 6 4" xfId="11501" xr:uid="{BAE2BBD7-AD4B-48E2-A777-CD7B1FC4B4B4}"/>
    <cellStyle name="Normal 4 2 5 7" xfId="2522" xr:uid="{00000000-0005-0000-0000-0000F0130000}"/>
    <cellStyle name="Normal 4 2 5 7 2" xfId="6805" xr:uid="{00000000-0005-0000-0000-0000F1130000}"/>
    <cellStyle name="Normal 4 2 5 7 2 2" xfId="16131" xr:uid="{883C6E59-C993-4908-9855-E9217126DAF7}"/>
    <cellStyle name="Normal 4 2 5 7 3" xfId="11914" xr:uid="{63DC9289-9E6A-469B-A165-5D64B4A30B60}"/>
    <cellStyle name="Normal 4 2 5 8" xfId="4740" xr:uid="{00000000-0005-0000-0000-0000F2130000}"/>
    <cellStyle name="Normal 4 2 5 8 2" xfId="14066" xr:uid="{88EB15AD-7607-4D82-A8E8-B93FCDDE379A}"/>
    <cellStyle name="Normal 4 2 5 9" xfId="8846" xr:uid="{C69C7E2D-02E8-4C87-9C63-A39D0E37A062}"/>
    <cellStyle name="Normal 4 2 5 9 2" xfId="18170" xr:uid="{0CB1B534-682E-4149-80A1-1CEE46622A58}"/>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6626" xr:uid="{AEC16F89-A8CC-4ECD-BEF3-C6FE2DB7EC15}"/>
    <cellStyle name="Normal 4 2 6 2 2 3" xfId="12409" xr:uid="{406D06B3-BFB1-4AB5-8231-1E9B6FAA28C8}"/>
    <cellStyle name="Normal 4 2 6 2 3" xfId="5155" xr:uid="{00000000-0005-0000-0000-0000F7130000}"/>
    <cellStyle name="Normal 4 2 6 2 3 2" xfId="14481" xr:uid="{1F734EAB-4659-458C-B5B3-8E964DFDF01A}"/>
    <cellStyle name="Normal 4 2 6 2 4" xfId="9387" xr:uid="{933EA8C7-37F7-4AF2-922A-47A5CB1A47BC}"/>
    <cellStyle name="Normal 4 2 6 2 4 2" xfId="18702" xr:uid="{F04A5FFB-1CA7-4B12-B57C-74C3708F6DAF}"/>
    <cellStyle name="Normal 4 2 6 2 5" xfId="10264" xr:uid="{D980850F-4CB0-4654-9E20-3A0AA57A7851}"/>
    <cellStyle name="Normal 4 2 6 3" xfId="1261" xr:uid="{00000000-0005-0000-0000-0000F8130000}"/>
    <cellStyle name="Normal 4 2 6 3 2" xfId="3491" xr:uid="{00000000-0005-0000-0000-0000F9130000}"/>
    <cellStyle name="Normal 4 2 6 3 2 2" xfId="7713" xr:uid="{00000000-0005-0000-0000-0000FA130000}"/>
    <cellStyle name="Normal 4 2 6 3 2 2 2" xfId="17039" xr:uid="{AA345D54-A567-4158-94B3-94BD89FF262B}"/>
    <cellStyle name="Normal 4 2 6 3 2 3" xfId="12822" xr:uid="{0FEEA27B-00D5-49C1-BB45-46117AA0E1CE}"/>
    <cellStyle name="Normal 4 2 6 3 3" xfId="5568" xr:uid="{00000000-0005-0000-0000-0000FB130000}"/>
    <cellStyle name="Normal 4 2 6 3 3 2" xfId="14894" xr:uid="{E5C60ABF-2EFF-4729-8C37-D0860EBFFC58}"/>
    <cellStyle name="Normal 4 2 6 3 4" xfId="10677" xr:uid="{74CC19D0-1213-46C4-96F2-C2410436941C}"/>
    <cellStyle name="Normal 4 2 6 4" xfId="1674" xr:uid="{00000000-0005-0000-0000-0000FC130000}"/>
    <cellStyle name="Normal 4 2 6 4 2" xfId="3904" xr:uid="{00000000-0005-0000-0000-0000FD130000}"/>
    <cellStyle name="Normal 4 2 6 4 2 2" xfId="8126" xr:uid="{00000000-0005-0000-0000-0000FE130000}"/>
    <cellStyle name="Normal 4 2 6 4 2 2 2" xfId="17452" xr:uid="{4BF1A032-60D3-4532-AFA3-5747A6B9E0CB}"/>
    <cellStyle name="Normal 4 2 6 4 2 3" xfId="13235" xr:uid="{88A81C0B-D2A0-444B-B4C2-48BA08708D9D}"/>
    <cellStyle name="Normal 4 2 6 4 3" xfId="5981" xr:uid="{00000000-0005-0000-0000-0000FF130000}"/>
    <cellStyle name="Normal 4 2 6 4 3 2" xfId="15307" xr:uid="{4E9E6AF1-7B84-4956-BCB6-F79F42BAEB9D}"/>
    <cellStyle name="Normal 4 2 6 4 4" xfId="11090" xr:uid="{3EC85C21-515C-4385-8B51-7748E3FC3C95}"/>
    <cellStyle name="Normal 4 2 6 5" xfId="2088" xr:uid="{00000000-0005-0000-0000-000000140000}"/>
    <cellStyle name="Normal 4 2 6 5 2" xfId="4317" xr:uid="{00000000-0005-0000-0000-000001140000}"/>
    <cellStyle name="Normal 4 2 6 5 2 2" xfId="8539" xr:uid="{00000000-0005-0000-0000-000002140000}"/>
    <cellStyle name="Normal 4 2 6 5 2 2 2" xfId="17865" xr:uid="{50CEDF6E-FAB6-4C3F-BE9B-1E8D2E2ADF74}"/>
    <cellStyle name="Normal 4 2 6 5 2 3" xfId="13648" xr:uid="{6863F24C-CECA-4838-8FF8-5EB13B9B7931}"/>
    <cellStyle name="Normal 4 2 6 5 3" xfId="6394" xr:uid="{00000000-0005-0000-0000-000003140000}"/>
    <cellStyle name="Normal 4 2 6 5 3 2" xfId="15720" xr:uid="{CFB20B08-0E36-4A5A-8E2C-78A3A6559BB2}"/>
    <cellStyle name="Normal 4 2 6 5 4" xfId="11503" xr:uid="{38116B77-463A-40EF-907C-665AFDD52CE9}"/>
    <cellStyle name="Normal 4 2 6 6" xfId="2524" xr:uid="{00000000-0005-0000-0000-000004140000}"/>
    <cellStyle name="Normal 4 2 6 6 2" xfId="6807" xr:uid="{00000000-0005-0000-0000-000005140000}"/>
    <cellStyle name="Normal 4 2 6 6 2 2" xfId="16133" xr:uid="{B7AEF3DD-BC2E-401B-8344-7DC362518943}"/>
    <cellStyle name="Normal 4 2 6 6 3" xfId="11916" xr:uid="{6D872BA4-CA8F-4718-B84C-A30A1E9FFA45}"/>
    <cellStyle name="Normal 4 2 6 7" xfId="4742" xr:uid="{00000000-0005-0000-0000-000006140000}"/>
    <cellStyle name="Normal 4 2 6 7 2" xfId="14068" xr:uid="{0A177668-AD40-4429-85D3-C418ED38489D}"/>
    <cellStyle name="Normal 4 2 6 8" xfId="8962" xr:uid="{1A1596D6-3914-4465-A638-E540359059D2}"/>
    <cellStyle name="Normal 4 2 6 8 2" xfId="18286" xr:uid="{A4179ACD-50F8-4DEB-B162-A7FE5BD5FD31}"/>
    <cellStyle name="Normal 4 2 6 9" xfId="9851" xr:uid="{BCA52489-FF7A-4A96-9239-00B24E3BF6D2}"/>
    <cellStyle name="Normal 4 2 7" xfId="9165" xr:uid="{6363F967-7399-442D-B2CE-00085FF7F1E8}"/>
    <cellStyle name="Normal 4 2 7 2" xfId="18483" xr:uid="{732CD883-0977-4F90-995E-FA104851FC3E}"/>
    <cellStyle name="Normal 4 2 8" xfId="8743" xr:uid="{E2B8331F-47F9-4829-99C7-E05840A106B9}"/>
    <cellStyle name="Normal 4 2 8 2" xfId="18067" xr:uid="{56F04A56-93C7-470C-B04E-7B6E40BC2A4C}"/>
    <cellStyle name="Normal 4 3" xfId="366" xr:uid="{00000000-0005-0000-0000-000007140000}"/>
    <cellStyle name="Normal 4 3 10" xfId="9852" xr:uid="{AD31B97E-3D10-4518-9E05-805446384C49}"/>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0 2" xfId="18146" xr:uid="{E2A7CA11-7FAD-41FE-AB0A-F24A126DE0B9}"/>
    <cellStyle name="Normal 4 3 2 2 2 11" xfId="9853" xr:uid="{348FCDDA-FB37-4663-980F-D036E0F34893}"/>
    <cellStyle name="Normal 4 3 2 2 2 2" xfId="370" xr:uid="{00000000-0005-0000-0000-00000B140000}"/>
    <cellStyle name="Normal 4 3 2 2 2 2 10" xfId="9854" xr:uid="{25950BFB-D4D8-4604-ADED-05A139B18C13}"/>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630" xr:uid="{DD7E7BBD-564A-417E-B67B-3600ED20462F}"/>
    <cellStyle name="Normal 4 3 2 2 2 2 2 2 2 3" xfId="12413" xr:uid="{E1225A73-4EE4-452A-A619-918FE3487F77}"/>
    <cellStyle name="Normal 4 3 2 2 2 2 2 2 3" xfId="5159" xr:uid="{00000000-0005-0000-0000-000010140000}"/>
    <cellStyle name="Normal 4 3 2 2 2 2 2 2 3 2" xfId="14485" xr:uid="{6425FC27-38BE-43A2-88FC-01C89701FF6A}"/>
    <cellStyle name="Normal 4 3 2 2 2 2 2 2 4" xfId="9557" xr:uid="{4F6BDD99-7BF1-4D2F-9EDC-4F75F1942DB4}"/>
    <cellStyle name="Normal 4 3 2 2 2 2 2 2 4 2" xfId="18872" xr:uid="{0AA1425E-0A35-420D-AF2F-50C5122F89D8}"/>
    <cellStyle name="Normal 4 3 2 2 2 2 2 2 5" xfId="10268" xr:uid="{3F73B615-B991-4AF2-AD3A-5A82755D75E5}"/>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7043" xr:uid="{B0BDF882-503C-47E9-BDB2-6D47C5735441}"/>
    <cellStyle name="Normal 4 3 2 2 2 2 2 3 2 3" xfId="12826" xr:uid="{0FC16917-DF90-44FE-B7DC-280F56E5AA24}"/>
    <cellStyle name="Normal 4 3 2 2 2 2 2 3 3" xfId="5572" xr:uid="{00000000-0005-0000-0000-000014140000}"/>
    <cellStyle name="Normal 4 3 2 2 2 2 2 3 3 2" xfId="14898" xr:uid="{75C99C38-73A7-4FF2-853C-24AC091F0170}"/>
    <cellStyle name="Normal 4 3 2 2 2 2 2 3 4" xfId="10681" xr:uid="{90144142-9958-4837-B44B-028650CD1F03}"/>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56" xr:uid="{D9B549F0-23A9-45E8-9A09-E34972E8ADFD}"/>
    <cellStyle name="Normal 4 3 2 2 2 2 2 4 2 3" xfId="13239" xr:uid="{581086A3-8380-46CA-8813-511AD81417C0}"/>
    <cellStyle name="Normal 4 3 2 2 2 2 2 4 3" xfId="5985" xr:uid="{00000000-0005-0000-0000-000018140000}"/>
    <cellStyle name="Normal 4 3 2 2 2 2 2 4 3 2" xfId="15311" xr:uid="{D63C36BA-70E7-4C6A-8FA3-71FB14E5F893}"/>
    <cellStyle name="Normal 4 3 2 2 2 2 2 4 4" xfId="11094" xr:uid="{41EA3501-5E05-4CA2-9BA2-CD8139236AAC}"/>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69" xr:uid="{2E2E6513-CC11-4514-BDFE-1111ADB16C6E}"/>
    <cellStyle name="Normal 4 3 2 2 2 2 2 5 2 3" xfId="13652" xr:uid="{B82245A9-4AB6-42C2-99F6-7B702AAD3385}"/>
    <cellStyle name="Normal 4 3 2 2 2 2 2 5 3" xfId="6398" xr:uid="{00000000-0005-0000-0000-00001C140000}"/>
    <cellStyle name="Normal 4 3 2 2 2 2 2 5 3 2" xfId="15724" xr:uid="{3D7D7CFD-F66A-4B66-83FD-8C108E2198F7}"/>
    <cellStyle name="Normal 4 3 2 2 2 2 2 5 4" xfId="11507" xr:uid="{FA1BDAE7-7973-457B-A14D-5300563AFBCA}"/>
    <cellStyle name="Normal 4 3 2 2 2 2 2 6" xfId="2528" xr:uid="{00000000-0005-0000-0000-00001D140000}"/>
    <cellStyle name="Normal 4 3 2 2 2 2 2 6 2" xfId="6811" xr:uid="{00000000-0005-0000-0000-00001E140000}"/>
    <cellStyle name="Normal 4 3 2 2 2 2 2 6 2 2" xfId="16137" xr:uid="{36377A01-0392-498D-9C9D-4BD76CEEE9F8}"/>
    <cellStyle name="Normal 4 3 2 2 2 2 2 6 3" xfId="11920" xr:uid="{924F201D-867B-4D3B-B90D-E5873B78AA91}"/>
    <cellStyle name="Normal 4 3 2 2 2 2 2 7" xfId="4746" xr:uid="{00000000-0005-0000-0000-00001F140000}"/>
    <cellStyle name="Normal 4 3 2 2 2 2 2 7 2" xfId="14072" xr:uid="{AFF259D4-9799-4C1B-B43E-DD44B8B5DBDD}"/>
    <cellStyle name="Normal 4 3 2 2 2 2 2 8" xfId="9132" xr:uid="{14F6ED12-EABF-4C82-AD59-55D351026913}"/>
    <cellStyle name="Normal 4 3 2 2 2 2 2 8 2" xfId="18456" xr:uid="{3E18AFBB-9A57-4DA7-B172-9EADFFE65E38}"/>
    <cellStyle name="Normal 4 3 2 2 2 2 2 9" xfId="9855" xr:uid="{B395082C-3735-42A7-A840-989C3886913E}"/>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629" xr:uid="{6165C087-7A95-42E8-BF47-BFB421E1441D}"/>
    <cellStyle name="Normal 4 3 2 2 2 2 3 2 3" xfId="12412" xr:uid="{7AB9556A-4666-4108-ACE7-9BE06B0280EE}"/>
    <cellStyle name="Normal 4 3 2 2 2 2 3 3" xfId="5158" xr:uid="{00000000-0005-0000-0000-000023140000}"/>
    <cellStyle name="Normal 4 3 2 2 2 2 3 3 2" xfId="14484" xr:uid="{EC2D49FA-6853-4AAD-8928-5A68CA2FB139}"/>
    <cellStyle name="Normal 4 3 2 2 2 2 3 4" xfId="9350" xr:uid="{DFFEAFB7-A284-4FD9-B115-C19DA011CCC7}"/>
    <cellStyle name="Normal 4 3 2 2 2 2 3 4 2" xfId="18665" xr:uid="{2D50CFB5-7A53-4D93-B0B1-C877C1B9D849}"/>
    <cellStyle name="Normal 4 3 2 2 2 2 3 5" xfId="10267" xr:uid="{A00C64F5-7F15-4638-A67D-8FE26817A3AA}"/>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7042" xr:uid="{A38B09E7-9B2A-463B-9B04-D6EB93E03638}"/>
    <cellStyle name="Normal 4 3 2 2 2 2 4 2 3" xfId="12825" xr:uid="{722F0716-A50A-4F53-BA6D-E0E6B18556AD}"/>
    <cellStyle name="Normal 4 3 2 2 2 2 4 3" xfId="5571" xr:uid="{00000000-0005-0000-0000-000027140000}"/>
    <cellStyle name="Normal 4 3 2 2 2 2 4 3 2" xfId="14897" xr:uid="{7828ACDA-9CA5-4C76-9DDD-7E42F3B7F768}"/>
    <cellStyle name="Normal 4 3 2 2 2 2 4 4" xfId="10680" xr:uid="{38243FA6-6B26-4FD3-BAC7-45F3473AAACD}"/>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55" xr:uid="{DD548AD7-FE4B-4A0E-BE80-883D09958BE5}"/>
    <cellStyle name="Normal 4 3 2 2 2 2 5 2 3" xfId="13238" xr:uid="{55655692-26C9-4B13-A364-E1B7435A9485}"/>
    <cellStyle name="Normal 4 3 2 2 2 2 5 3" xfId="5984" xr:uid="{00000000-0005-0000-0000-00002B140000}"/>
    <cellStyle name="Normal 4 3 2 2 2 2 5 3 2" xfId="15310" xr:uid="{350E1C7C-A1D9-47AA-ACB2-D2218AB23522}"/>
    <cellStyle name="Normal 4 3 2 2 2 2 5 4" xfId="11093" xr:uid="{26614AFC-48DA-4C93-90F2-45A944E06B29}"/>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68" xr:uid="{3704E84A-2CC5-4254-969D-649FB8E6C86F}"/>
    <cellStyle name="Normal 4 3 2 2 2 2 6 2 3" xfId="13651" xr:uid="{38116BBB-F1F8-4638-AFC2-F363C7E2A0F5}"/>
    <cellStyle name="Normal 4 3 2 2 2 2 6 3" xfId="6397" xr:uid="{00000000-0005-0000-0000-00002F140000}"/>
    <cellStyle name="Normal 4 3 2 2 2 2 6 3 2" xfId="15723" xr:uid="{D480233B-CF17-4DAA-812D-6E9B8893E5B9}"/>
    <cellStyle name="Normal 4 3 2 2 2 2 6 4" xfId="11506" xr:uid="{91828BEC-AA4B-4FDD-B0D9-88BF9E85869E}"/>
    <cellStyle name="Normal 4 3 2 2 2 2 7" xfId="2527" xr:uid="{00000000-0005-0000-0000-000030140000}"/>
    <cellStyle name="Normal 4 3 2 2 2 2 7 2" xfId="6810" xr:uid="{00000000-0005-0000-0000-000031140000}"/>
    <cellStyle name="Normal 4 3 2 2 2 2 7 2 2" xfId="16136" xr:uid="{6D153293-338F-4B35-9EBA-FDBF31F85916}"/>
    <cellStyle name="Normal 4 3 2 2 2 2 7 3" xfId="11919" xr:uid="{A1854EF7-9D76-4F30-93A9-D7A4D358B4DA}"/>
    <cellStyle name="Normal 4 3 2 2 2 2 8" xfId="4745" xr:uid="{00000000-0005-0000-0000-000032140000}"/>
    <cellStyle name="Normal 4 3 2 2 2 2 8 2" xfId="14071" xr:uid="{77926C29-5ED7-42F2-AF1B-B1F352FAB048}"/>
    <cellStyle name="Normal 4 3 2 2 2 2 9" xfId="8925" xr:uid="{71BB8AFA-37D7-474D-A12B-C284DDE23CE9}"/>
    <cellStyle name="Normal 4 3 2 2 2 2 9 2" xfId="18249" xr:uid="{691D9372-D2D4-45A0-8D41-5F853CB6B817}"/>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631" xr:uid="{73C0026C-0837-4BFD-8B54-DBB037DE8D3A}"/>
    <cellStyle name="Normal 4 3 2 2 2 3 2 2 3" xfId="12414" xr:uid="{4ACD71FB-8EDA-4846-B8D8-1DE52E4605BF}"/>
    <cellStyle name="Normal 4 3 2 2 2 3 2 3" xfId="5160" xr:uid="{00000000-0005-0000-0000-000037140000}"/>
    <cellStyle name="Normal 4 3 2 2 2 3 2 3 2" xfId="14486" xr:uid="{10D90E05-ACBF-4AE9-998B-EF9529121579}"/>
    <cellStyle name="Normal 4 3 2 2 2 3 2 4" xfId="9454" xr:uid="{B81F5EAA-7D8E-43B5-94D7-313E66088BA5}"/>
    <cellStyle name="Normal 4 3 2 2 2 3 2 4 2" xfId="18769" xr:uid="{DAE44445-B301-4343-A26E-8DA0556BFDC1}"/>
    <cellStyle name="Normal 4 3 2 2 2 3 2 5" xfId="10269" xr:uid="{B54EE7D7-7408-4ADE-AB8A-2366AEC4D56C}"/>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44" xr:uid="{8FE4EA5F-E2E6-4FE4-95DB-5B8A3B965DFB}"/>
    <cellStyle name="Normal 4 3 2 2 2 3 3 2 3" xfId="12827" xr:uid="{E25A5D9C-E998-4A96-9EF8-F93103D5D2C0}"/>
    <cellStyle name="Normal 4 3 2 2 2 3 3 3" xfId="5573" xr:uid="{00000000-0005-0000-0000-00003B140000}"/>
    <cellStyle name="Normal 4 3 2 2 2 3 3 3 2" xfId="14899" xr:uid="{51E3D195-19D9-4EE8-8CA9-CE09799DFF33}"/>
    <cellStyle name="Normal 4 3 2 2 2 3 3 4" xfId="10682" xr:uid="{93DC754F-3F13-4D42-A537-DECEFB4C5B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57" xr:uid="{E19EB0D1-EED3-4C46-A203-3C56D39F7825}"/>
    <cellStyle name="Normal 4 3 2 2 2 3 4 2 3" xfId="13240" xr:uid="{B062DCF6-8490-442F-85FE-352B2DCC3751}"/>
    <cellStyle name="Normal 4 3 2 2 2 3 4 3" xfId="5986" xr:uid="{00000000-0005-0000-0000-00003F140000}"/>
    <cellStyle name="Normal 4 3 2 2 2 3 4 3 2" xfId="15312" xr:uid="{F9EBF6F3-6166-436C-A947-2AA201E23A08}"/>
    <cellStyle name="Normal 4 3 2 2 2 3 4 4" xfId="11095" xr:uid="{0D576CBE-CCA3-458A-8120-24892E58DADD}"/>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70" xr:uid="{0F5C106F-E043-43D9-8796-A4C8199A1208}"/>
    <cellStyle name="Normal 4 3 2 2 2 3 5 2 3" xfId="13653" xr:uid="{CD0A0711-411A-41C8-9780-A95CF28E4D28}"/>
    <cellStyle name="Normal 4 3 2 2 2 3 5 3" xfId="6399" xr:uid="{00000000-0005-0000-0000-000043140000}"/>
    <cellStyle name="Normal 4 3 2 2 2 3 5 3 2" xfId="15725" xr:uid="{DD1AFACE-2518-49CA-BA7F-E2E0E9980D21}"/>
    <cellStyle name="Normal 4 3 2 2 2 3 5 4" xfId="11508" xr:uid="{5D792C8D-6BEE-4985-83F9-FD7450AC924A}"/>
    <cellStyle name="Normal 4 3 2 2 2 3 6" xfId="2529" xr:uid="{00000000-0005-0000-0000-000044140000}"/>
    <cellStyle name="Normal 4 3 2 2 2 3 6 2" xfId="6812" xr:uid="{00000000-0005-0000-0000-000045140000}"/>
    <cellStyle name="Normal 4 3 2 2 2 3 6 2 2" xfId="16138" xr:uid="{7CFA468E-2576-41BD-A549-5E25C3628C92}"/>
    <cellStyle name="Normal 4 3 2 2 2 3 6 3" xfId="11921" xr:uid="{CFEDD865-A6AC-436A-A74D-3A34542FD9B3}"/>
    <cellStyle name="Normal 4 3 2 2 2 3 7" xfId="4747" xr:uid="{00000000-0005-0000-0000-000046140000}"/>
    <cellStyle name="Normal 4 3 2 2 2 3 7 2" xfId="14073" xr:uid="{1F1880E5-4841-4842-8D87-A913CB2590AF}"/>
    <cellStyle name="Normal 4 3 2 2 2 3 8" xfId="9029" xr:uid="{CC421D7E-69EF-4D96-A95C-E67F046F8D14}"/>
    <cellStyle name="Normal 4 3 2 2 2 3 8 2" xfId="18353" xr:uid="{109F6B3B-1B6B-42F9-A814-18A79ABC8443}"/>
    <cellStyle name="Normal 4 3 2 2 2 3 9" xfId="9856" xr:uid="{835792EE-7995-47C8-8974-9696BD805B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628" xr:uid="{B1C271E3-303B-4D57-9D99-B9DE40E26E6D}"/>
    <cellStyle name="Normal 4 3 2 2 2 4 2 3" xfId="12411" xr:uid="{9221907A-D0C7-475F-AA98-0AED24C27C01}"/>
    <cellStyle name="Normal 4 3 2 2 2 4 3" xfId="5157" xr:uid="{00000000-0005-0000-0000-00004A140000}"/>
    <cellStyle name="Normal 4 3 2 2 2 4 3 2" xfId="14483" xr:uid="{8074D19B-3A68-453D-9D62-4D4ACBC30BD6}"/>
    <cellStyle name="Normal 4 3 2 2 2 4 4" xfId="9247" xr:uid="{70D9D224-DB0B-42B4-B4A9-BC88F455C395}"/>
    <cellStyle name="Normal 4 3 2 2 2 4 4 2" xfId="18562" xr:uid="{120CFD30-8103-4123-B2F3-41A79BBBCBCC}"/>
    <cellStyle name="Normal 4 3 2 2 2 4 5" xfId="10266" xr:uid="{10A088E7-1591-4225-969A-F4F93C43403A}"/>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7041" xr:uid="{31AB01E0-BB7B-4381-8110-774DAE86A5A4}"/>
    <cellStyle name="Normal 4 3 2 2 2 5 2 3" xfId="12824" xr:uid="{C690C272-CBDB-4B1F-856A-D972EE35974D}"/>
    <cellStyle name="Normal 4 3 2 2 2 5 3" xfId="5570" xr:uid="{00000000-0005-0000-0000-00004E140000}"/>
    <cellStyle name="Normal 4 3 2 2 2 5 3 2" xfId="14896" xr:uid="{74DCE11A-B9E2-4B90-964F-B9465D05D0BB}"/>
    <cellStyle name="Normal 4 3 2 2 2 5 4" xfId="10679" xr:uid="{C5C4898B-6552-4420-A410-8FAE06CB7ED7}"/>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54" xr:uid="{8D534830-5BE0-41CB-A8A0-DC8289FF6396}"/>
    <cellStyle name="Normal 4 3 2 2 2 6 2 3" xfId="13237" xr:uid="{D9DEEE91-7B15-4EBC-95DE-BEA989F006D1}"/>
    <cellStyle name="Normal 4 3 2 2 2 6 3" xfId="5983" xr:uid="{00000000-0005-0000-0000-000052140000}"/>
    <cellStyle name="Normal 4 3 2 2 2 6 3 2" xfId="15309" xr:uid="{306CA708-C6DA-40A3-89C9-BED7BCD66D69}"/>
    <cellStyle name="Normal 4 3 2 2 2 6 4" xfId="11092" xr:uid="{2FF9FD40-5DB1-4192-A8E8-FE8F44A1AD41}"/>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67" xr:uid="{7B4DFA73-D7DC-4395-9D69-80B12CB31619}"/>
    <cellStyle name="Normal 4 3 2 2 2 7 2 3" xfId="13650" xr:uid="{275A90CA-DA87-47BD-AC05-E14720547362}"/>
    <cellStyle name="Normal 4 3 2 2 2 7 3" xfId="6396" xr:uid="{00000000-0005-0000-0000-000056140000}"/>
    <cellStyle name="Normal 4 3 2 2 2 7 3 2" xfId="15722" xr:uid="{CC176019-2853-444B-B4E6-2901B7EBA3BA}"/>
    <cellStyle name="Normal 4 3 2 2 2 7 4" xfId="11505" xr:uid="{71E8773E-86CA-4BA3-AD37-176665272BC9}"/>
    <cellStyle name="Normal 4 3 2 2 2 8" xfId="2526" xr:uid="{00000000-0005-0000-0000-000057140000}"/>
    <cellStyle name="Normal 4 3 2 2 2 8 2" xfId="6809" xr:uid="{00000000-0005-0000-0000-000058140000}"/>
    <cellStyle name="Normal 4 3 2 2 2 8 2 2" xfId="16135" xr:uid="{59034EFF-5122-419E-97C1-515B266ACE0D}"/>
    <cellStyle name="Normal 4 3 2 2 2 8 3" xfId="11918" xr:uid="{542F53A4-3BD5-4E16-8586-67DD3F78D0EC}"/>
    <cellStyle name="Normal 4 3 2 2 2 9" xfId="4744" xr:uid="{00000000-0005-0000-0000-000059140000}"/>
    <cellStyle name="Normal 4 3 2 2 2 9 2" xfId="14070" xr:uid="{FD7C8D3A-0F47-4D4F-BEF8-8BE2B9A5DDAE}"/>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0 2" xfId="18145" xr:uid="{1FA776C5-7F0F-4588-99EA-B4A9E650009F}"/>
    <cellStyle name="Normal 4 3 3 11" xfId="9857" xr:uid="{1C3C11F5-14C0-447C-9E45-365FE1FD4113}"/>
    <cellStyle name="Normal 4 3 3 2" xfId="375" xr:uid="{00000000-0005-0000-0000-00005E140000}"/>
    <cellStyle name="Normal 4 3 3 2 10" xfId="9858" xr:uid="{722CA77E-A6F3-4574-93E6-D6AE9208E526}"/>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634" xr:uid="{254F766C-BC3D-4BA1-A335-7A404216BF06}"/>
    <cellStyle name="Normal 4 3 3 2 2 2 2 3" xfId="12417" xr:uid="{A797455F-B263-4A7E-B8A5-F9362788A858}"/>
    <cellStyle name="Normal 4 3 3 2 2 2 3" xfId="5163" xr:uid="{00000000-0005-0000-0000-000063140000}"/>
    <cellStyle name="Normal 4 3 3 2 2 2 3 2" xfId="14489" xr:uid="{391C3E96-F0C8-40BC-8CC0-517923940EB3}"/>
    <cellStyle name="Normal 4 3 3 2 2 2 4" xfId="9556" xr:uid="{7233D5E9-9F1E-43FF-8391-DCCFDF8A705D}"/>
    <cellStyle name="Normal 4 3 3 2 2 2 4 2" xfId="18871" xr:uid="{963A621B-7EA0-4EBC-B77E-0FC3DB7A6D50}"/>
    <cellStyle name="Normal 4 3 3 2 2 2 5" xfId="10272" xr:uid="{79297B6E-FEFF-4ED7-8BF6-D6C80A8798C9}"/>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47" xr:uid="{A5D6BF3F-DB0E-4BEA-9921-7788165029E0}"/>
    <cellStyle name="Normal 4 3 3 2 2 3 2 3" xfId="12830" xr:uid="{68E1BDBA-1301-45F9-8B5C-F63845381767}"/>
    <cellStyle name="Normal 4 3 3 2 2 3 3" xfId="5576" xr:uid="{00000000-0005-0000-0000-000067140000}"/>
    <cellStyle name="Normal 4 3 3 2 2 3 3 2" xfId="14902" xr:uid="{273C0405-82BD-4D0C-8761-845C8BC25DCF}"/>
    <cellStyle name="Normal 4 3 3 2 2 3 4" xfId="10685" xr:uid="{9F921C2A-7F1F-4411-99FB-51D2983FE3FD}"/>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60" xr:uid="{F415C63C-AE95-4402-989B-35822A82E9DD}"/>
    <cellStyle name="Normal 4 3 3 2 2 4 2 3" xfId="13243" xr:uid="{702DA90D-44C5-4F33-B807-31FC3A198B68}"/>
    <cellStyle name="Normal 4 3 3 2 2 4 3" xfId="5989" xr:uid="{00000000-0005-0000-0000-00006B140000}"/>
    <cellStyle name="Normal 4 3 3 2 2 4 3 2" xfId="15315" xr:uid="{0F5393A4-3188-463C-9F85-818034870628}"/>
    <cellStyle name="Normal 4 3 3 2 2 4 4" xfId="11098" xr:uid="{60E64015-4432-43D2-9B3B-63DC6EDB7B05}"/>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73" xr:uid="{025C7675-C934-4BEC-8BBC-7F1F7EB188DA}"/>
    <cellStyle name="Normal 4 3 3 2 2 5 2 3" xfId="13656" xr:uid="{F291D9D6-0BDE-480C-8AB6-9527F7B8E118}"/>
    <cellStyle name="Normal 4 3 3 2 2 5 3" xfId="6402" xr:uid="{00000000-0005-0000-0000-00006F140000}"/>
    <cellStyle name="Normal 4 3 3 2 2 5 3 2" xfId="15728" xr:uid="{32AF429D-6355-4804-B65C-0DF6276FC71F}"/>
    <cellStyle name="Normal 4 3 3 2 2 5 4" xfId="11511" xr:uid="{B9A93E04-B53D-45D0-9CFC-89EEFF63ED9E}"/>
    <cellStyle name="Normal 4 3 3 2 2 6" xfId="2532" xr:uid="{00000000-0005-0000-0000-000070140000}"/>
    <cellStyle name="Normal 4 3 3 2 2 6 2" xfId="6815" xr:uid="{00000000-0005-0000-0000-000071140000}"/>
    <cellStyle name="Normal 4 3 3 2 2 6 2 2" xfId="16141" xr:uid="{91B13ECF-E866-420A-8179-8D0A5E48B202}"/>
    <cellStyle name="Normal 4 3 3 2 2 6 3" xfId="11924" xr:uid="{FFFC7306-22A4-4848-A0EF-5C338A3B8146}"/>
    <cellStyle name="Normal 4 3 3 2 2 7" xfId="4750" xr:uid="{00000000-0005-0000-0000-000072140000}"/>
    <cellStyle name="Normal 4 3 3 2 2 7 2" xfId="14076" xr:uid="{D3B99D32-666F-417B-91EA-C93920189AED}"/>
    <cellStyle name="Normal 4 3 3 2 2 8" xfId="9131" xr:uid="{D7BA3B10-6765-4B57-99D1-3AF7343772F8}"/>
    <cellStyle name="Normal 4 3 3 2 2 8 2" xfId="18455" xr:uid="{3FAB8B4D-EBBF-4F19-BE55-A2CA18B4C84B}"/>
    <cellStyle name="Normal 4 3 3 2 2 9" xfId="9859" xr:uid="{18A6F5EF-BE0D-4882-AE81-0DA9B9F9C41E}"/>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633" xr:uid="{1EFBA7AC-B653-4FE0-B302-1C5EEAA8F2E6}"/>
    <cellStyle name="Normal 4 3 3 2 3 2 3" xfId="12416" xr:uid="{ECA64E53-D2E1-49ED-8CBA-DDB87DEEB089}"/>
    <cellStyle name="Normal 4 3 3 2 3 3" xfId="5162" xr:uid="{00000000-0005-0000-0000-000076140000}"/>
    <cellStyle name="Normal 4 3 3 2 3 3 2" xfId="14488" xr:uid="{9A7A6C74-ADAE-4E54-9580-8325D7CEB81E}"/>
    <cellStyle name="Normal 4 3 3 2 3 4" xfId="9349" xr:uid="{E498700C-D7AE-42FC-8EB1-59BA2C1BA6B9}"/>
    <cellStyle name="Normal 4 3 3 2 3 4 2" xfId="18664" xr:uid="{BE569598-315E-41DC-A141-16A6101BA6C2}"/>
    <cellStyle name="Normal 4 3 3 2 3 5" xfId="10271" xr:uid="{B9F7C27E-27BF-4C90-88C5-49B3D9E34648}"/>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46" xr:uid="{C70277DD-1F23-4DCD-BE80-BEECD831ACEA}"/>
    <cellStyle name="Normal 4 3 3 2 4 2 3" xfId="12829" xr:uid="{F591276E-A426-41CE-B83A-0B9BC9F424B2}"/>
    <cellStyle name="Normal 4 3 3 2 4 3" xfId="5575" xr:uid="{00000000-0005-0000-0000-00007A140000}"/>
    <cellStyle name="Normal 4 3 3 2 4 3 2" xfId="14901" xr:uid="{CF11F8B8-D81F-4AD9-98AA-89FF3D5010FF}"/>
    <cellStyle name="Normal 4 3 3 2 4 4" xfId="10684" xr:uid="{A2262C29-D36E-46A9-90A0-54AB91586B9D}"/>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59" xr:uid="{7022B05F-8BAA-4587-8F8E-6617A49CA875}"/>
    <cellStyle name="Normal 4 3 3 2 5 2 3" xfId="13242" xr:uid="{A862ABB1-80D3-4544-8809-5F6422935787}"/>
    <cellStyle name="Normal 4 3 3 2 5 3" xfId="5988" xr:uid="{00000000-0005-0000-0000-00007E140000}"/>
    <cellStyle name="Normal 4 3 3 2 5 3 2" xfId="15314" xr:uid="{556E8CA3-1515-4864-9E60-5F20BF2B6AB1}"/>
    <cellStyle name="Normal 4 3 3 2 5 4" xfId="11097" xr:uid="{CABE1762-CA9B-4CE6-9ADD-8F5A2BD01843}"/>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72" xr:uid="{3D500FE8-A522-44F7-A276-48099B659A9E}"/>
    <cellStyle name="Normal 4 3 3 2 6 2 3" xfId="13655" xr:uid="{44BD18DE-E55F-4DC2-BF47-9E6AE0DDCE71}"/>
    <cellStyle name="Normal 4 3 3 2 6 3" xfId="6401" xr:uid="{00000000-0005-0000-0000-000082140000}"/>
    <cellStyle name="Normal 4 3 3 2 6 3 2" xfId="15727" xr:uid="{35E04E7C-05B0-4127-A0B2-5AC550D89D01}"/>
    <cellStyle name="Normal 4 3 3 2 6 4" xfId="11510" xr:uid="{48EA2FD8-D108-4DE3-A039-B92C5D4FCCE2}"/>
    <cellStyle name="Normal 4 3 3 2 7" xfId="2531" xr:uid="{00000000-0005-0000-0000-000083140000}"/>
    <cellStyle name="Normal 4 3 3 2 7 2" xfId="6814" xr:uid="{00000000-0005-0000-0000-000084140000}"/>
    <cellStyle name="Normal 4 3 3 2 7 2 2" xfId="16140" xr:uid="{EF70041B-C7B2-4421-AA2E-E48251758D86}"/>
    <cellStyle name="Normal 4 3 3 2 7 3" xfId="11923" xr:uid="{780DBFA2-6B09-4D39-A882-9DA7E9954579}"/>
    <cellStyle name="Normal 4 3 3 2 8" xfId="4749" xr:uid="{00000000-0005-0000-0000-000085140000}"/>
    <cellStyle name="Normal 4 3 3 2 8 2" xfId="14075" xr:uid="{CAC02AF1-30B1-495B-AFA2-46A04406872F}"/>
    <cellStyle name="Normal 4 3 3 2 9" xfId="8924" xr:uid="{F9E914C5-63E8-4CB8-8EA1-7427CE35C4AA}"/>
    <cellStyle name="Normal 4 3 3 2 9 2" xfId="18248" xr:uid="{E3339590-D931-458F-AE52-32D04739FF69}"/>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635" xr:uid="{BFFCCF3D-B106-423F-985F-F4735C311CD9}"/>
    <cellStyle name="Normal 4 3 3 3 2 2 3" xfId="12418" xr:uid="{C1108C7D-97E0-497B-84E2-2DC4C0715B34}"/>
    <cellStyle name="Normal 4 3 3 3 2 3" xfId="5164" xr:uid="{00000000-0005-0000-0000-00008A140000}"/>
    <cellStyle name="Normal 4 3 3 3 2 3 2" xfId="14490" xr:uid="{4EE8D7E8-7FCB-45CD-A3DA-CEC182F44DAA}"/>
    <cellStyle name="Normal 4 3 3 3 2 4" xfId="9453" xr:uid="{18D68920-503C-42C1-A733-EBE17DC6D008}"/>
    <cellStyle name="Normal 4 3 3 3 2 4 2" xfId="18768" xr:uid="{2AF69CD2-9D62-4498-B5F8-1F2FDE87D278}"/>
    <cellStyle name="Normal 4 3 3 3 2 5" xfId="10273" xr:uid="{A01D6B18-A37A-494B-84CA-2FC8739EF02B}"/>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48" xr:uid="{C8D538A0-5FFA-4093-AE30-1B5E1D310274}"/>
    <cellStyle name="Normal 4 3 3 3 3 2 3" xfId="12831" xr:uid="{FE9D238F-36F3-42F9-92E6-FB0E52503DF1}"/>
    <cellStyle name="Normal 4 3 3 3 3 3" xfId="5577" xr:uid="{00000000-0005-0000-0000-00008E140000}"/>
    <cellStyle name="Normal 4 3 3 3 3 3 2" xfId="14903" xr:uid="{30D758F5-6F5A-4EFB-A55C-EA3F8A0D5821}"/>
    <cellStyle name="Normal 4 3 3 3 3 4" xfId="10686" xr:uid="{E32BED47-1F8A-493B-9077-9986C40E633E}"/>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61" xr:uid="{E0F5CBE6-8CA3-4413-B7B9-08A16B08AE01}"/>
    <cellStyle name="Normal 4 3 3 3 4 2 3" xfId="13244" xr:uid="{E689F6E4-8701-4634-B663-8DAE9C05F10F}"/>
    <cellStyle name="Normal 4 3 3 3 4 3" xfId="5990" xr:uid="{00000000-0005-0000-0000-000092140000}"/>
    <cellStyle name="Normal 4 3 3 3 4 3 2" xfId="15316" xr:uid="{40CC2CE5-2053-41B2-A34E-37B9342133CB}"/>
    <cellStyle name="Normal 4 3 3 3 4 4" xfId="11099" xr:uid="{1495F636-8AAD-4BA0-B5FC-5A865ACD82F2}"/>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74" xr:uid="{70C91CF1-E96A-496E-A917-02BFB10610FC}"/>
    <cellStyle name="Normal 4 3 3 3 5 2 3" xfId="13657" xr:uid="{225D0880-6B11-49B2-872A-36827C20A12A}"/>
    <cellStyle name="Normal 4 3 3 3 5 3" xfId="6403" xr:uid="{00000000-0005-0000-0000-000096140000}"/>
    <cellStyle name="Normal 4 3 3 3 5 3 2" xfId="15729" xr:uid="{CDBD88CB-84D2-486A-ACD0-479F42E0F9FB}"/>
    <cellStyle name="Normal 4 3 3 3 5 4" xfId="11512" xr:uid="{ACB4830D-29EB-4FD9-B087-6E753C5D826C}"/>
    <cellStyle name="Normal 4 3 3 3 6" xfId="2533" xr:uid="{00000000-0005-0000-0000-000097140000}"/>
    <cellStyle name="Normal 4 3 3 3 6 2" xfId="6816" xr:uid="{00000000-0005-0000-0000-000098140000}"/>
    <cellStyle name="Normal 4 3 3 3 6 2 2" xfId="16142" xr:uid="{95E255ED-2CEE-48A5-807D-675BC895D62D}"/>
    <cellStyle name="Normal 4 3 3 3 6 3" xfId="11925" xr:uid="{FA7A2CC3-F695-4E78-92C7-38C3CD02929F}"/>
    <cellStyle name="Normal 4 3 3 3 7" xfId="4751" xr:uid="{00000000-0005-0000-0000-000099140000}"/>
    <cellStyle name="Normal 4 3 3 3 7 2" xfId="14077" xr:uid="{DB081F6F-CE2C-497C-8A6D-378FEB4F7F73}"/>
    <cellStyle name="Normal 4 3 3 3 8" xfId="9028" xr:uid="{A0BD85BE-0D8B-455E-B326-708B8FF8A8C8}"/>
    <cellStyle name="Normal 4 3 3 3 8 2" xfId="18352" xr:uid="{C1C1ACB0-09A7-4569-BCF0-5CFA0D3148D9}"/>
    <cellStyle name="Normal 4 3 3 3 9" xfId="9860" xr:uid="{DF0ED470-5966-4E2D-87DB-640DE57E1E5D}"/>
    <cellStyle name="Normal 4 3 3 4" xfId="849" xr:uid="{00000000-0005-0000-0000-00009A140000}"/>
    <cellStyle name="Normal 4 3 3 4 2" xfId="3084" xr:uid="{00000000-0005-0000-0000-00009B140000}"/>
    <cellStyle name="Normal 4 3 3 4 2 2" xfId="7306" xr:uid="{00000000-0005-0000-0000-00009C140000}"/>
    <cellStyle name="Normal 4 3 3 4 2 2 2" xfId="16632" xr:uid="{7334BBF2-2C9C-4862-BCE8-AEDC436214F9}"/>
    <cellStyle name="Normal 4 3 3 4 2 3" xfId="12415" xr:uid="{58C195D6-A572-4443-BE3E-1BCE0955D61A}"/>
    <cellStyle name="Normal 4 3 3 4 3" xfId="5161" xr:uid="{00000000-0005-0000-0000-00009D140000}"/>
    <cellStyle name="Normal 4 3 3 4 3 2" xfId="14487" xr:uid="{6C72E7F8-D392-4017-BADD-8F2C86C1592F}"/>
    <cellStyle name="Normal 4 3 3 4 4" xfId="9246" xr:uid="{E1107DA9-8F13-4216-80A2-CEA1D2EF57FC}"/>
    <cellStyle name="Normal 4 3 3 4 4 2" xfId="18561" xr:uid="{284EFDBD-472B-4484-8442-4B7F128568D3}"/>
    <cellStyle name="Normal 4 3 3 4 5" xfId="10270" xr:uid="{FBF90762-AEC8-4938-8255-198F720C4BEB}"/>
    <cellStyle name="Normal 4 3 3 5" xfId="1267" xr:uid="{00000000-0005-0000-0000-00009E140000}"/>
    <cellStyle name="Normal 4 3 3 5 2" xfId="3497" xr:uid="{00000000-0005-0000-0000-00009F140000}"/>
    <cellStyle name="Normal 4 3 3 5 2 2" xfId="7719" xr:uid="{00000000-0005-0000-0000-0000A0140000}"/>
    <cellStyle name="Normal 4 3 3 5 2 2 2" xfId="17045" xr:uid="{705B81E4-CC4A-4DB0-A46C-3CBBE83AF982}"/>
    <cellStyle name="Normal 4 3 3 5 2 3" xfId="12828" xr:uid="{210F8A21-EA08-40FD-8C0E-C831FA59DC8B}"/>
    <cellStyle name="Normal 4 3 3 5 3" xfId="5574" xr:uid="{00000000-0005-0000-0000-0000A1140000}"/>
    <cellStyle name="Normal 4 3 3 5 3 2" xfId="14900" xr:uid="{00A7424F-6E05-40BF-9960-E24FC463F20D}"/>
    <cellStyle name="Normal 4 3 3 5 4" xfId="10683" xr:uid="{D8DFE831-8426-480E-BD98-323766E06CE8}"/>
    <cellStyle name="Normal 4 3 3 6" xfId="1680" xr:uid="{00000000-0005-0000-0000-0000A2140000}"/>
    <cellStyle name="Normal 4 3 3 6 2" xfId="3910" xr:uid="{00000000-0005-0000-0000-0000A3140000}"/>
    <cellStyle name="Normal 4 3 3 6 2 2" xfId="8132" xr:uid="{00000000-0005-0000-0000-0000A4140000}"/>
    <cellStyle name="Normal 4 3 3 6 2 2 2" xfId="17458" xr:uid="{CF9AD3C8-7EF4-4E0A-ADEF-3EA882B543B5}"/>
    <cellStyle name="Normal 4 3 3 6 2 3" xfId="13241" xr:uid="{C4640351-5C6D-4718-90BB-75C79EB50943}"/>
    <cellStyle name="Normal 4 3 3 6 3" xfId="5987" xr:uid="{00000000-0005-0000-0000-0000A5140000}"/>
    <cellStyle name="Normal 4 3 3 6 3 2" xfId="15313" xr:uid="{641A9B5B-1741-45B8-8D77-61DEA689FB6F}"/>
    <cellStyle name="Normal 4 3 3 6 4" xfId="11096" xr:uid="{5880A334-AB7F-4485-A435-98CFD8E00E9B}"/>
    <cellStyle name="Normal 4 3 3 7" xfId="2094" xr:uid="{00000000-0005-0000-0000-0000A6140000}"/>
    <cellStyle name="Normal 4 3 3 7 2" xfId="4323" xr:uid="{00000000-0005-0000-0000-0000A7140000}"/>
    <cellStyle name="Normal 4 3 3 7 2 2" xfId="8545" xr:uid="{00000000-0005-0000-0000-0000A8140000}"/>
    <cellStyle name="Normal 4 3 3 7 2 2 2" xfId="17871" xr:uid="{DE202D60-BC1D-49C9-9E25-C860CC6EB9B6}"/>
    <cellStyle name="Normal 4 3 3 7 2 3" xfId="13654" xr:uid="{3864362E-6F35-4F7D-8327-72697F69BDDB}"/>
    <cellStyle name="Normal 4 3 3 7 3" xfId="6400" xr:uid="{00000000-0005-0000-0000-0000A9140000}"/>
    <cellStyle name="Normal 4 3 3 7 3 2" xfId="15726" xr:uid="{488AD970-2FB1-430A-9CAA-DBB248801BFB}"/>
    <cellStyle name="Normal 4 3 3 7 4" xfId="11509" xr:uid="{4A1F55A9-D4B5-410A-8537-A4743D265095}"/>
    <cellStyle name="Normal 4 3 3 8" xfId="2530" xr:uid="{00000000-0005-0000-0000-0000AA140000}"/>
    <cellStyle name="Normal 4 3 3 8 2" xfId="6813" xr:uid="{00000000-0005-0000-0000-0000AB140000}"/>
    <cellStyle name="Normal 4 3 3 8 2 2" xfId="16139" xr:uid="{4F9DCA62-A9AE-4D95-8801-07DF4B0A6447}"/>
    <cellStyle name="Normal 4 3 3 8 3" xfId="11922" xr:uid="{313594A2-C64C-4D1F-94E9-130EA879CB80}"/>
    <cellStyle name="Normal 4 3 3 9" xfId="4748" xr:uid="{00000000-0005-0000-0000-0000AC140000}"/>
    <cellStyle name="Normal 4 3 3 9 2" xfId="14074" xr:uid="{C7028AFE-E289-4426-BBCE-A9B7105EF7E3}"/>
    <cellStyle name="Normal 4 3 4" xfId="842" xr:uid="{00000000-0005-0000-0000-0000AD140000}"/>
    <cellStyle name="Normal 4 3 4 2" xfId="3079" xr:uid="{00000000-0005-0000-0000-0000AE140000}"/>
    <cellStyle name="Normal 4 3 4 2 2" xfId="7301" xr:uid="{00000000-0005-0000-0000-0000AF140000}"/>
    <cellStyle name="Normal 4 3 4 2 2 2" xfId="16627" xr:uid="{5BE25F5B-3E9B-4DE4-BAB6-E114AF7627BD}"/>
    <cellStyle name="Normal 4 3 4 2 3" xfId="12410" xr:uid="{5D11103E-0172-445B-8420-BFEB39BD7E52}"/>
    <cellStyle name="Normal 4 3 4 3" xfId="5156" xr:uid="{00000000-0005-0000-0000-0000B0140000}"/>
    <cellStyle name="Normal 4 3 4 3 2" xfId="14482" xr:uid="{71897685-3DED-4F09-9B26-130084E8AC10}"/>
    <cellStyle name="Normal 4 3 4 4" xfId="9608" xr:uid="{C2EFFD2B-01D5-4B2B-BD85-BB4245D6A35E}"/>
    <cellStyle name="Normal 4 3 4 4 2" xfId="18909" xr:uid="{9AABF50A-EE15-4303-A9A6-5946542CC325}"/>
    <cellStyle name="Normal 4 3 4 5" xfId="10265" xr:uid="{6232079C-62FC-46A5-A711-D235215AE7D0}"/>
    <cellStyle name="Normal 4 3 5" xfId="1262" xr:uid="{00000000-0005-0000-0000-0000B1140000}"/>
    <cellStyle name="Normal 4 3 5 2" xfId="3492" xr:uid="{00000000-0005-0000-0000-0000B2140000}"/>
    <cellStyle name="Normal 4 3 5 2 2" xfId="7714" xr:uid="{00000000-0005-0000-0000-0000B3140000}"/>
    <cellStyle name="Normal 4 3 5 2 2 2" xfId="17040" xr:uid="{A8AEA101-2434-44E3-9254-84A9D584DB33}"/>
    <cellStyle name="Normal 4 3 5 2 3" xfId="12823" xr:uid="{B600AD4A-E89E-43C1-AE83-EE6B10E5E509}"/>
    <cellStyle name="Normal 4 3 5 3" xfId="5569" xr:uid="{00000000-0005-0000-0000-0000B4140000}"/>
    <cellStyle name="Normal 4 3 5 3 2" xfId="14895" xr:uid="{3F57AA72-7672-4435-8F3D-D43F7B7CE999}"/>
    <cellStyle name="Normal 4 3 5 4" xfId="10678" xr:uid="{93189823-D258-45BE-934B-68982ADD530F}"/>
    <cellStyle name="Normal 4 3 6" xfId="1675" xr:uid="{00000000-0005-0000-0000-0000B5140000}"/>
    <cellStyle name="Normal 4 3 6 2" xfId="3905" xr:uid="{00000000-0005-0000-0000-0000B6140000}"/>
    <cellStyle name="Normal 4 3 6 2 2" xfId="8127" xr:uid="{00000000-0005-0000-0000-0000B7140000}"/>
    <cellStyle name="Normal 4 3 6 2 2 2" xfId="17453" xr:uid="{349D79E0-27D6-4334-8C57-5C025DACE366}"/>
    <cellStyle name="Normal 4 3 6 2 3" xfId="13236" xr:uid="{0D2F257C-300D-4475-B4A0-A0CA981B2CEA}"/>
    <cellStyle name="Normal 4 3 6 3" xfId="5982" xr:uid="{00000000-0005-0000-0000-0000B8140000}"/>
    <cellStyle name="Normal 4 3 6 3 2" xfId="15308" xr:uid="{0119E09A-1FFD-4308-AD13-D46F798EB57E}"/>
    <cellStyle name="Normal 4 3 6 4" xfId="11091" xr:uid="{8BBB1658-4B8A-4F97-8BCD-C31B43E729EA}"/>
    <cellStyle name="Normal 4 3 7" xfId="2089" xr:uid="{00000000-0005-0000-0000-0000B9140000}"/>
    <cellStyle name="Normal 4 3 7 2" xfId="4318" xr:uid="{00000000-0005-0000-0000-0000BA140000}"/>
    <cellStyle name="Normal 4 3 7 2 2" xfId="8540" xr:uid="{00000000-0005-0000-0000-0000BB140000}"/>
    <cellStyle name="Normal 4 3 7 2 2 2" xfId="17866" xr:uid="{2DF66100-B0C6-4830-A68E-5A303ECB24E4}"/>
    <cellStyle name="Normal 4 3 7 2 3" xfId="13649" xr:uid="{FD2A3B94-E601-4DD8-BFF4-719B1FB4CC0E}"/>
    <cellStyle name="Normal 4 3 7 3" xfId="6395" xr:uid="{00000000-0005-0000-0000-0000BC140000}"/>
    <cellStyle name="Normal 4 3 7 3 2" xfId="15721" xr:uid="{604941F3-EFB5-48A7-8EA4-CC82679B6FD7}"/>
    <cellStyle name="Normal 4 3 7 4" xfId="11504" xr:uid="{B98C8F36-B1C1-40A9-B2F2-B07D64780EEE}"/>
    <cellStyle name="Normal 4 3 8" xfId="2525" xr:uid="{00000000-0005-0000-0000-0000BD140000}"/>
    <cellStyle name="Normal 4 3 8 2" xfId="6808" xr:uid="{00000000-0005-0000-0000-0000BE140000}"/>
    <cellStyle name="Normal 4 3 8 2 2" xfId="16134" xr:uid="{3D964C28-E5A7-4432-88C2-74478FE33F59}"/>
    <cellStyle name="Normal 4 3 8 3" xfId="11917" xr:uid="{C63D1E4A-1A8D-4D4B-A9CC-1CEF458006F1}"/>
    <cellStyle name="Normal 4 3 9" xfId="4743" xr:uid="{00000000-0005-0000-0000-0000BF140000}"/>
    <cellStyle name="Normal 4 3 9 2" xfId="14069" xr:uid="{DD5607FF-D0C5-48C3-AD73-A34240F41F6A}"/>
    <cellStyle name="Normal 4 4" xfId="378" xr:uid="{00000000-0005-0000-0000-0000C0140000}"/>
    <cellStyle name="Normal 4 4 10" xfId="2534" xr:uid="{00000000-0005-0000-0000-0000C1140000}"/>
    <cellStyle name="Normal 4 4 10 2" xfId="6817" xr:uid="{00000000-0005-0000-0000-0000C2140000}"/>
    <cellStyle name="Normal 4 4 10 2 2" xfId="16143" xr:uid="{49DD7C5C-978F-4D42-8A3F-F3634230553A}"/>
    <cellStyle name="Normal 4 4 10 3" xfId="11926" xr:uid="{2A0CBFDA-2F80-41BF-AB0C-27932CEAD252}"/>
    <cellStyle name="Normal 4 4 11" xfId="4752" xr:uid="{00000000-0005-0000-0000-0000C3140000}"/>
    <cellStyle name="Normal 4 4 11 2" xfId="14078" xr:uid="{DA32DA1C-09EC-464C-A619-42B0EB29092F}"/>
    <cellStyle name="Normal 4 4 12" xfId="8749" xr:uid="{A91736B6-873D-4B1A-8B29-18DC69E5E65F}"/>
    <cellStyle name="Normal 4 4 12 2" xfId="18073" xr:uid="{3F7E3449-4AA3-4412-93B2-8736551B3CFA}"/>
    <cellStyle name="Normal 4 4 13" xfId="9861" xr:uid="{5907C6CC-74A0-4F4D-BAA1-E02FCE650D65}"/>
    <cellStyle name="Normal 4 4 2" xfId="379" xr:uid="{00000000-0005-0000-0000-0000C4140000}"/>
    <cellStyle name="Normal 4 4 2 10" xfId="4753" xr:uid="{00000000-0005-0000-0000-0000C5140000}"/>
    <cellStyle name="Normal 4 4 2 10 2" xfId="14079" xr:uid="{AAFCB116-FA7E-4F41-B2B6-617B99C9E2BF}"/>
    <cellStyle name="Normal 4 4 2 11" xfId="8781" xr:uid="{12B8F0AD-1EB8-4D0A-9CAD-21DEEFEDAE41}"/>
    <cellStyle name="Normal 4 4 2 11 2" xfId="18105" xr:uid="{837E02DD-9376-427E-8014-667CCDB082CC}"/>
    <cellStyle name="Normal 4 4 2 12" xfId="9862" xr:uid="{DFC52D9E-B9CB-4D1D-9ECD-B293B03C4F02}"/>
    <cellStyle name="Normal 4 4 2 2" xfId="380" xr:uid="{00000000-0005-0000-0000-0000C6140000}"/>
    <cellStyle name="Normal 4 4 2 2 10" xfId="8824" xr:uid="{FF218EA8-00A9-476B-AA88-FBBBBED2D06B}"/>
    <cellStyle name="Normal 4 4 2 2 10 2" xfId="18148" xr:uid="{9B8B6FC4-DC17-4C04-87A9-0A78714C25BE}"/>
    <cellStyle name="Normal 4 4 2 2 11" xfId="9863" xr:uid="{1814A097-A145-42D9-8BCD-FE926777D135}"/>
    <cellStyle name="Normal 4 4 2 2 2" xfId="381" xr:uid="{00000000-0005-0000-0000-0000C7140000}"/>
    <cellStyle name="Normal 4 4 2 2 2 10" xfId="9864" xr:uid="{76180A2A-8010-4E0B-817F-17F64FB25F11}"/>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640" xr:uid="{E8E2E503-34F7-4C45-9253-48FDF168FDE5}"/>
    <cellStyle name="Normal 4 4 2 2 2 2 2 2 3" xfId="12423" xr:uid="{D8B6405E-9C49-4DD4-9A56-FD3D279470A1}"/>
    <cellStyle name="Normal 4 4 2 2 2 2 2 3" xfId="5169" xr:uid="{00000000-0005-0000-0000-0000CC140000}"/>
    <cellStyle name="Normal 4 4 2 2 2 2 2 3 2" xfId="14495" xr:uid="{22AAAD57-1443-44B2-ADFA-B1A84DA4CD3E}"/>
    <cellStyle name="Normal 4 4 2 2 2 2 2 4" xfId="9559" xr:uid="{6E5E886C-D83F-47E6-AD2B-552CC2A98FD0}"/>
    <cellStyle name="Normal 4 4 2 2 2 2 2 4 2" xfId="18874" xr:uid="{1ABF56C4-B1BA-471C-ADBF-63EFAB36722A}"/>
    <cellStyle name="Normal 4 4 2 2 2 2 2 5" xfId="10278" xr:uid="{4457C2A8-9830-47F5-9FCC-B7976235A166}"/>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53" xr:uid="{86AA835C-151F-4F76-AC54-1D52F395D577}"/>
    <cellStyle name="Normal 4 4 2 2 2 2 3 2 3" xfId="12836" xr:uid="{2C4FB701-5728-4D48-9AFE-0C431A14E371}"/>
    <cellStyle name="Normal 4 4 2 2 2 2 3 3" xfId="5582" xr:uid="{00000000-0005-0000-0000-0000D0140000}"/>
    <cellStyle name="Normal 4 4 2 2 2 2 3 3 2" xfId="14908" xr:uid="{44C5A7C6-9F03-4FEE-883E-BA9FC810AE47}"/>
    <cellStyle name="Normal 4 4 2 2 2 2 3 4" xfId="10691" xr:uid="{A5ACC5D1-F57C-410E-B458-31E3AF554024}"/>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66" xr:uid="{55F7AB1F-F704-46BA-8F0C-B1BD45D5BA41}"/>
    <cellStyle name="Normal 4 4 2 2 2 2 4 2 3" xfId="13249" xr:uid="{9770B2D3-AC5B-4DDF-940B-915E8D37D431}"/>
    <cellStyle name="Normal 4 4 2 2 2 2 4 3" xfId="5995" xr:uid="{00000000-0005-0000-0000-0000D4140000}"/>
    <cellStyle name="Normal 4 4 2 2 2 2 4 3 2" xfId="15321" xr:uid="{10BC6320-F1D5-473F-92EC-2CAAD521A1CC}"/>
    <cellStyle name="Normal 4 4 2 2 2 2 4 4" xfId="11104" xr:uid="{A4F899CD-AE6B-47DA-98F2-3287E13CEA21}"/>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79" xr:uid="{34747EFC-863C-4891-83EA-9901A39991DE}"/>
    <cellStyle name="Normal 4 4 2 2 2 2 5 2 3" xfId="13662" xr:uid="{FCBBF48A-D1F5-48A5-8EC3-999C23ECDDCB}"/>
    <cellStyle name="Normal 4 4 2 2 2 2 5 3" xfId="6408" xr:uid="{00000000-0005-0000-0000-0000D8140000}"/>
    <cellStyle name="Normal 4 4 2 2 2 2 5 3 2" xfId="15734" xr:uid="{26D45047-A34F-4936-AA60-FFAAD6392BBD}"/>
    <cellStyle name="Normal 4 4 2 2 2 2 5 4" xfId="11517" xr:uid="{0F6CC0A4-03B1-4E47-8F60-81F145276808}"/>
    <cellStyle name="Normal 4 4 2 2 2 2 6" xfId="2538" xr:uid="{00000000-0005-0000-0000-0000D9140000}"/>
    <cellStyle name="Normal 4 4 2 2 2 2 6 2" xfId="6821" xr:uid="{00000000-0005-0000-0000-0000DA140000}"/>
    <cellStyle name="Normal 4 4 2 2 2 2 6 2 2" xfId="16147" xr:uid="{12981BB2-FFD2-4F73-8225-3772D64D1095}"/>
    <cellStyle name="Normal 4 4 2 2 2 2 6 3" xfId="11930" xr:uid="{A68BA8A5-AE06-4BCA-BE4B-07E31B18C28B}"/>
    <cellStyle name="Normal 4 4 2 2 2 2 7" xfId="4756" xr:uid="{00000000-0005-0000-0000-0000DB140000}"/>
    <cellStyle name="Normal 4 4 2 2 2 2 7 2" xfId="14082" xr:uid="{F9EAB65C-3DC0-4D08-851B-4AE7A1C68CA7}"/>
    <cellStyle name="Normal 4 4 2 2 2 2 8" xfId="9134" xr:uid="{B37D4C66-6754-4A5E-BFF7-77694E4355C2}"/>
    <cellStyle name="Normal 4 4 2 2 2 2 8 2" xfId="18458" xr:uid="{CF0EB54E-9AFF-403B-9F42-31912BD3EAB2}"/>
    <cellStyle name="Normal 4 4 2 2 2 2 9" xfId="9865" xr:uid="{19308B73-AEF6-4DDE-8887-B38BDD5CB0A1}"/>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639" xr:uid="{98793D40-1800-4560-BC6F-4138AA8AF52C}"/>
    <cellStyle name="Normal 4 4 2 2 2 3 2 3" xfId="12422" xr:uid="{BC04C0FB-4116-4FDF-849C-61877C3EBE73}"/>
    <cellStyle name="Normal 4 4 2 2 2 3 3" xfId="5168" xr:uid="{00000000-0005-0000-0000-0000DF140000}"/>
    <cellStyle name="Normal 4 4 2 2 2 3 3 2" xfId="14494" xr:uid="{3BBCE53C-4CBE-47F3-AA3F-945FCBB35F09}"/>
    <cellStyle name="Normal 4 4 2 2 2 3 4" xfId="9352" xr:uid="{76F31DA2-44D0-447F-BA9C-6271BA6AAE96}"/>
    <cellStyle name="Normal 4 4 2 2 2 3 4 2" xfId="18667" xr:uid="{B8CF2C87-D6FB-435C-8713-0704241B44E7}"/>
    <cellStyle name="Normal 4 4 2 2 2 3 5" xfId="10277" xr:uid="{E40C1D9E-F237-4ECB-8879-B0AD7EB9832E}"/>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52" xr:uid="{E983AD0E-5EC1-4C1D-BBD1-8601C073D82E}"/>
    <cellStyle name="Normal 4 4 2 2 2 4 2 3" xfId="12835" xr:uid="{267FB401-51D3-4235-895A-B8B22E2D31C9}"/>
    <cellStyle name="Normal 4 4 2 2 2 4 3" xfId="5581" xr:uid="{00000000-0005-0000-0000-0000E3140000}"/>
    <cellStyle name="Normal 4 4 2 2 2 4 3 2" xfId="14907" xr:uid="{899C49D1-4C73-4E03-A25D-822CF5F967AC}"/>
    <cellStyle name="Normal 4 4 2 2 2 4 4" xfId="10690" xr:uid="{10DC46A8-D7C5-48F4-B331-76467212AE56}"/>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65" xr:uid="{46BC1375-9E7A-44A2-9211-A5E8C598272C}"/>
    <cellStyle name="Normal 4 4 2 2 2 5 2 3" xfId="13248" xr:uid="{BD104C31-9E78-4116-93BD-B8C979F0D61A}"/>
    <cellStyle name="Normal 4 4 2 2 2 5 3" xfId="5994" xr:uid="{00000000-0005-0000-0000-0000E7140000}"/>
    <cellStyle name="Normal 4 4 2 2 2 5 3 2" xfId="15320" xr:uid="{95AF8E62-A0F5-4662-8560-172DE897B80A}"/>
    <cellStyle name="Normal 4 4 2 2 2 5 4" xfId="11103" xr:uid="{38A7D601-333F-4A04-A34E-ACDA8E406051}"/>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78" xr:uid="{58941228-409B-43EA-9269-649CCDD0DF50}"/>
    <cellStyle name="Normal 4 4 2 2 2 6 2 3" xfId="13661" xr:uid="{E04CFB46-95E6-4AC9-82A0-CECA5748B3F1}"/>
    <cellStyle name="Normal 4 4 2 2 2 6 3" xfId="6407" xr:uid="{00000000-0005-0000-0000-0000EB140000}"/>
    <cellStyle name="Normal 4 4 2 2 2 6 3 2" xfId="15733" xr:uid="{74B30B63-6189-41FA-9322-987D0F40AE4C}"/>
    <cellStyle name="Normal 4 4 2 2 2 6 4" xfId="11516" xr:uid="{3B43FA2A-F6D1-4708-8CB5-416E1FE5A0C5}"/>
    <cellStyle name="Normal 4 4 2 2 2 7" xfId="2537" xr:uid="{00000000-0005-0000-0000-0000EC140000}"/>
    <cellStyle name="Normal 4 4 2 2 2 7 2" xfId="6820" xr:uid="{00000000-0005-0000-0000-0000ED140000}"/>
    <cellStyle name="Normal 4 4 2 2 2 7 2 2" xfId="16146" xr:uid="{10A82154-D235-4779-A102-E65F843A0F36}"/>
    <cellStyle name="Normal 4 4 2 2 2 7 3" xfId="11929" xr:uid="{A36D4C8F-F063-47A7-82CA-C380EE037F3B}"/>
    <cellStyle name="Normal 4 4 2 2 2 8" xfId="4755" xr:uid="{00000000-0005-0000-0000-0000EE140000}"/>
    <cellStyle name="Normal 4 4 2 2 2 8 2" xfId="14081" xr:uid="{448F490F-52FF-4279-85D5-4F2D30418DE7}"/>
    <cellStyle name="Normal 4 4 2 2 2 9" xfId="8927" xr:uid="{195B9197-F273-4D3B-B7A6-9CBAA360D528}"/>
    <cellStyle name="Normal 4 4 2 2 2 9 2" xfId="18251" xr:uid="{973CCD11-BE6E-43B4-A8CC-D6F24BEE3E7C}"/>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641" xr:uid="{EE4F33B4-6A1D-492A-B5A5-E7F2191BE346}"/>
    <cellStyle name="Normal 4 4 2 2 3 2 2 3" xfId="12424" xr:uid="{EEBDAF2E-AE83-4E77-AA94-F0DAB6DFE642}"/>
    <cellStyle name="Normal 4 4 2 2 3 2 3" xfId="5170" xr:uid="{00000000-0005-0000-0000-0000F3140000}"/>
    <cellStyle name="Normal 4 4 2 2 3 2 3 2" xfId="14496" xr:uid="{740922CE-D8AE-45DE-AB06-8B5001E77587}"/>
    <cellStyle name="Normal 4 4 2 2 3 2 4" xfId="9456" xr:uid="{7CB0B972-68D8-4A2C-A3A7-1D2BD109E44A}"/>
    <cellStyle name="Normal 4 4 2 2 3 2 4 2" xfId="18771" xr:uid="{AB2370B1-70F3-432E-A3FA-4CD26DCF4655}"/>
    <cellStyle name="Normal 4 4 2 2 3 2 5" xfId="10279" xr:uid="{DDAA9169-C9C7-4105-8EDD-5009133715B5}"/>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54" xr:uid="{F58FD83B-DE21-47BA-9B33-3B383E984356}"/>
    <cellStyle name="Normal 4 4 2 2 3 3 2 3" xfId="12837" xr:uid="{A674EB77-0B1C-4B2E-87F8-63197F4C4399}"/>
    <cellStyle name="Normal 4 4 2 2 3 3 3" xfId="5583" xr:uid="{00000000-0005-0000-0000-0000F7140000}"/>
    <cellStyle name="Normal 4 4 2 2 3 3 3 2" xfId="14909" xr:uid="{5C3201C7-D9A3-46D8-BBCE-FFB38FC8FBBB}"/>
    <cellStyle name="Normal 4 4 2 2 3 3 4" xfId="10692" xr:uid="{B432D06B-A839-429C-A457-7D7F23E06CC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67" xr:uid="{6DD37F51-38B5-4DD0-9568-54D321967537}"/>
    <cellStyle name="Normal 4 4 2 2 3 4 2 3" xfId="13250" xr:uid="{26E691FE-3A5B-45CC-AA98-D009BABA5470}"/>
    <cellStyle name="Normal 4 4 2 2 3 4 3" xfId="5996" xr:uid="{00000000-0005-0000-0000-0000FB140000}"/>
    <cellStyle name="Normal 4 4 2 2 3 4 3 2" xfId="15322" xr:uid="{6DC6C328-DC77-4269-B793-0D4CE741E794}"/>
    <cellStyle name="Normal 4 4 2 2 3 4 4" xfId="11105" xr:uid="{C3439E31-475D-403F-824E-1DCD0673E65B}"/>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80" xr:uid="{4E547ACF-0F8A-49E0-B0BC-61E6377C0D22}"/>
    <cellStyle name="Normal 4 4 2 2 3 5 2 3" xfId="13663" xr:uid="{4993A9C5-A7B6-4BF1-8E48-2093166D1D1C}"/>
    <cellStyle name="Normal 4 4 2 2 3 5 3" xfId="6409" xr:uid="{00000000-0005-0000-0000-0000FF140000}"/>
    <cellStyle name="Normal 4 4 2 2 3 5 3 2" xfId="15735" xr:uid="{7BA39257-3D64-4643-BA24-0871D816F8FC}"/>
    <cellStyle name="Normal 4 4 2 2 3 5 4" xfId="11518" xr:uid="{9B575BFA-640D-447B-B5C0-16157BAF1B0F}"/>
    <cellStyle name="Normal 4 4 2 2 3 6" xfId="2539" xr:uid="{00000000-0005-0000-0000-000000150000}"/>
    <cellStyle name="Normal 4 4 2 2 3 6 2" xfId="6822" xr:uid="{00000000-0005-0000-0000-000001150000}"/>
    <cellStyle name="Normal 4 4 2 2 3 6 2 2" xfId="16148" xr:uid="{15F8472E-07C0-43CF-A162-48ED14401626}"/>
    <cellStyle name="Normal 4 4 2 2 3 6 3" xfId="11931" xr:uid="{17A0E126-8E0A-44E3-8724-7D01EF1C97A0}"/>
    <cellStyle name="Normal 4 4 2 2 3 7" xfId="4757" xr:uid="{00000000-0005-0000-0000-000002150000}"/>
    <cellStyle name="Normal 4 4 2 2 3 7 2" xfId="14083" xr:uid="{0276CA93-6E70-42D5-8828-6AEC37898A49}"/>
    <cellStyle name="Normal 4 4 2 2 3 8" xfId="9031" xr:uid="{F1B59444-328A-4279-8A0A-A9F7E26061D5}"/>
    <cellStyle name="Normal 4 4 2 2 3 8 2" xfId="18355" xr:uid="{64D33DD6-2875-4A5C-8FA2-295D8573930A}"/>
    <cellStyle name="Normal 4 4 2 2 3 9" xfId="9866" xr:uid="{B69EE484-9CD3-43EB-AFD8-5A953FEA3DEF}"/>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638" xr:uid="{564DE278-8FF5-4E42-96FA-3F51C5EF24BC}"/>
    <cellStyle name="Normal 4 4 2 2 4 2 3" xfId="12421" xr:uid="{465DC904-CB0E-40BC-8649-86ABE73B2E6F}"/>
    <cellStyle name="Normal 4 4 2 2 4 3" xfId="5167" xr:uid="{00000000-0005-0000-0000-000006150000}"/>
    <cellStyle name="Normal 4 4 2 2 4 3 2" xfId="14493" xr:uid="{05116CEA-5D32-4785-ADE5-158AAF6DB5B5}"/>
    <cellStyle name="Normal 4 4 2 2 4 4" xfId="9249" xr:uid="{7E4CA7C7-738D-4CFA-907A-40590344548A}"/>
    <cellStyle name="Normal 4 4 2 2 4 4 2" xfId="18564" xr:uid="{F1C00709-2E56-4827-B41E-79B20573D2EE}"/>
    <cellStyle name="Normal 4 4 2 2 4 5" xfId="10276" xr:uid="{0FC381C4-D58F-4A85-94D3-D5567A960167}"/>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51" xr:uid="{EFD7DEE1-6B05-43B4-8B92-7CC551FC1ED3}"/>
    <cellStyle name="Normal 4 4 2 2 5 2 3" xfId="12834" xr:uid="{A54033FD-09D2-47B8-9A1B-10922FA4771B}"/>
    <cellStyle name="Normal 4 4 2 2 5 3" xfId="5580" xr:uid="{00000000-0005-0000-0000-00000A150000}"/>
    <cellStyle name="Normal 4 4 2 2 5 3 2" xfId="14906" xr:uid="{85E60C92-96B7-4EDA-81EE-DCC02B68BECF}"/>
    <cellStyle name="Normal 4 4 2 2 5 4" xfId="10689" xr:uid="{C7C7E809-920E-486A-955F-2D1852A6F9C5}"/>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64" xr:uid="{25B484C5-8982-4732-A223-B2597F39FE52}"/>
    <cellStyle name="Normal 4 4 2 2 6 2 3" xfId="13247" xr:uid="{EF9263AC-2484-4452-8809-915A57C245FA}"/>
    <cellStyle name="Normal 4 4 2 2 6 3" xfId="5993" xr:uid="{00000000-0005-0000-0000-00000E150000}"/>
    <cellStyle name="Normal 4 4 2 2 6 3 2" xfId="15319" xr:uid="{5A2D0276-1CAF-43AA-9646-F51EA3E15104}"/>
    <cellStyle name="Normal 4 4 2 2 6 4" xfId="11102" xr:uid="{0D5723C4-0D26-4368-8EA2-FC3EEB87CDBC}"/>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77" xr:uid="{A33E9BC9-B9DD-4BBB-A3B9-C2D8269CA964}"/>
    <cellStyle name="Normal 4 4 2 2 7 2 3" xfId="13660" xr:uid="{9565B17C-B697-47B5-97F1-99CDA96CFAED}"/>
    <cellStyle name="Normal 4 4 2 2 7 3" xfId="6406" xr:uid="{00000000-0005-0000-0000-000012150000}"/>
    <cellStyle name="Normal 4 4 2 2 7 3 2" xfId="15732" xr:uid="{AF829188-C215-43FB-9876-52425F1E77C5}"/>
    <cellStyle name="Normal 4 4 2 2 7 4" xfId="11515" xr:uid="{6EA1E9CF-89B1-4CB1-A982-37190D347E9B}"/>
    <cellStyle name="Normal 4 4 2 2 8" xfId="2536" xr:uid="{00000000-0005-0000-0000-000013150000}"/>
    <cellStyle name="Normal 4 4 2 2 8 2" xfId="6819" xr:uid="{00000000-0005-0000-0000-000014150000}"/>
    <cellStyle name="Normal 4 4 2 2 8 2 2" xfId="16145" xr:uid="{0CA11217-5B4D-4BB6-AB3A-EA6CC93CA419}"/>
    <cellStyle name="Normal 4 4 2 2 8 3" xfId="11928" xr:uid="{CFF2E43E-3D51-4304-9031-C8032C3A6A7F}"/>
    <cellStyle name="Normal 4 4 2 2 9" xfId="4754" xr:uid="{00000000-0005-0000-0000-000015150000}"/>
    <cellStyle name="Normal 4 4 2 2 9 2" xfId="14080" xr:uid="{7097BEE1-D9EC-466E-8E95-D372C5D8BFB8}"/>
    <cellStyle name="Normal 4 4 2 3" xfId="384" xr:uid="{00000000-0005-0000-0000-000016150000}"/>
    <cellStyle name="Normal 4 4 2 3 10" xfId="9867" xr:uid="{BFB1EFDC-E5C3-410F-A8E0-1A97F72B9C0E}"/>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643" xr:uid="{FFFF5674-9588-4231-B510-F49E07CDAC2D}"/>
    <cellStyle name="Normal 4 4 2 3 2 2 2 3" xfId="12426" xr:uid="{7384870D-DF6E-4F72-96BF-7A007D42F559}"/>
    <cellStyle name="Normal 4 4 2 3 2 2 3" xfId="5172" xr:uid="{00000000-0005-0000-0000-00001B150000}"/>
    <cellStyle name="Normal 4 4 2 3 2 2 3 2" xfId="14498" xr:uid="{9E174264-93AD-4F7A-80C8-BE6781AF1A05}"/>
    <cellStyle name="Normal 4 4 2 3 2 2 4" xfId="9516" xr:uid="{93008D3B-5827-4778-B167-5B518B5BF56F}"/>
    <cellStyle name="Normal 4 4 2 3 2 2 4 2" xfId="18831" xr:uid="{58A3C565-5EB1-401C-AEA8-9C4DBBB06913}"/>
    <cellStyle name="Normal 4 4 2 3 2 2 5" xfId="10281" xr:uid="{86A31468-C11E-413E-A200-CA26FC7016A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56" xr:uid="{BA21871E-04DA-4BA5-A42D-CD5F6812DA26}"/>
    <cellStyle name="Normal 4 4 2 3 2 3 2 3" xfId="12839" xr:uid="{584F6E0F-82BA-48A4-9F80-BEB64ABC468D}"/>
    <cellStyle name="Normal 4 4 2 3 2 3 3" xfId="5585" xr:uid="{00000000-0005-0000-0000-00001F150000}"/>
    <cellStyle name="Normal 4 4 2 3 2 3 3 2" xfId="14911" xr:uid="{C7B90732-45DF-4F46-A76B-92E6C8CCCF05}"/>
    <cellStyle name="Normal 4 4 2 3 2 3 4" xfId="10694" xr:uid="{D4A95618-682E-4689-AA8E-F61508C8F656}"/>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69" xr:uid="{C2B05EF2-51F5-4646-AB18-A11889EBDD26}"/>
    <cellStyle name="Normal 4 4 2 3 2 4 2 3" xfId="13252" xr:uid="{A74BA631-63AC-4836-9FDB-EF02533635D1}"/>
    <cellStyle name="Normal 4 4 2 3 2 4 3" xfId="5998" xr:uid="{00000000-0005-0000-0000-000023150000}"/>
    <cellStyle name="Normal 4 4 2 3 2 4 3 2" xfId="15324" xr:uid="{B81CBAB3-1FF0-4DB3-A360-7BEBD609E6AF}"/>
    <cellStyle name="Normal 4 4 2 3 2 4 4" xfId="11107" xr:uid="{245952E3-03E0-49DB-A386-1B4F39F94C2D}"/>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82" xr:uid="{0BCA1801-6A1F-4F8B-8260-D4BA67E89B89}"/>
    <cellStyle name="Normal 4 4 2 3 2 5 2 3" xfId="13665" xr:uid="{6EEDD69C-8D73-4016-9B73-C6666D24D094}"/>
    <cellStyle name="Normal 4 4 2 3 2 5 3" xfId="6411" xr:uid="{00000000-0005-0000-0000-000027150000}"/>
    <cellStyle name="Normal 4 4 2 3 2 5 3 2" xfId="15737" xr:uid="{B35A4190-19C2-4A35-8A27-212D11127528}"/>
    <cellStyle name="Normal 4 4 2 3 2 5 4" xfId="11520" xr:uid="{21D47174-34F4-4AD4-AB86-5FBC4169FB1A}"/>
    <cellStyle name="Normal 4 4 2 3 2 6" xfId="2541" xr:uid="{00000000-0005-0000-0000-000028150000}"/>
    <cellStyle name="Normal 4 4 2 3 2 6 2" xfId="6824" xr:uid="{00000000-0005-0000-0000-000029150000}"/>
    <cellStyle name="Normal 4 4 2 3 2 6 2 2" xfId="16150" xr:uid="{D66B53FA-4E33-46F0-8432-2A8396281043}"/>
    <cellStyle name="Normal 4 4 2 3 2 6 3" xfId="11933" xr:uid="{B2238C7E-2D48-4C6D-AD6B-095623D1230E}"/>
    <cellStyle name="Normal 4 4 2 3 2 7" xfId="4759" xr:uid="{00000000-0005-0000-0000-00002A150000}"/>
    <cellStyle name="Normal 4 4 2 3 2 7 2" xfId="14085" xr:uid="{49A292F2-B127-4CBB-931F-8657194BE051}"/>
    <cellStyle name="Normal 4 4 2 3 2 8" xfId="9091" xr:uid="{9DBAED0A-05EE-4674-B1B7-8D03DBB53301}"/>
    <cellStyle name="Normal 4 4 2 3 2 8 2" xfId="18415" xr:uid="{8B80A663-CCA6-4D22-9FAD-7DF646BE475D}"/>
    <cellStyle name="Normal 4 4 2 3 2 9" xfId="9868" xr:uid="{970150FD-3B65-47B0-A4C7-95E869E8BEB3}"/>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642" xr:uid="{EDA44668-7F95-4503-ADC4-C9B929700F0D}"/>
    <cellStyle name="Normal 4 4 2 3 3 2 3" xfId="12425" xr:uid="{84E644D3-55D5-4B40-AB1E-EB5B73B8F17C}"/>
    <cellStyle name="Normal 4 4 2 3 3 3" xfId="5171" xr:uid="{00000000-0005-0000-0000-00002E150000}"/>
    <cellStyle name="Normal 4 4 2 3 3 3 2" xfId="14497" xr:uid="{786C057B-3E88-42A6-9C1A-523AEF0B71C7}"/>
    <cellStyle name="Normal 4 4 2 3 3 4" xfId="9309" xr:uid="{73E912F6-92AF-449E-AE53-1DEDEF686C0F}"/>
    <cellStyle name="Normal 4 4 2 3 3 4 2" xfId="18624" xr:uid="{EDBEAEB6-9EDE-41BE-9867-A4E1E308A029}"/>
    <cellStyle name="Normal 4 4 2 3 3 5" xfId="10280" xr:uid="{FC752653-815C-4389-A097-EFD26B745624}"/>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55" xr:uid="{C319A3DD-1862-491A-946E-6660E30A3E8E}"/>
    <cellStyle name="Normal 4 4 2 3 4 2 3" xfId="12838" xr:uid="{E9E88538-4EAD-473D-9A68-017E8AA37A14}"/>
    <cellStyle name="Normal 4 4 2 3 4 3" xfId="5584" xr:uid="{00000000-0005-0000-0000-000032150000}"/>
    <cellStyle name="Normal 4 4 2 3 4 3 2" xfId="14910" xr:uid="{F40C0762-6D8F-437D-911C-A8908E6A3C2E}"/>
    <cellStyle name="Normal 4 4 2 3 4 4" xfId="10693" xr:uid="{C3EE74D4-1D3E-4862-A811-B2CA77968CA1}"/>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68" xr:uid="{2D8B4D7C-262C-4743-B08D-1AE03FD3CE2E}"/>
    <cellStyle name="Normal 4 4 2 3 5 2 3" xfId="13251" xr:uid="{8F5BAA3A-F6FC-4AD7-B230-33F1E05D13FA}"/>
    <cellStyle name="Normal 4 4 2 3 5 3" xfId="5997" xr:uid="{00000000-0005-0000-0000-000036150000}"/>
    <cellStyle name="Normal 4 4 2 3 5 3 2" xfId="15323" xr:uid="{1C130224-4238-4AA9-9298-D88C77BA9030}"/>
    <cellStyle name="Normal 4 4 2 3 5 4" xfId="11106" xr:uid="{DD288033-10B1-4CE5-B89C-775815D0C806}"/>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81" xr:uid="{8D85D42C-7486-44DE-B72C-8314835C2980}"/>
    <cellStyle name="Normal 4 4 2 3 6 2 3" xfId="13664" xr:uid="{9E9CD364-83EB-48BF-97B3-608205B91DAF}"/>
    <cellStyle name="Normal 4 4 2 3 6 3" xfId="6410" xr:uid="{00000000-0005-0000-0000-00003A150000}"/>
    <cellStyle name="Normal 4 4 2 3 6 3 2" xfId="15736" xr:uid="{E23675E8-A12A-4BBC-A3AF-846740E2178D}"/>
    <cellStyle name="Normal 4 4 2 3 6 4" xfId="11519" xr:uid="{36BBF34A-7AA5-49EC-AC29-8FCBA55AD36D}"/>
    <cellStyle name="Normal 4 4 2 3 7" xfId="2540" xr:uid="{00000000-0005-0000-0000-00003B150000}"/>
    <cellStyle name="Normal 4 4 2 3 7 2" xfId="6823" xr:uid="{00000000-0005-0000-0000-00003C150000}"/>
    <cellStyle name="Normal 4 4 2 3 7 2 2" xfId="16149" xr:uid="{FC3DDE58-F4D1-4C8D-B221-BC7296998451}"/>
    <cellStyle name="Normal 4 4 2 3 7 3" xfId="11932" xr:uid="{58235C44-7CA0-4B27-856B-B6A53B4F18C2}"/>
    <cellStyle name="Normal 4 4 2 3 8" xfId="4758" xr:uid="{00000000-0005-0000-0000-00003D150000}"/>
    <cellStyle name="Normal 4 4 2 3 8 2" xfId="14084" xr:uid="{0337D046-B717-495E-A2D7-7230D7EE53BD}"/>
    <cellStyle name="Normal 4 4 2 3 9" xfId="8884" xr:uid="{CBA8CCC0-D2E2-46C8-AC83-39734599F615}"/>
    <cellStyle name="Normal 4 4 2 3 9 2" xfId="18208" xr:uid="{70E4CE50-6B99-486C-B3D8-090346E68B63}"/>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44" xr:uid="{EE0D6B48-44F6-4BD4-8727-4467A3682506}"/>
    <cellStyle name="Normal 4 4 2 4 2 2 3" xfId="12427" xr:uid="{A658754F-5C11-4E13-BFE1-FBD20D75F0F8}"/>
    <cellStyle name="Normal 4 4 2 4 2 3" xfId="5173" xr:uid="{00000000-0005-0000-0000-000042150000}"/>
    <cellStyle name="Normal 4 4 2 4 2 3 2" xfId="14499" xr:uid="{B7C267D8-6520-4B3D-8306-4487295F0046}"/>
    <cellStyle name="Normal 4 4 2 4 2 4" xfId="9413" xr:uid="{4DC092EA-7C69-4E02-9FE8-33F62D070F54}"/>
    <cellStyle name="Normal 4 4 2 4 2 4 2" xfId="18728" xr:uid="{DC3E8481-FE23-4E65-8B31-DE91EF28F367}"/>
    <cellStyle name="Normal 4 4 2 4 2 5" xfId="10282" xr:uid="{E7AE60F9-793F-4027-891A-812846F7C6D8}"/>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57" xr:uid="{D415FFE1-C3A5-462C-9A31-9CAB1EEEE49E}"/>
    <cellStyle name="Normal 4 4 2 4 3 2 3" xfId="12840" xr:uid="{5FE833DB-702D-4655-B098-E38BB279CE82}"/>
    <cellStyle name="Normal 4 4 2 4 3 3" xfId="5586" xr:uid="{00000000-0005-0000-0000-000046150000}"/>
    <cellStyle name="Normal 4 4 2 4 3 3 2" xfId="14912" xr:uid="{DD59FD71-2067-4B51-BE87-48B6E8AB6173}"/>
    <cellStyle name="Normal 4 4 2 4 3 4" xfId="10695" xr:uid="{BDA6E486-8A91-4764-8997-36B4DE6E2F36}"/>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70" xr:uid="{9703344E-7CCD-49F7-AF36-B3BE780C9F18}"/>
    <cellStyle name="Normal 4 4 2 4 4 2 3" xfId="13253" xr:uid="{9D4E7464-1D97-42DB-A644-94ED11DAE28B}"/>
    <cellStyle name="Normal 4 4 2 4 4 3" xfId="5999" xr:uid="{00000000-0005-0000-0000-00004A150000}"/>
    <cellStyle name="Normal 4 4 2 4 4 3 2" xfId="15325" xr:uid="{81363890-8C39-4AD1-9BC6-553450493B7E}"/>
    <cellStyle name="Normal 4 4 2 4 4 4" xfId="11108" xr:uid="{43A3D621-693D-48BE-B945-EE0E0B43D62B}"/>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83" xr:uid="{B8F82000-345A-4338-8255-E916778D1226}"/>
    <cellStyle name="Normal 4 4 2 4 5 2 3" xfId="13666" xr:uid="{5C18FE1C-06B1-4225-BC12-084D713D2220}"/>
    <cellStyle name="Normal 4 4 2 4 5 3" xfId="6412" xr:uid="{00000000-0005-0000-0000-00004E150000}"/>
    <cellStyle name="Normal 4 4 2 4 5 3 2" xfId="15738" xr:uid="{738D448E-1D42-49DE-AD37-0E80A2C15454}"/>
    <cellStyle name="Normal 4 4 2 4 5 4" xfId="11521" xr:uid="{A8FF727E-B601-48B5-80BD-9716EFD267E6}"/>
    <cellStyle name="Normal 4 4 2 4 6" xfId="2542" xr:uid="{00000000-0005-0000-0000-00004F150000}"/>
    <cellStyle name="Normal 4 4 2 4 6 2" xfId="6825" xr:uid="{00000000-0005-0000-0000-000050150000}"/>
    <cellStyle name="Normal 4 4 2 4 6 2 2" xfId="16151" xr:uid="{F57F8EAE-3794-474B-A06F-3A68B00CFE65}"/>
    <cellStyle name="Normal 4 4 2 4 6 3" xfId="11934" xr:uid="{6F66A086-D77A-47C1-A461-6299D8B1AA78}"/>
    <cellStyle name="Normal 4 4 2 4 7" xfId="4760" xr:uid="{00000000-0005-0000-0000-000051150000}"/>
    <cellStyle name="Normal 4 4 2 4 7 2" xfId="14086" xr:uid="{9610DA5F-99F5-4A79-9636-1102802DC53B}"/>
    <cellStyle name="Normal 4 4 2 4 8" xfId="8988" xr:uid="{F852E7B0-7ACD-4401-B3B6-BE989A5C8AD5}"/>
    <cellStyle name="Normal 4 4 2 4 8 2" xfId="18312" xr:uid="{BBA29EC5-D8A1-4229-A635-2C027D62B9CB}"/>
    <cellStyle name="Normal 4 4 2 4 9" xfId="9869" xr:uid="{CCE9E9A5-4C7F-4552-B7B0-08DE34F3E119}"/>
    <cellStyle name="Normal 4 4 2 5" xfId="854" xr:uid="{00000000-0005-0000-0000-000052150000}"/>
    <cellStyle name="Normal 4 4 2 5 2" xfId="3089" xr:uid="{00000000-0005-0000-0000-000053150000}"/>
    <cellStyle name="Normal 4 4 2 5 2 2" xfId="7311" xr:uid="{00000000-0005-0000-0000-000054150000}"/>
    <cellStyle name="Normal 4 4 2 5 2 2 2" xfId="16637" xr:uid="{5179432F-568A-4A80-A120-E98D38A7317A}"/>
    <cellStyle name="Normal 4 4 2 5 2 3" xfId="12420" xr:uid="{370862F9-F8B4-4C59-9E43-F3FFBD3ABC1A}"/>
    <cellStyle name="Normal 4 4 2 5 3" xfId="5166" xr:uid="{00000000-0005-0000-0000-000055150000}"/>
    <cellStyle name="Normal 4 4 2 5 3 2" xfId="14492" xr:uid="{657D1500-8B63-43A6-B259-F0C2C1A6ACE7}"/>
    <cellStyle name="Normal 4 4 2 5 4" xfId="9205" xr:uid="{A63DE01D-3EC8-40FC-A47E-E0EA001EED52}"/>
    <cellStyle name="Normal 4 4 2 5 4 2" xfId="18521" xr:uid="{33994027-7F1A-4176-AFED-7B9D52817F15}"/>
    <cellStyle name="Normal 4 4 2 5 5" xfId="10275" xr:uid="{55BD234B-BD77-45E3-A365-2647362471EE}"/>
    <cellStyle name="Normal 4 4 2 6" xfId="1272" xr:uid="{00000000-0005-0000-0000-000056150000}"/>
    <cellStyle name="Normal 4 4 2 6 2" xfId="3502" xr:uid="{00000000-0005-0000-0000-000057150000}"/>
    <cellStyle name="Normal 4 4 2 6 2 2" xfId="7724" xr:uid="{00000000-0005-0000-0000-000058150000}"/>
    <cellStyle name="Normal 4 4 2 6 2 2 2" xfId="17050" xr:uid="{AF0C727C-8866-4559-B0EF-D4C60B01DFC5}"/>
    <cellStyle name="Normal 4 4 2 6 2 3" xfId="12833" xr:uid="{FEC7692D-6526-42BF-BAEE-4CDACFEC487F}"/>
    <cellStyle name="Normal 4 4 2 6 3" xfId="5579" xr:uid="{00000000-0005-0000-0000-000059150000}"/>
    <cellStyle name="Normal 4 4 2 6 3 2" xfId="14905" xr:uid="{BFAC7D2E-B4D8-4A3B-9C6C-3C7EC7B43E16}"/>
    <cellStyle name="Normal 4 4 2 6 4" xfId="10688" xr:uid="{8A6F5B76-1C35-416A-ACBF-B6B05717F5F3}"/>
    <cellStyle name="Normal 4 4 2 7" xfId="1685" xr:uid="{00000000-0005-0000-0000-00005A150000}"/>
    <cellStyle name="Normal 4 4 2 7 2" xfId="3915" xr:uid="{00000000-0005-0000-0000-00005B150000}"/>
    <cellStyle name="Normal 4 4 2 7 2 2" xfId="8137" xr:uid="{00000000-0005-0000-0000-00005C150000}"/>
    <cellStyle name="Normal 4 4 2 7 2 2 2" xfId="17463" xr:uid="{AA90505E-297D-400B-8FB5-C1D832D8DD23}"/>
    <cellStyle name="Normal 4 4 2 7 2 3" xfId="13246" xr:uid="{154923E8-AE07-4CF7-82A9-B878A1539E3C}"/>
    <cellStyle name="Normal 4 4 2 7 3" xfId="5992" xr:uid="{00000000-0005-0000-0000-00005D150000}"/>
    <cellStyle name="Normal 4 4 2 7 3 2" xfId="15318" xr:uid="{2ABFCD93-D1A8-4F9A-B4E0-DDD06666F51C}"/>
    <cellStyle name="Normal 4 4 2 7 4" xfId="11101" xr:uid="{E703945D-0322-4757-A188-22A140C167F7}"/>
    <cellStyle name="Normal 4 4 2 8" xfId="2099" xr:uid="{00000000-0005-0000-0000-00005E150000}"/>
    <cellStyle name="Normal 4 4 2 8 2" xfId="4328" xr:uid="{00000000-0005-0000-0000-00005F150000}"/>
    <cellStyle name="Normal 4 4 2 8 2 2" xfId="8550" xr:uid="{00000000-0005-0000-0000-000060150000}"/>
    <cellStyle name="Normal 4 4 2 8 2 2 2" xfId="17876" xr:uid="{58948553-256F-4C44-AD33-81ECDCAE0127}"/>
    <cellStyle name="Normal 4 4 2 8 2 3" xfId="13659" xr:uid="{810AE2E7-094E-468E-935E-59C72DEEB66C}"/>
    <cellStyle name="Normal 4 4 2 8 3" xfId="6405" xr:uid="{00000000-0005-0000-0000-000061150000}"/>
    <cellStyle name="Normal 4 4 2 8 3 2" xfId="15731" xr:uid="{97A46815-4F4A-4974-B5D2-980E9BE5CBF6}"/>
    <cellStyle name="Normal 4 4 2 8 4" xfId="11514" xr:uid="{38D45FC2-1978-44B7-8799-54929C7CF697}"/>
    <cellStyle name="Normal 4 4 2 9" xfId="2535" xr:uid="{00000000-0005-0000-0000-000062150000}"/>
    <cellStyle name="Normal 4 4 2 9 2" xfId="6818" xr:uid="{00000000-0005-0000-0000-000063150000}"/>
    <cellStyle name="Normal 4 4 2 9 2 2" xfId="16144" xr:uid="{3B3F2598-11E4-402D-A578-BCB0E933FBF7}"/>
    <cellStyle name="Normal 4 4 2 9 3" xfId="11927" xr:uid="{B68B07D4-AE43-46E4-88F1-680DC4388880}"/>
    <cellStyle name="Normal 4 4 3" xfId="387" xr:uid="{00000000-0005-0000-0000-000064150000}"/>
    <cellStyle name="Normal 4 4 3 10" xfId="8823" xr:uid="{E623F102-F69B-4FD0-BEDA-A1480AF4D892}"/>
    <cellStyle name="Normal 4 4 3 10 2" xfId="18147" xr:uid="{495DD9A2-0FFC-4F6B-93A7-194DEA6C451D}"/>
    <cellStyle name="Normal 4 4 3 11" xfId="9870" xr:uid="{E1FB0EB0-2436-4128-81AA-12073D5CFA04}"/>
    <cellStyle name="Normal 4 4 3 2" xfId="388" xr:uid="{00000000-0005-0000-0000-000065150000}"/>
    <cellStyle name="Normal 4 4 3 2 10" xfId="9871" xr:uid="{3A487E0C-A90B-47F0-84E5-E9ECCD3B11C3}"/>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47" xr:uid="{C3B0ADE8-F4C0-4F31-9787-8E8646F13927}"/>
    <cellStyle name="Normal 4 4 3 2 2 2 2 3" xfId="12430" xr:uid="{E1E6F532-B6B7-4A49-A9B5-0C19E8DA2408}"/>
    <cellStyle name="Normal 4 4 3 2 2 2 3" xfId="5176" xr:uid="{00000000-0005-0000-0000-00006A150000}"/>
    <cellStyle name="Normal 4 4 3 2 2 2 3 2" xfId="14502" xr:uid="{2FA66648-F184-4499-A9EF-F27AFDF5B346}"/>
    <cellStyle name="Normal 4 4 3 2 2 2 4" xfId="9558" xr:uid="{8C9519E6-5920-473D-9749-EC61E4877632}"/>
    <cellStyle name="Normal 4 4 3 2 2 2 4 2" xfId="18873" xr:uid="{CDE7879F-A55F-4844-8716-F0493B46ECA8}"/>
    <cellStyle name="Normal 4 4 3 2 2 2 5" xfId="10285" xr:uid="{A011702D-C49B-414E-9340-14C2BEE7DA77}"/>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60" xr:uid="{54D27C8A-8F7C-4687-9E0E-CE5386F86836}"/>
    <cellStyle name="Normal 4 4 3 2 2 3 2 3" xfId="12843" xr:uid="{E5D64685-7004-4B7B-BA8F-982F6D22A2D4}"/>
    <cellStyle name="Normal 4 4 3 2 2 3 3" xfId="5589" xr:uid="{00000000-0005-0000-0000-00006E150000}"/>
    <cellStyle name="Normal 4 4 3 2 2 3 3 2" xfId="14915" xr:uid="{9A60D70D-671C-4574-B5D1-A9E17A95B2F3}"/>
    <cellStyle name="Normal 4 4 3 2 2 3 4" xfId="10698" xr:uid="{0380AAC6-70F4-4D62-A057-D79430BC5BEE}"/>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73" xr:uid="{D5A16484-3575-4269-BB6D-0D08F0904444}"/>
    <cellStyle name="Normal 4 4 3 2 2 4 2 3" xfId="13256" xr:uid="{A1F4C5A1-5377-41A5-B5DA-475D82A9A54C}"/>
    <cellStyle name="Normal 4 4 3 2 2 4 3" xfId="6002" xr:uid="{00000000-0005-0000-0000-000072150000}"/>
    <cellStyle name="Normal 4 4 3 2 2 4 3 2" xfId="15328" xr:uid="{9743EF72-E6E8-44EE-B23C-DEBCCFE641C0}"/>
    <cellStyle name="Normal 4 4 3 2 2 4 4" xfId="11111" xr:uid="{8BA5EE8E-0D6C-4897-8F3C-DEB481AA464F}"/>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86" xr:uid="{D3F0A661-FFB4-4DF9-BAD5-62A944AEB472}"/>
    <cellStyle name="Normal 4 4 3 2 2 5 2 3" xfId="13669" xr:uid="{7D93299F-6040-4BD4-B477-585FBC60B046}"/>
    <cellStyle name="Normal 4 4 3 2 2 5 3" xfId="6415" xr:uid="{00000000-0005-0000-0000-000076150000}"/>
    <cellStyle name="Normal 4 4 3 2 2 5 3 2" xfId="15741" xr:uid="{59265356-848B-45E8-998E-BCE00A5EC597}"/>
    <cellStyle name="Normal 4 4 3 2 2 5 4" xfId="11524" xr:uid="{D617B27B-B855-46EC-BD9B-DF887CC1BAB6}"/>
    <cellStyle name="Normal 4 4 3 2 2 6" xfId="2545" xr:uid="{00000000-0005-0000-0000-000077150000}"/>
    <cellStyle name="Normal 4 4 3 2 2 6 2" xfId="6828" xr:uid="{00000000-0005-0000-0000-000078150000}"/>
    <cellStyle name="Normal 4 4 3 2 2 6 2 2" xfId="16154" xr:uid="{0EC240C1-FF17-4631-A282-629DB0E478DC}"/>
    <cellStyle name="Normal 4 4 3 2 2 6 3" xfId="11937" xr:uid="{184EECF8-2730-4BED-9789-EAFDB5E84D70}"/>
    <cellStyle name="Normal 4 4 3 2 2 7" xfId="4763" xr:uid="{00000000-0005-0000-0000-000079150000}"/>
    <cellStyle name="Normal 4 4 3 2 2 7 2" xfId="14089" xr:uid="{8ECFEAB2-2241-4D07-B241-9CA13691619D}"/>
    <cellStyle name="Normal 4 4 3 2 2 8" xfId="9133" xr:uid="{37002A66-D58A-4EF9-8D22-8F1A3EE99E08}"/>
    <cellStyle name="Normal 4 4 3 2 2 8 2" xfId="18457" xr:uid="{D97F8661-6E9F-4649-BB88-B7002606F1E5}"/>
    <cellStyle name="Normal 4 4 3 2 2 9" xfId="9872" xr:uid="{130DB1A8-8392-4488-9F0A-E8E808DF2DB3}"/>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46" xr:uid="{75B98996-D3EF-492F-8195-7F1E656E8D5B}"/>
    <cellStyle name="Normal 4 4 3 2 3 2 3" xfId="12429" xr:uid="{B2B64734-1D06-47EE-A050-921DBC206B8A}"/>
    <cellStyle name="Normal 4 4 3 2 3 3" xfId="5175" xr:uid="{00000000-0005-0000-0000-00007D150000}"/>
    <cellStyle name="Normal 4 4 3 2 3 3 2" xfId="14501" xr:uid="{BE7CD342-F54A-4278-A00A-EF022EF6E471}"/>
    <cellStyle name="Normal 4 4 3 2 3 4" xfId="9351" xr:uid="{51AD2B95-755A-411D-AA40-98381F5D8294}"/>
    <cellStyle name="Normal 4 4 3 2 3 4 2" xfId="18666" xr:uid="{C9421F60-57F0-4D2F-BC21-CC7FD794609B}"/>
    <cellStyle name="Normal 4 4 3 2 3 5" xfId="10284" xr:uid="{A888DBE0-3972-442B-B937-8AC372997582}"/>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59" xr:uid="{C85F139E-A475-4962-9565-C1E09477AC09}"/>
    <cellStyle name="Normal 4 4 3 2 4 2 3" xfId="12842" xr:uid="{314298A9-89D2-4C6D-A585-5C49EA697E2F}"/>
    <cellStyle name="Normal 4 4 3 2 4 3" xfId="5588" xr:uid="{00000000-0005-0000-0000-000081150000}"/>
    <cellStyle name="Normal 4 4 3 2 4 3 2" xfId="14914" xr:uid="{5A6CBAFC-4B8C-4A42-A050-F3559F099943}"/>
    <cellStyle name="Normal 4 4 3 2 4 4" xfId="10697" xr:uid="{CC2CD07E-74D1-4538-B574-B81BF9A4CD6A}"/>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72" xr:uid="{50201CE7-6032-40D8-9A18-04EEE6830618}"/>
    <cellStyle name="Normal 4 4 3 2 5 2 3" xfId="13255" xr:uid="{33BDD12A-12FE-4FC6-9A58-16E3E8A03457}"/>
    <cellStyle name="Normal 4 4 3 2 5 3" xfId="6001" xr:uid="{00000000-0005-0000-0000-000085150000}"/>
    <cellStyle name="Normal 4 4 3 2 5 3 2" xfId="15327" xr:uid="{2BD7D90E-8F83-4024-8A2A-4CEB513F88DF}"/>
    <cellStyle name="Normal 4 4 3 2 5 4" xfId="11110" xr:uid="{27D4D203-C97A-4AE5-A764-3F8B9BF8C02F}"/>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85" xr:uid="{40FF2306-9D9D-4974-80D4-D0C7B4E8DF05}"/>
    <cellStyle name="Normal 4 4 3 2 6 2 3" xfId="13668" xr:uid="{7857C30D-34B1-4E8A-BE85-646EFB70E389}"/>
    <cellStyle name="Normal 4 4 3 2 6 3" xfId="6414" xr:uid="{00000000-0005-0000-0000-000089150000}"/>
    <cellStyle name="Normal 4 4 3 2 6 3 2" xfId="15740" xr:uid="{B6F85FD1-1090-4A60-8D06-813ACAD69786}"/>
    <cellStyle name="Normal 4 4 3 2 6 4" xfId="11523" xr:uid="{DF8366AF-FA08-4021-B12B-D8D7C1BA9651}"/>
    <cellStyle name="Normal 4 4 3 2 7" xfId="2544" xr:uid="{00000000-0005-0000-0000-00008A150000}"/>
    <cellStyle name="Normal 4 4 3 2 7 2" xfId="6827" xr:uid="{00000000-0005-0000-0000-00008B150000}"/>
    <cellStyle name="Normal 4 4 3 2 7 2 2" xfId="16153" xr:uid="{CE18BFEC-7CF5-4E81-8ACE-6B77293F961C}"/>
    <cellStyle name="Normal 4 4 3 2 7 3" xfId="11936" xr:uid="{3F87CDA5-E502-4288-B823-E162109C8E79}"/>
    <cellStyle name="Normal 4 4 3 2 8" xfId="4762" xr:uid="{00000000-0005-0000-0000-00008C150000}"/>
    <cellStyle name="Normal 4 4 3 2 8 2" xfId="14088" xr:uid="{1232A072-67A0-485E-B4C9-9ABBDF7D37EC}"/>
    <cellStyle name="Normal 4 4 3 2 9" xfId="8926" xr:uid="{821D1F47-EF8D-4C64-BA70-5606A81A57B5}"/>
    <cellStyle name="Normal 4 4 3 2 9 2" xfId="18250" xr:uid="{EFC440FB-8F34-4021-B757-21E4DA85CDDF}"/>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48" xr:uid="{245AF9D0-5380-4315-AC49-449CDB0743D8}"/>
    <cellStyle name="Normal 4 4 3 3 2 2 3" xfId="12431" xr:uid="{3D2076FD-E809-44EB-B612-CB042EED4A63}"/>
    <cellStyle name="Normal 4 4 3 3 2 3" xfId="5177" xr:uid="{00000000-0005-0000-0000-000091150000}"/>
    <cellStyle name="Normal 4 4 3 3 2 3 2" xfId="14503" xr:uid="{4743D28B-B38C-4E7A-9810-AE38C50279BB}"/>
    <cellStyle name="Normal 4 4 3 3 2 4" xfId="9455" xr:uid="{E39EB3A2-D99A-426C-AFEC-E4C90C85BE02}"/>
    <cellStyle name="Normal 4 4 3 3 2 4 2" xfId="18770" xr:uid="{C20D16CB-38AD-4F3D-B965-0DA24F7F17F7}"/>
    <cellStyle name="Normal 4 4 3 3 2 5" xfId="10286" xr:uid="{25505BE5-8F46-4148-948A-1BA32C0FA4FE}"/>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61" xr:uid="{F130921C-86B8-43EB-8FE4-2CD7C844AC81}"/>
    <cellStyle name="Normal 4 4 3 3 3 2 3" xfId="12844" xr:uid="{3E552CFA-2643-4C24-A68B-A0B38CBCC327}"/>
    <cellStyle name="Normal 4 4 3 3 3 3" xfId="5590" xr:uid="{00000000-0005-0000-0000-000095150000}"/>
    <cellStyle name="Normal 4 4 3 3 3 3 2" xfId="14916" xr:uid="{EE2D4B1E-23C2-4633-95CB-F052144FFEF6}"/>
    <cellStyle name="Normal 4 4 3 3 3 4" xfId="10699" xr:uid="{A361E231-CF61-49F7-ACCF-7B276D6BBD17}"/>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74" xr:uid="{DF8A2921-94E0-443A-9CFC-B734C50BE552}"/>
    <cellStyle name="Normal 4 4 3 3 4 2 3" xfId="13257" xr:uid="{57C4558D-2E72-423A-95C0-1B2FAC10A670}"/>
    <cellStyle name="Normal 4 4 3 3 4 3" xfId="6003" xr:uid="{00000000-0005-0000-0000-000099150000}"/>
    <cellStyle name="Normal 4 4 3 3 4 3 2" xfId="15329" xr:uid="{816F4708-AB46-4253-AEB6-A43FE2D48AAB}"/>
    <cellStyle name="Normal 4 4 3 3 4 4" xfId="11112" xr:uid="{947392C0-64C1-4B18-9AC5-B331E9048060}"/>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87" xr:uid="{857110FC-1411-405D-B762-1385FB75CF8E}"/>
    <cellStyle name="Normal 4 4 3 3 5 2 3" xfId="13670" xr:uid="{1F754377-EB79-49E8-B7FD-74716E645AB5}"/>
    <cellStyle name="Normal 4 4 3 3 5 3" xfId="6416" xr:uid="{00000000-0005-0000-0000-00009D150000}"/>
    <cellStyle name="Normal 4 4 3 3 5 3 2" xfId="15742" xr:uid="{9FFE9FD0-5A8D-4419-AD52-29FFD3ABFBA6}"/>
    <cellStyle name="Normal 4 4 3 3 5 4" xfId="11525" xr:uid="{5368C663-4254-481C-9BDD-5AF574D4BBBA}"/>
    <cellStyle name="Normal 4 4 3 3 6" xfId="2546" xr:uid="{00000000-0005-0000-0000-00009E150000}"/>
    <cellStyle name="Normal 4 4 3 3 6 2" xfId="6829" xr:uid="{00000000-0005-0000-0000-00009F150000}"/>
    <cellStyle name="Normal 4 4 3 3 6 2 2" xfId="16155" xr:uid="{E3434474-3E0A-4684-9498-3BE72FC4BF05}"/>
    <cellStyle name="Normal 4 4 3 3 6 3" xfId="11938" xr:uid="{F53463FC-8D90-4AA2-B784-5A0CFC1AC568}"/>
    <cellStyle name="Normal 4 4 3 3 7" xfId="4764" xr:uid="{00000000-0005-0000-0000-0000A0150000}"/>
    <cellStyle name="Normal 4 4 3 3 7 2" xfId="14090" xr:uid="{CB9D4E72-EFED-44EC-AC5D-48C0EB0FE39C}"/>
    <cellStyle name="Normal 4 4 3 3 8" xfId="9030" xr:uid="{F975DAAD-4546-4770-9976-5C5C66DA227B}"/>
    <cellStyle name="Normal 4 4 3 3 8 2" xfId="18354" xr:uid="{060EBDAF-AA4E-4DC7-94D2-8C3C82C5D75C}"/>
    <cellStyle name="Normal 4 4 3 3 9" xfId="9873" xr:uid="{D72137E5-0B31-4D2B-AA20-1EC54C8F069D}"/>
    <cellStyle name="Normal 4 4 3 4" xfId="862" xr:uid="{00000000-0005-0000-0000-0000A1150000}"/>
    <cellStyle name="Normal 4 4 3 4 2" xfId="3097" xr:uid="{00000000-0005-0000-0000-0000A2150000}"/>
    <cellStyle name="Normal 4 4 3 4 2 2" xfId="7319" xr:uid="{00000000-0005-0000-0000-0000A3150000}"/>
    <cellStyle name="Normal 4 4 3 4 2 2 2" xfId="16645" xr:uid="{83859CB9-19C9-4525-8AF7-4A60FB248401}"/>
    <cellStyle name="Normal 4 4 3 4 2 3" xfId="12428" xr:uid="{02060E5B-7110-4D8A-B2C5-9AF595D6C150}"/>
    <cellStyle name="Normal 4 4 3 4 3" xfId="5174" xr:uid="{00000000-0005-0000-0000-0000A4150000}"/>
    <cellStyle name="Normal 4 4 3 4 3 2" xfId="14500" xr:uid="{00CDC5BA-7BE6-40AA-B4CB-964794331599}"/>
    <cellStyle name="Normal 4 4 3 4 4" xfId="9248" xr:uid="{6C5F877B-48E6-47C2-B849-E53F373D5A86}"/>
    <cellStyle name="Normal 4 4 3 4 4 2" xfId="18563" xr:uid="{A842EF59-B4B1-4934-9BAF-70B219AEF1D0}"/>
    <cellStyle name="Normal 4 4 3 4 5" xfId="10283" xr:uid="{82912A77-E9EF-44EA-9B85-F2CEC1B9C2BB}"/>
    <cellStyle name="Normal 4 4 3 5" xfId="1280" xr:uid="{00000000-0005-0000-0000-0000A5150000}"/>
    <cellStyle name="Normal 4 4 3 5 2" xfId="3510" xr:uid="{00000000-0005-0000-0000-0000A6150000}"/>
    <cellStyle name="Normal 4 4 3 5 2 2" xfId="7732" xr:uid="{00000000-0005-0000-0000-0000A7150000}"/>
    <cellStyle name="Normal 4 4 3 5 2 2 2" xfId="17058" xr:uid="{78146219-EC5C-473C-A05A-66DEE268B21E}"/>
    <cellStyle name="Normal 4 4 3 5 2 3" xfId="12841" xr:uid="{6D92B950-B0F2-4FA5-BE50-CFAD749C5128}"/>
    <cellStyle name="Normal 4 4 3 5 3" xfId="5587" xr:uid="{00000000-0005-0000-0000-0000A8150000}"/>
    <cellStyle name="Normal 4 4 3 5 3 2" xfId="14913" xr:uid="{7D1C4144-8A93-4CAA-A99C-BDAF5335F628}"/>
    <cellStyle name="Normal 4 4 3 5 4" xfId="10696" xr:uid="{827275CA-892E-47B9-8E35-41118AA7DDF1}"/>
    <cellStyle name="Normal 4 4 3 6" xfId="1693" xr:uid="{00000000-0005-0000-0000-0000A9150000}"/>
    <cellStyle name="Normal 4 4 3 6 2" xfId="3923" xr:uid="{00000000-0005-0000-0000-0000AA150000}"/>
    <cellStyle name="Normal 4 4 3 6 2 2" xfId="8145" xr:uid="{00000000-0005-0000-0000-0000AB150000}"/>
    <cellStyle name="Normal 4 4 3 6 2 2 2" xfId="17471" xr:uid="{DC99CBDA-7F21-4BAE-9489-0E82A353009B}"/>
    <cellStyle name="Normal 4 4 3 6 2 3" xfId="13254" xr:uid="{05ADA116-FEBE-453D-AFF2-6B1AF8C610F6}"/>
    <cellStyle name="Normal 4 4 3 6 3" xfId="6000" xr:uid="{00000000-0005-0000-0000-0000AC150000}"/>
    <cellStyle name="Normal 4 4 3 6 3 2" xfId="15326" xr:uid="{21281863-201B-4DD3-91C8-C163626D2778}"/>
    <cellStyle name="Normal 4 4 3 6 4" xfId="11109" xr:uid="{42107665-13DC-43FC-AD19-479CF5D481DF}"/>
    <cellStyle name="Normal 4 4 3 7" xfId="2107" xr:uid="{00000000-0005-0000-0000-0000AD150000}"/>
    <cellStyle name="Normal 4 4 3 7 2" xfId="4336" xr:uid="{00000000-0005-0000-0000-0000AE150000}"/>
    <cellStyle name="Normal 4 4 3 7 2 2" xfId="8558" xr:uid="{00000000-0005-0000-0000-0000AF150000}"/>
    <cellStyle name="Normal 4 4 3 7 2 2 2" xfId="17884" xr:uid="{716C7F4F-75C4-4C8D-8342-657AD49968AF}"/>
    <cellStyle name="Normal 4 4 3 7 2 3" xfId="13667" xr:uid="{330C428B-8589-41AB-8835-ECE4FAEDDAC7}"/>
    <cellStyle name="Normal 4 4 3 7 3" xfId="6413" xr:uid="{00000000-0005-0000-0000-0000B0150000}"/>
    <cellStyle name="Normal 4 4 3 7 3 2" xfId="15739" xr:uid="{A1AB69ED-D9F6-4545-B3BE-5FB9EA2AB3E9}"/>
    <cellStyle name="Normal 4 4 3 7 4" xfId="11522" xr:uid="{1E3534EE-92C2-4E53-857D-1FD79816EE96}"/>
    <cellStyle name="Normal 4 4 3 8" xfId="2543" xr:uid="{00000000-0005-0000-0000-0000B1150000}"/>
    <cellStyle name="Normal 4 4 3 8 2" xfId="6826" xr:uid="{00000000-0005-0000-0000-0000B2150000}"/>
    <cellStyle name="Normal 4 4 3 8 2 2" xfId="16152" xr:uid="{899A44CC-F276-45E3-A3B1-C6F48B2EC313}"/>
    <cellStyle name="Normal 4 4 3 8 3" xfId="11935" xr:uid="{9969DD00-59C9-49E4-B197-6700C5522C12}"/>
    <cellStyle name="Normal 4 4 3 9" xfId="4761" xr:uid="{00000000-0005-0000-0000-0000B3150000}"/>
    <cellStyle name="Normal 4 4 3 9 2" xfId="14087" xr:uid="{A6FA4135-A86B-43CC-BA1E-882623169CCA}"/>
    <cellStyle name="Normal 4 4 4" xfId="391" xr:uid="{00000000-0005-0000-0000-0000B4150000}"/>
    <cellStyle name="Normal 4 4 4 10" xfId="9874" xr:uid="{F2675DAC-A199-4FD5-8390-12D088636FC6}"/>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50" xr:uid="{95A9A1F1-D2CB-4837-AD12-865CDC0FBB73}"/>
    <cellStyle name="Normal 4 4 4 2 2 2 3" xfId="12433" xr:uid="{A34FE4B6-8C1F-4785-8B77-023122938365}"/>
    <cellStyle name="Normal 4 4 4 2 2 3" xfId="5179" xr:uid="{00000000-0005-0000-0000-0000B9150000}"/>
    <cellStyle name="Normal 4 4 4 2 2 3 2" xfId="14505" xr:uid="{7344B7C0-A9A8-49A2-8184-658C42273CE8}"/>
    <cellStyle name="Normal 4 4 4 2 2 4" xfId="9484" xr:uid="{69910E0C-08C8-41C5-A6FC-61B52F6CD538}"/>
    <cellStyle name="Normal 4 4 4 2 2 4 2" xfId="18799" xr:uid="{31F96092-2712-4D72-B65E-34FE0C985C79}"/>
    <cellStyle name="Normal 4 4 4 2 2 5" xfId="10288" xr:uid="{153267D1-979E-4542-AF7E-DB5508D82DB2}"/>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63" xr:uid="{FF43CD04-1953-46E4-A4D7-162DC630D342}"/>
    <cellStyle name="Normal 4 4 4 2 3 2 3" xfId="12846" xr:uid="{1BB4220F-7E43-4C91-805B-1DDED6364888}"/>
    <cellStyle name="Normal 4 4 4 2 3 3" xfId="5592" xr:uid="{00000000-0005-0000-0000-0000BD150000}"/>
    <cellStyle name="Normal 4 4 4 2 3 3 2" xfId="14918" xr:uid="{50491F70-8BBB-467F-A092-B48AA16AB0C2}"/>
    <cellStyle name="Normal 4 4 4 2 3 4" xfId="10701" xr:uid="{0C79F69F-F611-4CAA-BCCB-D98515248852}"/>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76" xr:uid="{22BAAA03-223A-42C0-8F1D-5F8F7CF5B6C7}"/>
    <cellStyle name="Normal 4 4 4 2 4 2 3" xfId="13259" xr:uid="{9E836D18-59B7-44E5-BAA0-58E43E49E2C6}"/>
    <cellStyle name="Normal 4 4 4 2 4 3" xfId="6005" xr:uid="{00000000-0005-0000-0000-0000C1150000}"/>
    <cellStyle name="Normal 4 4 4 2 4 3 2" xfId="15331" xr:uid="{C7CA1B41-A919-489B-AE05-DA3A6B05085A}"/>
    <cellStyle name="Normal 4 4 4 2 4 4" xfId="11114" xr:uid="{4F1B021A-9C47-455B-876D-9CB1A4C85BE8}"/>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89" xr:uid="{4134AC53-BAEB-47CF-BD6F-AAC4F75082CD}"/>
    <cellStyle name="Normal 4 4 4 2 5 2 3" xfId="13672" xr:uid="{70F8AA7D-89A6-48AE-A129-E872DE7A2616}"/>
    <cellStyle name="Normal 4 4 4 2 5 3" xfId="6418" xr:uid="{00000000-0005-0000-0000-0000C5150000}"/>
    <cellStyle name="Normal 4 4 4 2 5 3 2" xfId="15744" xr:uid="{8783C08E-6A87-497E-8239-2CFF77E8ECF5}"/>
    <cellStyle name="Normal 4 4 4 2 5 4" xfId="11527" xr:uid="{205D9171-8DDB-49E8-8772-552FB8378C0F}"/>
    <cellStyle name="Normal 4 4 4 2 6" xfId="2548" xr:uid="{00000000-0005-0000-0000-0000C6150000}"/>
    <cellStyle name="Normal 4 4 4 2 6 2" xfId="6831" xr:uid="{00000000-0005-0000-0000-0000C7150000}"/>
    <cellStyle name="Normal 4 4 4 2 6 2 2" xfId="16157" xr:uid="{EEE4F9A5-8B11-4D52-8DEE-566215908E19}"/>
    <cellStyle name="Normal 4 4 4 2 6 3" xfId="11940" xr:uid="{E9926FDA-1290-4D07-A815-DDFD41627584}"/>
    <cellStyle name="Normal 4 4 4 2 7" xfId="4766" xr:uid="{00000000-0005-0000-0000-0000C8150000}"/>
    <cellStyle name="Normal 4 4 4 2 7 2" xfId="14092" xr:uid="{D66BCD24-8BBA-4C74-AE54-E5CAA830AE87}"/>
    <cellStyle name="Normal 4 4 4 2 8" xfId="9059" xr:uid="{76617FCA-DBA6-4291-BD32-6340A19903F7}"/>
    <cellStyle name="Normal 4 4 4 2 8 2" xfId="18383" xr:uid="{CFBF7C2E-295E-4ECC-BA70-BFDE53189480}"/>
    <cellStyle name="Normal 4 4 4 2 9" xfId="9875" xr:uid="{3EA21441-6AAD-444E-B2D2-EC4504EFEDFD}"/>
    <cellStyle name="Normal 4 4 4 3" xfId="866" xr:uid="{00000000-0005-0000-0000-0000C9150000}"/>
    <cellStyle name="Normal 4 4 4 3 2" xfId="3101" xr:uid="{00000000-0005-0000-0000-0000CA150000}"/>
    <cellStyle name="Normal 4 4 4 3 2 2" xfId="7323" xr:uid="{00000000-0005-0000-0000-0000CB150000}"/>
    <cellStyle name="Normal 4 4 4 3 2 2 2" xfId="16649" xr:uid="{176892E3-EB60-4712-9891-349FE658E9AD}"/>
    <cellStyle name="Normal 4 4 4 3 2 3" xfId="12432" xr:uid="{4C510BC9-11FC-4D88-8431-A6120C01BA57}"/>
    <cellStyle name="Normal 4 4 4 3 3" xfId="5178" xr:uid="{00000000-0005-0000-0000-0000CC150000}"/>
    <cellStyle name="Normal 4 4 4 3 3 2" xfId="14504" xr:uid="{D14F6F57-15D2-4C05-A6FE-09F39EFDC5B7}"/>
    <cellStyle name="Normal 4 4 4 3 4" xfId="9277" xr:uid="{DD01CD29-2559-4BCC-919C-99D1D75C445F}"/>
    <cellStyle name="Normal 4 4 4 3 4 2" xfId="18592" xr:uid="{96A25315-CF35-4BA0-9D3D-114E72D86C5B}"/>
    <cellStyle name="Normal 4 4 4 3 5" xfId="10287" xr:uid="{B3020A97-2C9C-4351-A777-8C97077E55A2}"/>
    <cellStyle name="Normal 4 4 4 4" xfId="1284" xr:uid="{00000000-0005-0000-0000-0000CD150000}"/>
    <cellStyle name="Normal 4 4 4 4 2" xfId="3514" xr:uid="{00000000-0005-0000-0000-0000CE150000}"/>
    <cellStyle name="Normal 4 4 4 4 2 2" xfId="7736" xr:uid="{00000000-0005-0000-0000-0000CF150000}"/>
    <cellStyle name="Normal 4 4 4 4 2 2 2" xfId="17062" xr:uid="{70773C53-CD03-4407-A653-611124572674}"/>
    <cellStyle name="Normal 4 4 4 4 2 3" xfId="12845" xr:uid="{060CD8BE-FD88-4DEF-9237-8D22A3EF1E6C}"/>
    <cellStyle name="Normal 4 4 4 4 3" xfId="5591" xr:uid="{00000000-0005-0000-0000-0000D0150000}"/>
    <cellStyle name="Normal 4 4 4 4 3 2" xfId="14917" xr:uid="{72DF2465-C624-4AB3-920A-96554D1A7FCF}"/>
    <cellStyle name="Normal 4 4 4 4 4" xfId="10700" xr:uid="{B0D025D9-3B5F-4374-8DA6-2D99F20E6FCF}"/>
    <cellStyle name="Normal 4 4 4 5" xfId="1697" xr:uid="{00000000-0005-0000-0000-0000D1150000}"/>
    <cellStyle name="Normal 4 4 4 5 2" xfId="3927" xr:uid="{00000000-0005-0000-0000-0000D2150000}"/>
    <cellStyle name="Normal 4 4 4 5 2 2" xfId="8149" xr:uid="{00000000-0005-0000-0000-0000D3150000}"/>
    <cellStyle name="Normal 4 4 4 5 2 2 2" xfId="17475" xr:uid="{C8D9F538-2A44-4DFD-84B5-111BD885494B}"/>
    <cellStyle name="Normal 4 4 4 5 2 3" xfId="13258" xr:uid="{9AB38D73-30D4-42E5-A9E6-DF741BF007DC}"/>
    <cellStyle name="Normal 4 4 4 5 3" xfId="6004" xr:uid="{00000000-0005-0000-0000-0000D4150000}"/>
    <cellStyle name="Normal 4 4 4 5 3 2" xfId="15330" xr:uid="{60992601-7B40-4039-BBC3-830580E0466F}"/>
    <cellStyle name="Normal 4 4 4 5 4" xfId="11113" xr:uid="{DB7C03D9-82AE-4185-8A95-1636A7545722}"/>
    <cellStyle name="Normal 4 4 4 6" xfId="2111" xr:uid="{00000000-0005-0000-0000-0000D5150000}"/>
    <cellStyle name="Normal 4 4 4 6 2" xfId="4340" xr:uid="{00000000-0005-0000-0000-0000D6150000}"/>
    <cellStyle name="Normal 4 4 4 6 2 2" xfId="8562" xr:uid="{00000000-0005-0000-0000-0000D7150000}"/>
    <cellStyle name="Normal 4 4 4 6 2 2 2" xfId="17888" xr:uid="{F9445D59-0295-4698-B7E4-7BEFE1802856}"/>
    <cellStyle name="Normal 4 4 4 6 2 3" xfId="13671" xr:uid="{73F42DDF-46C6-4617-8F75-A0661024A50A}"/>
    <cellStyle name="Normal 4 4 4 6 3" xfId="6417" xr:uid="{00000000-0005-0000-0000-0000D8150000}"/>
    <cellStyle name="Normal 4 4 4 6 3 2" xfId="15743" xr:uid="{98F85DBA-371E-4DA7-AF74-EB96F44F4672}"/>
    <cellStyle name="Normal 4 4 4 6 4" xfId="11526" xr:uid="{EA501B7F-4220-4BFB-8E2E-8C9AF3D5D2F0}"/>
    <cellStyle name="Normal 4 4 4 7" xfId="2547" xr:uid="{00000000-0005-0000-0000-0000D9150000}"/>
    <cellStyle name="Normal 4 4 4 7 2" xfId="6830" xr:uid="{00000000-0005-0000-0000-0000DA150000}"/>
    <cellStyle name="Normal 4 4 4 7 2 2" xfId="16156" xr:uid="{458BD7CE-2F6B-4702-920B-C8B20F9AA81B}"/>
    <cellStyle name="Normal 4 4 4 7 3" xfId="11939" xr:uid="{918C1B81-5647-4497-8447-A23D33E7351B}"/>
    <cellStyle name="Normal 4 4 4 8" xfId="4765" xr:uid="{00000000-0005-0000-0000-0000DB150000}"/>
    <cellStyle name="Normal 4 4 4 8 2" xfId="14091" xr:uid="{45AD6044-87B7-45A0-82FA-B700DE3F0727}"/>
    <cellStyle name="Normal 4 4 4 9" xfId="8852" xr:uid="{DF4BB962-85B1-44B5-A0FE-735796672772}"/>
    <cellStyle name="Normal 4 4 4 9 2" xfId="18176" xr:uid="{2A2AB8D8-300D-48F1-8E0D-1881A95586B5}"/>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6651" xr:uid="{B50ECE04-2D1E-48E1-A9A8-D516D622E93C}"/>
    <cellStyle name="Normal 4 4 5 2 2 3" xfId="12434" xr:uid="{E1E53179-4C51-4B9A-B92D-B0A4D149ADA5}"/>
    <cellStyle name="Normal 4 4 5 2 3" xfId="5180" xr:uid="{00000000-0005-0000-0000-0000E0150000}"/>
    <cellStyle name="Normal 4 4 5 2 3 2" xfId="14506" xr:uid="{483CEB07-82EF-46BE-941D-B6AD713DE254}"/>
    <cellStyle name="Normal 4 4 5 2 4" xfId="9393" xr:uid="{C2991CC4-4E0B-46C4-B338-C6A1C9BA2DE9}"/>
    <cellStyle name="Normal 4 4 5 2 4 2" xfId="18708" xr:uid="{F2C9737D-D601-4656-A038-D8B7B7AD5AF8}"/>
    <cellStyle name="Normal 4 4 5 2 5" xfId="10289" xr:uid="{1C32B73D-CA3B-4EA8-B25C-E13D7230A138}"/>
    <cellStyle name="Normal 4 4 5 3" xfId="1286" xr:uid="{00000000-0005-0000-0000-0000E1150000}"/>
    <cellStyle name="Normal 4 4 5 3 2" xfId="3516" xr:uid="{00000000-0005-0000-0000-0000E2150000}"/>
    <cellStyle name="Normal 4 4 5 3 2 2" xfId="7738" xr:uid="{00000000-0005-0000-0000-0000E3150000}"/>
    <cellStyle name="Normal 4 4 5 3 2 2 2" xfId="17064" xr:uid="{1B3976A9-DC79-451D-AAB7-5E522C4EADAD}"/>
    <cellStyle name="Normal 4 4 5 3 2 3" xfId="12847" xr:uid="{CB5C4B66-6F52-417B-9E26-744CABFE9FCA}"/>
    <cellStyle name="Normal 4 4 5 3 3" xfId="5593" xr:uid="{00000000-0005-0000-0000-0000E4150000}"/>
    <cellStyle name="Normal 4 4 5 3 3 2" xfId="14919" xr:uid="{07892332-4EDC-4436-9851-A16C68769A22}"/>
    <cellStyle name="Normal 4 4 5 3 4" xfId="10702" xr:uid="{C5B041E4-12D5-4E92-BBEF-FA183336A4C9}"/>
    <cellStyle name="Normal 4 4 5 4" xfId="1699" xr:uid="{00000000-0005-0000-0000-0000E5150000}"/>
    <cellStyle name="Normal 4 4 5 4 2" xfId="3929" xr:uid="{00000000-0005-0000-0000-0000E6150000}"/>
    <cellStyle name="Normal 4 4 5 4 2 2" xfId="8151" xr:uid="{00000000-0005-0000-0000-0000E7150000}"/>
    <cellStyle name="Normal 4 4 5 4 2 2 2" xfId="17477" xr:uid="{D4B9B03B-1C06-491F-B66E-BE27AD2882AA}"/>
    <cellStyle name="Normal 4 4 5 4 2 3" xfId="13260" xr:uid="{6322D486-2903-4CA0-A4B3-D50ACDFEF406}"/>
    <cellStyle name="Normal 4 4 5 4 3" xfId="6006" xr:uid="{00000000-0005-0000-0000-0000E8150000}"/>
    <cellStyle name="Normal 4 4 5 4 3 2" xfId="15332" xr:uid="{99305EA6-BECB-485E-A9E5-2AFD4B04FA4B}"/>
    <cellStyle name="Normal 4 4 5 4 4" xfId="11115" xr:uid="{DE8283D2-612F-4196-B486-F016A6FAF660}"/>
    <cellStyle name="Normal 4 4 5 5" xfId="2113" xr:uid="{00000000-0005-0000-0000-0000E9150000}"/>
    <cellStyle name="Normal 4 4 5 5 2" xfId="4342" xr:uid="{00000000-0005-0000-0000-0000EA150000}"/>
    <cellStyle name="Normal 4 4 5 5 2 2" xfId="8564" xr:uid="{00000000-0005-0000-0000-0000EB150000}"/>
    <cellStyle name="Normal 4 4 5 5 2 2 2" xfId="17890" xr:uid="{59FD77C5-E36E-4696-BD42-E641A016DD0C}"/>
    <cellStyle name="Normal 4 4 5 5 2 3" xfId="13673" xr:uid="{E3DE79DB-DA7A-4AF2-BDC9-260700D5F609}"/>
    <cellStyle name="Normal 4 4 5 5 3" xfId="6419" xr:uid="{00000000-0005-0000-0000-0000EC150000}"/>
    <cellStyle name="Normal 4 4 5 5 3 2" xfId="15745" xr:uid="{D66E9B5A-2115-4774-B43A-4505FE479255}"/>
    <cellStyle name="Normal 4 4 5 5 4" xfId="11528" xr:uid="{FC2E8485-AB83-4E31-9EE7-A338ED1BF747}"/>
    <cellStyle name="Normal 4 4 5 6" xfId="2549" xr:uid="{00000000-0005-0000-0000-0000ED150000}"/>
    <cellStyle name="Normal 4 4 5 6 2" xfId="6832" xr:uid="{00000000-0005-0000-0000-0000EE150000}"/>
    <cellStyle name="Normal 4 4 5 6 2 2" xfId="16158" xr:uid="{080212D0-89C0-41C8-8BE5-56B75F0A1421}"/>
    <cellStyle name="Normal 4 4 5 6 3" xfId="11941" xr:uid="{03396625-FE73-4893-918B-E2A9FFF01A6E}"/>
    <cellStyle name="Normal 4 4 5 7" xfId="4767" xr:uid="{00000000-0005-0000-0000-0000EF150000}"/>
    <cellStyle name="Normal 4 4 5 7 2" xfId="14093" xr:uid="{B405ECC8-A3A0-4EF6-B961-5F7B380A1339}"/>
    <cellStyle name="Normal 4 4 5 8" xfId="8968" xr:uid="{BE877DDE-435D-4CBA-84F2-0372D1DDE771}"/>
    <cellStyle name="Normal 4 4 5 8 2" xfId="18292" xr:uid="{559FBB5F-AAB2-4B6F-AD9A-7D11E4050748}"/>
    <cellStyle name="Normal 4 4 5 9" xfId="9876" xr:uid="{F224F3BD-EEE8-44AF-9F4A-157D22C1D75C}"/>
    <cellStyle name="Normal 4 4 6" xfId="853" xr:uid="{00000000-0005-0000-0000-0000F0150000}"/>
    <cellStyle name="Normal 4 4 6 2" xfId="3088" xr:uid="{00000000-0005-0000-0000-0000F1150000}"/>
    <cellStyle name="Normal 4 4 6 2 2" xfId="7310" xr:uid="{00000000-0005-0000-0000-0000F2150000}"/>
    <cellStyle name="Normal 4 4 6 2 2 2" xfId="16636" xr:uid="{B51639FB-0422-433D-8893-6B34DF4A6E34}"/>
    <cellStyle name="Normal 4 4 6 2 3" xfId="12419" xr:uid="{B1649C6C-3DAE-4EDD-8241-623AE100DE30}"/>
    <cellStyle name="Normal 4 4 6 3" xfId="5165" xr:uid="{00000000-0005-0000-0000-0000F3150000}"/>
    <cellStyle name="Normal 4 4 6 3 2" xfId="14491" xr:uid="{05959C5B-7ECB-4228-88AA-1C3D5DDD87B9}"/>
    <cellStyle name="Normal 4 4 6 4" xfId="9171" xr:uid="{C474601B-95F0-4C9E-AB77-B3E61D2A21D7}"/>
    <cellStyle name="Normal 4 4 6 4 2" xfId="18489" xr:uid="{986246BE-CC40-44EB-8916-7F571D59B896}"/>
    <cellStyle name="Normal 4 4 6 5" xfId="10274" xr:uid="{9530A148-4297-419C-B548-CA83EEE6E168}"/>
    <cellStyle name="Normal 4 4 7" xfId="1271" xr:uid="{00000000-0005-0000-0000-0000F4150000}"/>
    <cellStyle name="Normal 4 4 7 2" xfId="3501" xr:uid="{00000000-0005-0000-0000-0000F5150000}"/>
    <cellStyle name="Normal 4 4 7 2 2" xfId="7723" xr:uid="{00000000-0005-0000-0000-0000F6150000}"/>
    <cellStyle name="Normal 4 4 7 2 2 2" xfId="17049" xr:uid="{20298359-6F7E-4833-9D8C-8EFFCA88EA8B}"/>
    <cellStyle name="Normal 4 4 7 2 3" xfId="12832" xr:uid="{DDDD0B5F-0E01-445E-B1E0-996F80B831DC}"/>
    <cellStyle name="Normal 4 4 7 3" xfId="5578" xr:uid="{00000000-0005-0000-0000-0000F7150000}"/>
    <cellStyle name="Normal 4 4 7 3 2" xfId="14904" xr:uid="{0E460CA0-14D6-4CE7-8FEB-A9D9CCB27272}"/>
    <cellStyle name="Normal 4 4 7 4" xfId="10687" xr:uid="{E8DE9510-6927-48AB-BDB0-B69ADF6D1494}"/>
    <cellStyle name="Normal 4 4 8" xfId="1684" xr:uid="{00000000-0005-0000-0000-0000F8150000}"/>
    <cellStyle name="Normal 4 4 8 2" xfId="3914" xr:uid="{00000000-0005-0000-0000-0000F9150000}"/>
    <cellStyle name="Normal 4 4 8 2 2" xfId="8136" xr:uid="{00000000-0005-0000-0000-0000FA150000}"/>
    <cellStyle name="Normal 4 4 8 2 2 2" xfId="17462" xr:uid="{5BDE2A45-C6AE-43E8-9FE5-A44FCD92B20B}"/>
    <cellStyle name="Normal 4 4 8 2 3" xfId="13245" xr:uid="{C1BA333C-1BAC-418D-AC23-95A65A81E23C}"/>
    <cellStyle name="Normal 4 4 8 3" xfId="5991" xr:uid="{00000000-0005-0000-0000-0000FB150000}"/>
    <cellStyle name="Normal 4 4 8 3 2" xfId="15317" xr:uid="{47DE9472-8CF1-4B59-BBEC-6D43666FCE57}"/>
    <cellStyle name="Normal 4 4 8 4" xfId="11100" xr:uid="{2B46E2A8-8A04-4E90-B435-648791EA009C}"/>
    <cellStyle name="Normal 4 4 9" xfId="2098" xr:uid="{00000000-0005-0000-0000-0000FC150000}"/>
    <cellStyle name="Normal 4 4 9 2" xfId="4327" xr:uid="{00000000-0005-0000-0000-0000FD150000}"/>
    <cellStyle name="Normal 4 4 9 2 2" xfId="8549" xr:uid="{00000000-0005-0000-0000-0000FE150000}"/>
    <cellStyle name="Normal 4 4 9 2 2 2" xfId="17875" xr:uid="{A1AEAF28-6A0A-46E4-825B-A785FC6DC580}"/>
    <cellStyle name="Normal 4 4 9 2 3" xfId="13658" xr:uid="{7718D8C9-FE64-4171-BD9A-C9D88CFA56B5}"/>
    <cellStyle name="Normal 4 4 9 3" xfId="6404" xr:uid="{00000000-0005-0000-0000-0000FF150000}"/>
    <cellStyle name="Normal 4 4 9 3 2" xfId="15730" xr:uid="{E6E80B8E-FE04-4051-8D70-252634D6C498}"/>
    <cellStyle name="Normal 4 4 9 4" xfId="11513" xr:uid="{4AC3E806-5B08-4DA1-94C0-D0445DE1A71F}"/>
    <cellStyle name="Normal 4 5" xfId="394" xr:uid="{00000000-0005-0000-0000-000000160000}"/>
    <cellStyle name="Normal 4 6" xfId="395" xr:uid="{00000000-0005-0000-0000-000001160000}"/>
    <cellStyle name="Normal 4 6 10" xfId="4768" xr:uid="{00000000-0005-0000-0000-000002160000}"/>
    <cellStyle name="Normal 4 6 10 2" xfId="14094" xr:uid="{69EE80E2-5E9B-4D8F-9276-EC10626135D1}"/>
    <cellStyle name="Normal 4 6 11" xfId="8772" xr:uid="{23628FEE-4113-4B2C-B2A0-0106FC7F55C2}"/>
    <cellStyle name="Normal 4 6 11 2" xfId="18096" xr:uid="{0289845B-0CCE-4CA3-B04E-BC74A53C05A8}"/>
    <cellStyle name="Normal 4 6 12" xfId="9877" xr:uid="{C7B8EF6E-44D4-4C2C-8BAE-FA9AAAE9F649}"/>
    <cellStyle name="Normal 4 6 2" xfId="396" xr:uid="{00000000-0005-0000-0000-000003160000}"/>
    <cellStyle name="Normal 4 6 2 10" xfId="8825" xr:uid="{C3062495-9D56-441B-95F6-B73E7DAC524C}"/>
    <cellStyle name="Normal 4 6 2 10 2" xfId="18149" xr:uid="{725AD562-C19B-4888-9EC5-F024AB0AFA51}"/>
    <cellStyle name="Normal 4 6 2 11" xfId="9878" xr:uid="{7443F2AA-4748-4744-A829-E7218A6C05A8}"/>
    <cellStyle name="Normal 4 6 2 2" xfId="397" xr:uid="{00000000-0005-0000-0000-000004160000}"/>
    <cellStyle name="Normal 4 6 2 2 10" xfId="9879" xr:uid="{DCA0B6F0-DD49-49E6-AB09-158955094766}"/>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55" xr:uid="{5E1B241C-C05B-4980-BAED-72EF71D2EFE8}"/>
    <cellStyle name="Normal 4 6 2 2 2 2 2 3" xfId="12438" xr:uid="{43C9111C-317A-43C3-9D57-2A3AA1F22270}"/>
    <cellStyle name="Normal 4 6 2 2 2 2 3" xfId="5184" xr:uid="{00000000-0005-0000-0000-000009160000}"/>
    <cellStyle name="Normal 4 6 2 2 2 2 3 2" xfId="14510" xr:uid="{EAD94E71-C8D6-4A35-B02A-8E18A09AF2BC}"/>
    <cellStyle name="Normal 4 6 2 2 2 2 4" xfId="9560" xr:uid="{04DAEE11-A96E-4522-8546-8A0C107E12B9}"/>
    <cellStyle name="Normal 4 6 2 2 2 2 4 2" xfId="18875" xr:uid="{722CE29A-0EBF-4015-8523-4878CDFDC637}"/>
    <cellStyle name="Normal 4 6 2 2 2 2 5" xfId="10293" xr:uid="{11D3F97F-7A79-4ADA-9B51-2662FFFBE355}"/>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68" xr:uid="{1E9BF56D-5DF7-4D75-AAA5-118FC540BE73}"/>
    <cellStyle name="Normal 4 6 2 2 2 3 2 3" xfId="12851" xr:uid="{64AC471A-1FE9-45DC-8452-F93B8B3509E6}"/>
    <cellStyle name="Normal 4 6 2 2 2 3 3" xfId="5597" xr:uid="{00000000-0005-0000-0000-00000D160000}"/>
    <cellStyle name="Normal 4 6 2 2 2 3 3 2" xfId="14923" xr:uid="{42634398-EAC6-4B3C-B718-DA5E4F8B2493}"/>
    <cellStyle name="Normal 4 6 2 2 2 3 4" xfId="10706" xr:uid="{73B54B72-9FA7-46A6-983E-FEE154EA4CA1}"/>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81" xr:uid="{8AC30A7B-7EDE-43E2-8C5D-8E8C67852C7F}"/>
    <cellStyle name="Normal 4 6 2 2 2 4 2 3" xfId="13264" xr:uid="{CC05C271-BC22-4267-9734-3C014F115694}"/>
    <cellStyle name="Normal 4 6 2 2 2 4 3" xfId="6010" xr:uid="{00000000-0005-0000-0000-000011160000}"/>
    <cellStyle name="Normal 4 6 2 2 2 4 3 2" xfId="15336" xr:uid="{A508E07C-7C9F-4552-BF9F-9B2EBFB5BC4D}"/>
    <cellStyle name="Normal 4 6 2 2 2 4 4" xfId="11119" xr:uid="{ECDFED96-1889-4407-A831-1FF0F49F0389}"/>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94" xr:uid="{62306175-9F50-41BA-BF21-3EEFA9CA3D68}"/>
    <cellStyle name="Normal 4 6 2 2 2 5 2 3" xfId="13677" xr:uid="{9630C12E-1F2B-4ECA-A9D0-7ECB3BE3FB7E}"/>
    <cellStyle name="Normal 4 6 2 2 2 5 3" xfId="6423" xr:uid="{00000000-0005-0000-0000-000015160000}"/>
    <cellStyle name="Normal 4 6 2 2 2 5 3 2" xfId="15749" xr:uid="{4FBE272C-8A79-4A8D-B916-497FA54CE434}"/>
    <cellStyle name="Normal 4 6 2 2 2 5 4" xfId="11532" xr:uid="{05140B66-EB48-4AE7-8347-F0F724B9A6E5}"/>
    <cellStyle name="Normal 4 6 2 2 2 6" xfId="2553" xr:uid="{00000000-0005-0000-0000-000016160000}"/>
    <cellStyle name="Normal 4 6 2 2 2 6 2" xfId="6836" xr:uid="{00000000-0005-0000-0000-000017160000}"/>
    <cellStyle name="Normal 4 6 2 2 2 6 2 2" xfId="16162" xr:uid="{037C7316-5AD2-4DD1-9FCA-5B304E575BEB}"/>
    <cellStyle name="Normal 4 6 2 2 2 6 3" xfId="11945" xr:uid="{754411E5-A86A-4B32-86A7-EF6E8E3FFBC2}"/>
    <cellStyle name="Normal 4 6 2 2 2 7" xfId="4771" xr:uid="{00000000-0005-0000-0000-000018160000}"/>
    <cellStyle name="Normal 4 6 2 2 2 7 2" xfId="14097" xr:uid="{0D1FE868-41C5-44DB-9241-A67CC5A99608}"/>
    <cellStyle name="Normal 4 6 2 2 2 8" xfId="9135" xr:uid="{2F4C420F-13DD-45DD-99DD-C7AFF7CD7823}"/>
    <cellStyle name="Normal 4 6 2 2 2 8 2" xfId="18459" xr:uid="{525F1EF1-42A0-409A-94F9-0AE91FB3A4BD}"/>
    <cellStyle name="Normal 4 6 2 2 2 9" xfId="9880" xr:uid="{E56A9751-661A-4C46-9F07-E3EFBFCEA55C}"/>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54" xr:uid="{E77AB7F3-F0E9-4884-B8CD-DAE4608F173B}"/>
    <cellStyle name="Normal 4 6 2 2 3 2 3" xfId="12437" xr:uid="{0B9C6255-26A0-4B24-B407-4C2D9C96DBFC}"/>
    <cellStyle name="Normal 4 6 2 2 3 3" xfId="5183" xr:uid="{00000000-0005-0000-0000-00001C160000}"/>
    <cellStyle name="Normal 4 6 2 2 3 3 2" xfId="14509" xr:uid="{C58E3046-1287-4F9E-BD52-F9E41B58934B}"/>
    <cellStyle name="Normal 4 6 2 2 3 4" xfId="9353" xr:uid="{60C7EC16-17DE-43AF-A246-41C667B376B7}"/>
    <cellStyle name="Normal 4 6 2 2 3 4 2" xfId="18668" xr:uid="{C2958AB5-384A-4418-871E-D2AB88E15B9A}"/>
    <cellStyle name="Normal 4 6 2 2 3 5" xfId="10292" xr:uid="{8069FC09-4177-4F8D-833C-14C25D3863A6}"/>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67" xr:uid="{D39A3ACF-5276-4457-9D79-76CB444D6E06}"/>
    <cellStyle name="Normal 4 6 2 2 4 2 3" xfId="12850" xr:uid="{E1C2464F-632A-45EC-BE03-F3B91351F3E6}"/>
    <cellStyle name="Normal 4 6 2 2 4 3" xfId="5596" xr:uid="{00000000-0005-0000-0000-000020160000}"/>
    <cellStyle name="Normal 4 6 2 2 4 3 2" xfId="14922" xr:uid="{800054FD-E0F6-4103-9387-C40BA4996A2E}"/>
    <cellStyle name="Normal 4 6 2 2 4 4" xfId="10705" xr:uid="{8A07F59B-8411-4E02-9176-E451368F3A90}"/>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80" xr:uid="{906FCC5E-20B9-43A5-BF78-17047C31919D}"/>
    <cellStyle name="Normal 4 6 2 2 5 2 3" xfId="13263" xr:uid="{C1C518A7-D6CB-48FA-8E14-3F7515EE53E8}"/>
    <cellStyle name="Normal 4 6 2 2 5 3" xfId="6009" xr:uid="{00000000-0005-0000-0000-000024160000}"/>
    <cellStyle name="Normal 4 6 2 2 5 3 2" xfId="15335" xr:uid="{001EDB62-5372-43AB-9D65-A494EC662741}"/>
    <cellStyle name="Normal 4 6 2 2 5 4" xfId="11118" xr:uid="{E32C8715-BE22-4CD1-AE2A-EAD4F773126A}"/>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93" xr:uid="{4BEF58A6-A331-43D9-A37A-807B7385CBC1}"/>
    <cellStyle name="Normal 4 6 2 2 6 2 3" xfId="13676" xr:uid="{AF711CB5-445F-4D2D-9254-5C5A957D85C1}"/>
    <cellStyle name="Normal 4 6 2 2 6 3" xfId="6422" xr:uid="{00000000-0005-0000-0000-000028160000}"/>
    <cellStyle name="Normal 4 6 2 2 6 3 2" xfId="15748" xr:uid="{01613D34-93EB-428A-9B98-EA40479B3962}"/>
    <cellStyle name="Normal 4 6 2 2 6 4" xfId="11531" xr:uid="{43081701-4BA0-4E78-83AE-1793E4AAB2C9}"/>
    <cellStyle name="Normal 4 6 2 2 7" xfId="2552" xr:uid="{00000000-0005-0000-0000-000029160000}"/>
    <cellStyle name="Normal 4 6 2 2 7 2" xfId="6835" xr:uid="{00000000-0005-0000-0000-00002A160000}"/>
    <cellStyle name="Normal 4 6 2 2 7 2 2" xfId="16161" xr:uid="{88F75DCC-4061-4FAE-9C60-2C8EAABCDD87}"/>
    <cellStyle name="Normal 4 6 2 2 7 3" xfId="11944" xr:uid="{9874769B-8600-4CF2-A7B0-ECA7E343BEE0}"/>
    <cellStyle name="Normal 4 6 2 2 8" xfId="4770" xr:uid="{00000000-0005-0000-0000-00002B160000}"/>
    <cellStyle name="Normal 4 6 2 2 8 2" xfId="14096" xr:uid="{636F99D7-81DB-455D-9C76-DEB9AA2269DA}"/>
    <cellStyle name="Normal 4 6 2 2 9" xfId="8928" xr:uid="{EC58FE5E-68BA-4864-AD86-0F9D1DB17AD0}"/>
    <cellStyle name="Normal 4 6 2 2 9 2" xfId="18252" xr:uid="{031158D2-A3E0-41DA-90FF-5EFBCBCAEA46}"/>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56" xr:uid="{308D5552-1794-41B8-98A1-0A7751C860D2}"/>
    <cellStyle name="Normal 4 6 2 3 2 2 3" xfId="12439" xr:uid="{E328363F-04AF-4BB9-AB88-C569197207C2}"/>
    <cellStyle name="Normal 4 6 2 3 2 3" xfId="5185" xr:uid="{00000000-0005-0000-0000-000030160000}"/>
    <cellStyle name="Normal 4 6 2 3 2 3 2" xfId="14511" xr:uid="{BC7472D8-361D-4C93-A554-42E00711A5CA}"/>
    <cellStyle name="Normal 4 6 2 3 2 4" xfId="9457" xr:uid="{E86AED2D-42AD-49DE-9461-1FA72B82C89E}"/>
    <cellStyle name="Normal 4 6 2 3 2 4 2" xfId="18772" xr:uid="{F02CE4D6-97B0-4717-A981-1712EFB1F576}"/>
    <cellStyle name="Normal 4 6 2 3 2 5" xfId="10294" xr:uid="{AA15BC81-0463-48E4-8016-DD3CFBBDA273}"/>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69" xr:uid="{834AEEE0-52E8-4F96-A709-C2820577F2F6}"/>
    <cellStyle name="Normal 4 6 2 3 3 2 3" xfId="12852" xr:uid="{29A23E33-6988-4D40-A5D3-A6CD79DF8722}"/>
    <cellStyle name="Normal 4 6 2 3 3 3" xfId="5598" xr:uid="{00000000-0005-0000-0000-000034160000}"/>
    <cellStyle name="Normal 4 6 2 3 3 3 2" xfId="14924" xr:uid="{87B119E9-436E-4AB7-A459-12F0D269B79E}"/>
    <cellStyle name="Normal 4 6 2 3 3 4" xfId="10707" xr:uid="{F64A2780-466F-4AAB-B299-943586A7E2DC}"/>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82" xr:uid="{DDB239EE-8D04-4848-904C-32BDB730F279}"/>
    <cellStyle name="Normal 4 6 2 3 4 2 3" xfId="13265" xr:uid="{00DA4171-04BB-447B-971C-92B076985FE0}"/>
    <cellStyle name="Normal 4 6 2 3 4 3" xfId="6011" xr:uid="{00000000-0005-0000-0000-000038160000}"/>
    <cellStyle name="Normal 4 6 2 3 4 3 2" xfId="15337" xr:uid="{C95EF6C6-A487-4420-96F3-E18C58BABEA9}"/>
    <cellStyle name="Normal 4 6 2 3 4 4" xfId="11120" xr:uid="{B3762D57-163A-460A-B17B-2DE2CB9B92DF}"/>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95" xr:uid="{AB9D6726-4540-499D-A77E-28118B68602E}"/>
    <cellStyle name="Normal 4 6 2 3 5 2 3" xfId="13678" xr:uid="{2D3E353B-7057-4BEA-8A40-9F078BADE869}"/>
    <cellStyle name="Normal 4 6 2 3 5 3" xfId="6424" xr:uid="{00000000-0005-0000-0000-00003C160000}"/>
    <cellStyle name="Normal 4 6 2 3 5 3 2" xfId="15750" xr:uid="{6C28D6F9-A0B2-4006-958F-F0F2FBC0F476}"/>
    <cellStyle name="Normal 4 6 2 3 5 4" xfId="11533" xr:uid="{D7848211-0296-4EE7-A214-30F797F77997}"/>
    <cellStyle name="Normal 4 6 2 3 6" xfId="2554" xr:uid="{00000000-0005-0000-0000-00003D160000}"/>
    <cellStyle name="Normal 4 6 2 3 6 2" xfId="6837" xr:uid="{00000000-0005-0000-0000-00003E160000}"/>
    <cellStyle name="Normal 4 6 2 3 6 2 2" xfId="16163" xr:uid="{40DBA6EC-5DCC-4049-A2C3-50C6A73B3130}"/>
    <cellStyle name="Normal 4 6 2 3 6 3" xfId="11946" xr:uid="{966F1C9E-40D8-4AD9-BF48-9709EC8CE95B}"/>
    <cellStyle name="Normal 4 6 2 3 7" xfId="4772" xr:uid="{00000000-0005-0000-0000-00003F160000}"/>
    <cellStyle name="Normal 4 6 2 3 7 2" xfId="14098" xr:uid="{42E534B5-DF89-49B9-9E66-22E7B48F862B}"/>
    <cellStyle name="Normal 4 6 2 3 8" xfId="9032" xr:uid="{576A1DC5-5971-4772-803F-0A60F80D4C41}"/>
    <cellStyle name="Normal 4 6 2 3 8 2" xfId="18356" xr:uid="{41358E05-F9C0-4968-B1FD-148F1BBF8197}"/>
    <cellStyle name="Normal 4 6 2 3 9" xfId="9881" xr:uid="{C54DCE8D-2ED4-4506-B910-78DEB8AA103F}"/>
    <cellStyle name="Normal 4 6 2 4" xfId="870" xr:uid="{00000000-0005-0000-0000-000040160000}"/>
    <cellStyle name="Normal 4 6 2 4 2" xfId="3105" xr:uid="{00000000-0005-0000-0000-000041160000}"/>
    <cellStyle name="Normal 4 6 2 4 2 2" xfId="7327" xr:uid="{00000000-0005-0000-0000-000042160000}"/>
    <cellStyle name="Normal 4 6 2 4 2 2 2" xfId="16653" xr:uid="{DF5806B9-24E9-494C-A801-128F8952CC7F}"/>
    <cellStyle name="Normal 4 6 2 4 2 3" xfId="12436" xr:uid="{ECE18B4B-E682-4A5B-979A-BFEF42F49BE3}"/>
    <cellStyle name="Normal 4 6 2 4 3" xfId="5182" xr:uid="{00000000-0005-0000-0000-000043160000}"/>
    <cellStyle name="Normal 4 6 2 4 3 2" xfId="14508" xr:uid="{1960DBD7-BF82-47E3-87C4-0321197FD1CB}"/>
    <cellStyle name="Normal 4 6 2 4 4" xfId="9250" xr:uid="{CBBC9A51-5203-4C00-93C7-FE7C973DCDD1}"/>
    <cellStyle name="Normal 4 6 2 4 4 2" xfId="18565" xr:uid="{7E0A3AB2-5EF6-484A-AB17-D17CD489C4D3}"/>
    <cellStyle name="Normal 4 6 2 4 5" xfId="10291" xr:uid="{1A516DEB-A54A-484F-A5E6-BA90E8A8E4C5}"/>
    <cellStyle name="Normal 4 6 2 5" xfId="1288" xr:uid="{00000000-0005-0000-0000-000044160000}"/>
    <cellStyle name="Normal 4 6 2 5 2" xfId="3518" xr:uid="{00000000-0005-0000-0000-000045160000}"/>
    <cellStyle name="Normal 4 6 2 5 2 2" xfId="7740" xr:uid="{00000000-0005-0000-0000-000046160000}"/>
    <cellStyle name="Normal 4 6 2 5 2 2 2" xfId="17066" xr:uid="{7F31DD72-3BF7-42CC-BBB4-CBEAA045BF4C}"/>
    <cellStyle name="Normal 4 6 2 5 2 3" xfId="12849" xr:uid="{0F54905B-30EF-4F68-BBBF-1C9687F01B24}"/>
    <cellStyle name="Normal 4 6 2 5 3" xfId="5595" xr:uid="{00000000-0005-0000-0000-000047160000}"/>
    <cellStyle name="Normal 4 6 2 5 3 2" xfId="14921" xr:uid="{888A41D0-4C4F-4CD8-A7E8-8B9F837A4EDB}"/>
    <cellStyle name="Normal 4 6 2 5 4" xfId="10704" xr:uid="{E88AC95E-2A31-42F1-BB21-00091E728521}"/>
    <cellStyle name="Normal 4 6 2 6" xfId="1701" xr:uid="{00000000-0005-0000-0000-000048160000}"/>
    <cellStyle name="Normal 4 6 2 6 2" xfId="3931" xr:uid="{00000000-0005-0000-0000-000049160000}"/>
    <cellStyle name="Normal 4 6 2 6 2 2" xfId="8153" xr:uid="{00000000-0005-0000-0000-00004A160000}"/>
    <cellStyle name="Normal 4 6 2 6 2 2 2" xfId="17479" xr:uid="{EED01B3A-42A8-47E0-BF16-CDDD5E739891}"/>
    <cellStyle name="Normal 4 6 2 6 2 3" xfId="13262" xr:uid="{1FE4E27A-FBD0-4BC2-AE1C-3DC56F70ED26}"/>
    <cellStyle name="Normal 4 6 2 6 3" xfId="6008" xr:uid="{00000000-0005-0000-0000-00004B160000}"/>
    <cellStyle name="Normal 4 6 2 6 3 2" xfId="15334" xr:uid="{37C12C58-A40B-403F-8D10-71718B2ABD4A}"/>
    <cellStyle name="Normal 4 6 2 6 4" xfId="11117" xr:uid="{AB643803-F285-4106-ADE7-F59F107FB6D4}"/>
    <cellStyle name="Normal 4 6 2 7" xfId="2115" xr:uid="{00000000-0005-0000-0000-00004C160000}"/>
    <cellStyle name="Normal 4 6 2 7 2" xfId="4344" xr:uid="{00000000-0005-0000-0000-00004D160000}"/>
    <cellStyle name="Normal 4 6 2 7 2 2" xfId="8566" xr:uid="{00000000-0005-0000-0000-00004E160000}"/>
    <cellStyle name="Normal 4 6 2 7 2 2 2" xfId="17892" xr:uid="{06406BDC-BECD-424C-B88F-E10EF6BDB115}"/>
    <cellStyle name="Normal 4 6 2 7 2 3" xfId="13675" xr:uid="{C8361F0F-97D0-4DF9-8909-6286D940F622}"/>
    <cellStyle name="Normal 4 6 2 7 3" xfId="6421" xr:uid="{00000000-0005-0000-0000-00004F160000}"/>
    <cellStyle name="Normal 4 6 2 7 3 2" xfId="15747" xr:uid="{EAD8ED5D-5822-4BE2-B473-467EBEDE069B}"/>
    <cellStyle name="Normal 4 6 2 7 4" xfId="11530" xr:uid="{32DD0D8E-AB33-4668-827A-A75A91D52D9D}"/>
    <cellStyle name="Normal 4 6 2 8" xfId="2551" xr:uid="{00000000-0005-0000-0000-000050160000}"/>
    <cellStyle name="Normal 4 6 2 8 2" xfId="6834" xr:uid="{00000000-0005-0000-0000-000051160000}"/>
    <cellStyle name="Normal 4 6 2 8 2 2" xfId="16160" xr:uid="{3259FB83-8BAA-490D-8D43-7D1D3BB5C5EB}"/>
    <cellStyle name="Normal 4 6 2 8 3" xfId="11943" xr:uid="{36C15B93-8B1D-45BC-8164-6C00EAE6C2AC}"/>
    <cellStyle name="Normal 4 6 2 9" xfId="4769" xr:uid="{00000000-0005-0000-0000-000052160000}"/>
    <cellStyle name="Normal 4 6 2 9 2" xfId="14095" xr:uid="{0A669580-E6F7-4E71-9155-01FDC615FF75}"/>
    <cellStyle name="Normal 4 6 3" xfId="400" xr:uid="{00000000-0005-0000-0000-000053160000}"/>
    <cellStyle name="Normal 4 6 3 10" xfId="9882" xr:uid="{FC8722EF-7979-459A-B1DA-369AE6E33A4A}"/>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58" xr:uid="{AD11FD0B-09D0-4991-A687-E09F2FA7ACF6}"/>
    <cellStyle name="Normal 4 6 3 2 2 2 3" xfId="12441" xr:uid="{25C20A8F-5632-45B4-B96F-5889EC739AA9}"/>
    <cellStyle name="Normal 4 6 3 2 2 3" xfId="5187" xr:uid="{00000000-0005-0000-0000-000058160000}"/>
    <cellStyle name="Normal 4 6 3 2 2 3 2" xfId="14513" xr:uid="{5DFEA8C4-CD22-4825-AF19-AE2677DEBD81}"/>
    <cellStyle name="Normal 4 6 3 2 2 4" xfId="9507" xr:uid="{63E4C3EA-8BE6-4CDE-9E44-1D64049D4CF5}"/>
    <cellStyle name="Normal 4 6 3 2 2 4 2" xfId="18822" xr:uid="{D226E08A-119F-4000-942F-B44C2485AB03}"/>
    <cellStyle name="Normal 4 6 3 2 2 5" xfId="10296" xr:uid="{6F021DF9-7311-4ACC-81F5-26C3C6C402E4}"/>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71" xr:uid="{BB8FA70B-CB5A-41A3-8B3B-08C14BCF11F9}"/>
    <cellStyle name="Normal 4 6 3 2 3 2 3" xfId="12854" xr:uid="{03395689-C9C3-47DD-8110-B99D2E9117EF}"/>
    <cellStyle name="Normal 4 6 3 2 3 3" xfId="5600" xr:uid="{00000000-0005-0000-0000-00005C160000}"/>
    <cellStyle name="Normal 4 6 3 2 3 3 2" xfId="14926" xr:uid="{F8A1AB77-B671-4E3F-AE6E-F281930490BC}"/>
    <cellStyle name="Normal 4 6 3 2 3 4" xfId="10709" xr:uid="{8D7B87B8-F22E-4B20-B651-FBFC341DFFDC}"/>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84" xr:uid="{EF373151-F37E-4458-B6EE-F39D75F129F7}"/>
    <cellStyle name="Normal 4 6 3 2 4 2 3" xfId="13267" xr:uid="{E9527B31-11F4-438D-A2C6-DAD0FFD35672}"/>
    <cellStyle name="Normal 4 6 3 2 4 3" xfId="6013" xr:uid="{00000000-0005-0000-0000-000060160000}"/>
    <cellStyle name="Normal 4 6 3 2 4 3 2" xfId="15339" xr:uid="{6D60C57A-7EE0-4527-9E21-BCE21ED6B024}"/>
    <cellStyle name="Normal 4 6 3 2 4 4" xfId="11122" xr:uid="{7D4E8DA0-AC61-45F2-8753-3720817BADA9}"/>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97" xr:uid="{16ECC226-F928-428F-AB28-814F9FEAD4F0}"/>
    <cellStyle name="Normal 4 6 3 2 5 2 3" xfId="13680" xr:uid="{49EEAFEE-C84B-4F2C-B16E-C93FF3FC5A22}"/>
    <cellStyle name="Normal 4 6 3 2 5 3" xfId="6426" xr:uid="{00000000-0005-0000-0000-000064160000}"/>
    <cellStyle name="Normal 4 6 3 2 5 3 2" xfId="15752" xr:uid="{F0ED006D-755A-49F0-931C-73DBD73A62CA}"/>
    <cellStyle name="Normal 4 6 3 2 5 4" xfId="11535" xr:uid="{2D8A06B9-764A-4BCF-AF0E-448A38A515FD}"/>
    <cellStyle name="Normal 4 6 3 2 6" xfId="2556" xr:uid="{00000000-0005-0000-0000-000065160000}"/>
    <cellStyle name="Normal 4 6 3 2 6 2" xfId="6839" xr:uid="{00000000-0005-0000-0000-000066160000}"/>
    <cellStyle name="Normal 4 6 3 2 6 2 2" xfId="16165" xr:uid="{249BF008-322A-403B-AFE7-937786698884}"/>
    <cellStyle name="Normal 4 6 3 2 6 3" xfId="11948" xr:uid="{C349E72E-7086-4101-8B4C-BFF0272C3C31}"/>
    <cellStyle name="Normal 4 6 3 2 7" xfId="4774" xr:uid="{00000000-0005-0000-0000-000067160000}"/>
    <cellStyle name="Normal 4 6 3 2 7 2" xfId="14100" xr:uid="{8F8E8E5A-8A38-4DC8-8190-2FEB14871FB0}"/>
    <cellStyle name="Normal 4 6 3 2 8" xfId="9082" xr:uid="{B272D1AE-3713-4AD0-AE3F-D1A7344AD432}"/>
    <cellStyle name="Normal 4 6 3 2 8 2" xfId="18406" xr:uid="{ECCAA956-DBBB-4913-A985-36927A71F7B7}"/>
    <cellStyle name="Normal 4 6 3 2 9" xfId="9883" xr:uid="{CDA10834-6167-43E7-A452-4FBCF6686843}"/>
    <cellStyle name="Normal 4 6 3 3" xfId="874" xr:uid="{00000000-0005-0000-0000-000068160000}"/>
    <cellStyle name="Normal 4 6 3 3 2" xfId="3109" xr:uid="{00000000-0005-0000-0000-000069160000}"/>
    <cellStyle name="Normal 4 6 3 3 2 2" xfId="7331" xr:uid="{00000000-0005-0000-0000-00006A160000}"/>
    <cellStyle name="Normal 4 6 3 3 2 2 2" xfId="16657" xr:uid="{BA9D676F-5B0C-41F3-875F-620C20A38801}"/>
    <cellStyle name="Normal 4 6 3 3 2 3" xfId="12440" xr:uid="{D72A9D7C-DF06-4358-93D2-EA830A0BF455}"/>
    <cellStyle name="Normal 4 6 3 3 3" xfId="5186" xr:uid="{00000000-0005-0000-0000-00006B160000}"/>
    <cellStyle name="Normal 4 6 3 3 3 2" xfId="14512" xr:uid="{02AF6098-1E40-4E07-9126-7485CAEF05AB}"/>
    <cellStyle name="Normal 4 6 3 3 4" xfId="9300" xr:uid="{955A2E97-C871-4115-A4F5-A642AE2D2C4B}"/>
    <cellStyle name="Normal 4 6 3 3 4 2" xfId="18615" xr:uid="{3B16B8E1-61C7-4954-A933-72EC3AE49E33}"/>
    <cellStyle name="Normal 4 6 3 3 5" xfId="10295" xr:uid="{B13D2D10-F371-495D-8768-62D4EEBAD0B0}"/>
    <cellStyle name="Normal 4 6 3 4" xfId="1292" xr:uid="{00000000-0005-0000-0000-00006C160000}"/>
    <cellStyle name="Normal 4 6 3 4 2" xfId="3522" xr:uid="{00000000-0005-0000-0000-00006D160000}"/>
    <cellStyle name="Normal 4 6 3 4 2 2" xfId="7744" xr:uid="{00000000-0005-0000-0000-00006E160000}"/>
    <cellStyle name="Normal 4 6 3 4 2 2 2" xfId="17070" xr:uid="{470B1BA2-84F4-4F21-9D7C-44E49CAFD476}"/>
    <cellStyle name="Normal 4 6 3 4 2 3" xfId="12853" xr:uid="{A6DEED07-0082-4282-8A97-5AAF74AC1EB5}"/>
    <cellStyle name="Normal 4 6 3 4 3" xfId="5599" xr:uid="{00000000-0005-0000-0000-00006F160000}"/>
    <cellStyle name="Normal 4 6 3 4 3 2" xfId="14925" xr:uid="{95FE59AB-401A-483E-B650-97E61EA25456}"/>
    <cellStyle name="Normal 4 6 3 4 4" xfId="10708" xr:uid="{DDCD0330-4C61-4A70-9B06-68DDF4E06657}"/>
    <cellStyle name="Normal 4 6 3 5" xfId="1705" xr:uid="{00000000-0005-0000-0000-000070160000}"/>
    <cellStyle name="Normal 4 6 3 5 2" xfId="3935" xr:uid="{00000000-0005-0000-0000-000071160000}"/>
    <cellStyle name="Normal 4 6 3 5 2 2" xfId="8157" xr:uid="{00000000-0005-0000-0000-000072160000}"/>
    <cellStyle name="Normal 4 6 3 5 2 2 2" xfId="17483" xr:uid="{E51285B5-E6D2-45B3-ABBF-89A3166FFD69}"/>
    <cellStyle name="Normal 4 6 3 5 2 3" xfId="13266" xr:uid="{A38DB6D4-9003-46A5-92DB-472393E42549}"/>
    <cellStyle name="Normal 4 6 3 5 3" xfId="6012" xr:uid="{00000000-0005-0000-0000-000073160000}"/>
    <cellStyle name="Normal 4 6 3 5 3 2" xfId="15338" xr:uid="{02F74ACB-BB12-4145-8671-944EE8F3CE72}"/>
    <cellStyle name="Normal 4 6 3 5 4" xfId="11121" xr:uid="{9A0B6127-BF6E-4B4F-9AD2-A9ABF4C9544F}"/>
    <cellStyle name="Normal 4 6 3 6" xfId="2119" xr:uid="{00000000-0005-0000-0000-000074160000}"/>
    <cellStyle name="Normal 4 6 3 6 2" xfId="4348" xr:uid="{00000000-0005-0000-0000-000075160000}"/>
    <cellStyle name="Normal 4 6 3 6 2 2" xfId="8570" xr:uid="{00000000-0005-0000-0000-000076160000}"/>
    <cellStyle name="Normal 4 6 3 6 2 2 2" xfId="17896" xr:uid="{69D8C959-55FC-423B-89BE-66568F32439B}"/>
    <cellStyle name="Normal 4 6 3 6 2 3" xfId="13679" xr:uid="{F223444F-50EB-4EE7-845D-135CE830ED3D}"/>
    <cellStyle name="Normal 4 6 3 6 3" xfId="6425" xr:uid="{00000000-0005-0000-0000-000077160000}"/>
    <cellStyle name="Normal 4 6 3 6 3 2" xfId="15751" xr:uid="{88E43EB8-87D0-4509-848B-357E4BCE9A31}"/>
    <cellStyle name="Normal 4 6 3 6 4" xfId="11534" xr:uid="{DA8E71D2-BCA3-4898-B5B2-0C6CC1F2F79D}"/>
    <cellStyle name="Normal 4 6 3 7" xfId="2555" xr:uid="{00000000-0005-0000-0000-000078160000}"/>
    <cellStyle name="Normal 4 6 3 7 2" xfId="6838" xr:uid="{00000000-0005-0000-0000-000079160000}"/>
    <cellStyle name="Normal 4 6 3 7 2 2" xfId="16164" xr:uid="{B5A82AC0-D9B1-406D-92AE-85AFFE7C1BD6}"/>
    <cellStyle name="Normal 4 6 3 7 3" xfId="11947" xr:uid="{C6ED4A12-DCAF-408C-BF33-1DFAE92DEAB7}"/>
    <cellStyle name="Normal 4 6 3 8" xfId="4773" xr:uid="{00000000-0005-0000-0000-00007A160000}"/>
    <cellStyle name="Normal 4 6 3 8 2" xfId="14099" xr:uid="{8E5B56BE-8887-480F-97B7-C966417D2354}"/>
    <cellStyle name="Normal 4 6 3 9" xfId="8875" xr:uid="{DFD24C28-B729-444D-A0F6-B5522ED354D5}"/>
    <cellStyle name="Normal 4 6 3 9 2" xfId="18199" xr:uid="{B4FAC558-D3D6-47D9-8C3D-4A5926D816FC}"/>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6659" xr:uid="{F04CDC4A-4F53-404C-8A2B-1D9276EB5B2E}"/>
    <cellStyle name="Normal 4 6 4 2 2 3" xfId="12442" xr:uid="{FECA5067-E3E6-4D02-8EA9-2C90ED42C54C}"/>
    <cellStyle name="Normal 4 6 4 2 3" xfId="5188" xr:uid="{00000000-0005-0000-0000-00007F160000}"/>
    <cellStyle name="Normal 4 6 4 2 3 2" xfId="14514" xr:uid="{B909E909-6CF6-499C-A5EC-6A3BF92ACF08}"/>
    <cellStyle name="Normal 4 6 4 2 4" xfId="9404" xr:uid="{D1BAB6D6-35EF-4C34-91EA-2EB17352CDF9}"/>
    <cellStyle name="Normal 4 6 4 2 4 2" xfId="18719" xr:uid="{4BF3909B-72E1-4DE8-9420-05855D883AC8}"/>
    <cellStyle name="Normal 4 6 4 2 5" xfId="10297" xr:uid="{F166933A-8779-4B99-BAD6-52F1C73E8732}"/>
    <cellStyle name="Normal 4 6 4 3" xfId="1294" xr:uid="{00000000-0005-0000-0000-000080160000}"/>
    <cellStyle name="Normal 4 6 4 3 2" xfId="3524" xr:uid="{00000000-0005-0000-0000-000081160000}"/>
    <cellStyle name="Normal 4 6 4 3 2 2" xfId="7746" xr:uid="{00000000-0005-0000-0000-000082160000}"/>
    <cellStyle name="Normal 4 6 4 3 2 2 2" xfId="17072" xr:uid="{CFD20843-AD3E-46B6-8F9A-620373D0D73B}"/>
    <cellStyle name="Normal 4 6 4 3 2 3" xfId="12855" xr:uid="{D639E37D-E13F-48A6-8E06-D01390852F90}"/>
    <cellStyle name="Normal 4 6 4 3 3" xfId="5601" xr:uid="{00000000-0005-0000-0000-000083160000}"/>
    <cellStyle name="Normal 4 6 4 3 3 2" xfId="14927" xr:uid="{DAC4F499-CDBE-4203-ABBA-400ED1287CF6}"/>
    <cellStyle name="Normal 4 6 4 3 4" xfId="10710" xr:uid="{AD7E0F6A-9C6C-4367-83DC-821FFCE56FB9}"/>
    <cellStyle name="Normal 4 6 4 4" xfId="1707" xr:uid="{00000000-0005-0000-0000-000084160000}"/>
    <cellStyle name="Normal 4 6 4 4 2" xfId="3937" xr:uid="{00000000-0005-0000-0000-000085160000}"/>
    <cellStyle name="Normal 4 6 4 4 2 2" xfId="8159" xr:uid="{00000000-0005-0000-0000-000086160000}"/>
    <cellStyle name="Normal 4 6 4 4 2 2 2" xfId="17485" xr:uid="{3AE88FD3-47C3-4717-BBA9-94CE649EDF89}"/>
    <cellStyle name="Normal 4 6 4 4 2 3" xfId="13268" xr:uid="{8C92D43E-19D1-4F45-AA14-702683C61C3A}"/>
    <cellStyle name="Normal 4 6 4 4 3" xfId="6014" xr:uid="{00000000-0005-0000-0000-000087160000}"/>
    <cellStyle name="Normal 4 6 4 4 3 2" xfId="15340" xr:uid="{B25FE82E-0AC5-4E0D-8179-643DC08D22A5}"/>
    <cellStyle name="Normal 4 6 4 4 4" xfId="11123" xr:uid="{0483CE56-DA51-4358-89B5-6A101198A02E}"/>
    <cellStyle name="Normal 4 6 4 5" xfId="2121" xr:uid="{00000000-0005-0000-0000-000088160000}"/>
    <cellStyle name="Normal 4 6 4 5 2" xfId="4350" xr:uid="{00000000-0005-0000-0000-000089160000}"/>
    <cellStyle name="Normal 4 6 4 5 2 2" xfId="8572" xr:uid="{00000000-0005-0000-0000-00008A160000}"/>
    <cellStyle name="Normal 4 6 4 5 2 2 2" xfId="17898" xr:uid="{4FD764D1-948B-4772-A130-20826806D88F}"/>
    <cellStyle name="Normal 4 6 4 5 2 3" xfId="13681" xr:uid="{65DCF26E-5F4D-41F0-9CF7-173894BFD59C}"/>
    <cellStyle name="Normal 4 6 4 5 3" xfId="6427" xr:uid="{00000000-0005-0000-0000-00008B160000}"/>
    <cellStyle name="Normal 4 6 4 5 3 2" xfId="15753" xr:uid="{D51477F1-C4C8-47F8-9479-2EDFE9500C23}"/>
    <cellStyle name="Normal 4 6 4 5 4" xfId="11536" xr:uid="{7261DFE6-69DA-465B-8732-7F4352F3EE7A}"/>
    <cellStyle name="Normal 4 6 4 6" xfId="2557" xr:uid="{00000000-0005-0000-0000-00008C160000}"/>
    <cellStyle name="Normal 4 6 4 6 2" xfId="6840" xr:uid="{00000000-0005-0000-0000-00008D160000}"/>
    <cellStyle name="Normal 4 6 4 6 2 2" xfId="16166" xr:uid="{37DD3B8A-E3A6-4B4B-8660-B2BED7E06934}"/>
    <cellStyle name="Normal 4 6 4 6 3" xfId="11949" xr:uid="{B824B2C5-E619-4168-9A45-7DEDABB9E465}"/>
    <cellStyle name="Normal 4 6 4 7" xfId="4775" xr:uid="{00000000-0005-0000-0000-00008E160000}"/>
    <cellStyle name="Normal 4 6 4 7 2" xfId="14101" xr:uid="{32412A4E-A51F-44C0-A44B-A670F5E68E12}"/>
    <cellStyle name="Normal 4 6 4 8" xfId="8979" xr:uid="{358D1440-F461-4509-8416-8F78F7D13FF4}"/>
    <cellStyle name="Normal 4 6 4 8 2" xfId="18303" xr:uid="{7FB5712E-1961-4520-B9CF-2260EE8DA3CB}"/>
    <cellStyle name="Normal 4 6 4 9" xfId="9884" xr:uid="{22ADE7C5-5EF4-4717-A266-498D36246522}"/>
    <cellStyle name="Normal 4 6 5" xfId="869" xr:uid="{00000000-0005-0000-0000-00008F160000}"/>
    <cellStyle name="Normal 4 6 5 2" xfId="3104" xr:uid="{00000000-0005-0000-0000-000090160000}"/>
    <cellStyle name="Normal 4 6 5 2 2" xfId="7326" xr:uid="{00000000-0005-0000-0000-000091160000}"/>
    <cellStyle name="Normal 4 6 5 2 2 2" xfId="16652" xr:uid="{77A810CB-3FD6-4456-9CFD-F44C3FB06E23}"/>
    <cellStyle name="Normal 4 6 5 2 3" xfId="12435" xr:uid="{7817338F-7068-4213-9AD9-CDB75722DBB8}"/>
    <cellStyle name="Normal 4 6 5 3" xfId="5181" xr:uid="{00000000-0005-0000-0000-000092160000}"/>
    <cellStyle name="Normal 4 6 5 3 2" xfId="14507" xr:uid="{5D9B0463-2733-4B4D-9317-2AD0CF4A2A73}"/>
    <cellStyle name="Normal 4 6 5 4" xfId="9196" xr:uid="{8DF5D81E-BEC3-4373-A99C-2D9CDEEBBA3C}"/>
    <cellStyle name="Normal 4 6 5 4 2" xfId="18512" xr:uid="{8A478FA3-CD59-4CAF-ACF2-0708041B1EAB}"/>
    <cellStyle name="Normal 4 6 5 5" xfId="10290" xr:uid="{A33250BF-2DDC-42A9-A15D-3DA40D7D65A8}"/>
    <cellStyle name="Normal 4 6 6" xfId="1287" xr:uid="{00000000-0005-0000-0000-000093160000}"/>
    <cellStyle name="Normal 4 6 6 2" xfId="3517" xr:uid="{00000000-0005-0000-0000-000094160000}"/>
    <cellStyle name="Normal 4 6 6 2 2" xfId="7739" xr:uid="{00000000-0005-0000-0000-000095160000}"/>
    <cellStyle name="Normal 4 6 6 2 2 2" xfId="17065" xr:uid="{A0173900-E78B-43A7-9CF1-58FD06D8C196}"/>
    <cellStyle name="Normal 4 6 6 2 3" xfId="12848" xr:uid="{1F7DBF3E-CDD6-4DDF-BEC9-576C53B0FB90}"/>
    <cellStyle name="Normal 4 6 6 3" xfId="5594" xr:uid="{00000000-0005-0000-0000-000096160000}"/>
    <cellStyle name="Normal 4 6 6 3 2" xfId="14920" xr:uid="{E0EF6CE3-5603-42E2-B2E7-B396312EC4D2}"/>
    <cellStyle name="Normal 4 6 6 4" xfId="10703" xr:uid="{B7601184-AED5-40F9-9EBF-A36FA136DCB4}"/>
    <cellStyle name="Normal 4 6 7" xfId="1700" xr:uid="{00000000-0005-0000-0000-000097160000}"/>
    <cellStyle name="Normal 4 6 7 2" xfId="3930" xr:uid="{00000000-0005-0000-0000-000098160000}"/>
    <cellStyle name="Normal 4 6 7 2 2" xfId="8152" xr:uid="{00000000-0005-0000-0000-000099160000}"/>
    <cellStyle name="Normal 4 6 7 2 2 2" xfId="17478" xr:uid="{33C26DC9-A740-42D6-AB09-F45B3EA2F5A1}"/>
    <cellStyle name="Normal 4 6 7 2 3" xfId="13261" xr:uid="{76E74825-64DE-4C68-AE38-69325A9A7FE0}"/>
    <cellStyle name="Normal 4 6 7 3" xfId="6007" xr:uid="{00000000-0005-0000-0000-00009A160000}"/>
    <cellStyle name="Normal 4 6 7 3 2" xfId="15333" xr:uid="{303E4E0E-04F4-49CB-B702-E09EE476A40A}"/>
    <cellStyle name="Normal 4 6 7 4" xfId="11116" xr:uid="{1809B5BA-363D-4E88-BF42-71050A92460E}"/>
    <cellStyle name="Normal 4 6 8" xfId="2114" xr:uid="{00000000-0005-0000-0000-00009B160000}"/>
    <cellStyle name="Normal 4 6 8 2" xfId="4343" xr:uid="{00000000-0005-0000-0000-00009C160000}"/>
    <cellStyle name="Normal 4 6 8 2 2" xfId="8565" xr:uid="{00000000-0005-0000-0000-00009D160000}"/>
    <cellStyle name="Normal 4 6 8 2 2 2" xfId="17891" xr:uid="{1916DE89-ABA8-4262-AA12-56D77854B178}"/>
    <cellStyle name="Normal 4 6 8 2 3" xfId="13674" xr:uid="{79F35EF8-BD31-45EB-84D9-595FB3EC112E}"/>
    <cellStyle name="Normal 4 6 8 3" xfId="6420" xr:uid="{00000000-0005-0000-0000-00009E160000}"/>
    <cellStyle name="Normal 4 6 8 3 2" xfId="15746" xr:uid="{07CBB068-8DF0-4C40-853C-11753D782A3D}"/>
    <cellStyle name="Normal 4 6 8 4" xfId="11529" xr:uid="{A9909A8F-E828-4721-9635-A382E86A7656}"/>
    <cellStyle name="Normal 4 6 9" xfId="2550" xr:uid="{00000000-0005-0000-0000-00009F160000}"/>
    <cellStyle name="Normal 4 6 9 2" xfId="6833" xr:uid="{00000000-0005-0000-0000-0000A0160000}"/>
    <cellStyle name="Normal 4 6 9 2 2" xfId="16159" xr:uid="{4226BD77-FEFD-474E-A99C-605DED9E7BB8}"/>
    <cellStyle name="Normal 4 6 9 3" xfId="11942" xr:uid="{5D47F5C9-9C51-4706-9C2F-561AE86EAF93}"/>
    <cellStyle name="Normal 4 7" xfId="403" xr:uid="{00000000-0005-0000-0000-0000A1160000}"/>
    <cellStyle name="Normal 4 7 10" xfId="9885" xr:uid="{9407A040-9121-4DCF-92A4-CCF9C8015ED8}"/>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6661" xr:uid="{65329A87-1CD0-4FCE-9FBA-A43BB294FB8B}"/>
    <cellStyle name="Normal 4 7 2 2 2 3" xfId="12444" xr:uid="{DEE87F2C-E7EC-41BE-B987-B14EEE4A07C3}"/>
    <cellStyle name="Normal 4 7 2 2 3" xfId="5190" xr:uid="{00000000-0005-0000-0000-0000A6160000}"/>
    <cellStyle name="Normal 4 7 2 2 3 2" xfId="14516" xr:uid="{4B9C554B-515C-4622-92E3-551324429EE4}"/>
    <cellStyle name="Normal 4 7 2 2 4" xfId="9475" xr:uid="{1E309EF6-7D7C-4A4D-B2F1-E00D0CF6E167}"/>
    <cellStyle name="Normal 4 7 2 2 4 2" xfId="18790" xr:uid="{394B6CEB-CCEC-4786-ACE3-19FD123037F1}"/>
    <cellStyle name="Normal 4 7 2 2 5" xfId="10299" xr:uid="{821C54C2-CE3A-441A-A88F-2672471E7B7C}"/>
    <cellStyle name="Normal 4 7 2 3" xfId="1296" xr:uid="{00000000-0005-0000-0000-0000A7160000}"/>
    <cellStyle name="Normal 4 7 2 3 2" xfId="3526" xr:uid="{00000000-0005-0000-0000-0000A8160000}"/>
    <cellStyle name="Normal 4 7 2 3 2 2" xfId="7748" xr:uid="{00000000-0005-0000-0000-0000A9160000}"/>
    <cellStyle name="Normal 4 7 2 3 2 2 2" xfId="17074" xr:uid="{A85E102D-648B-4D8E-8E6C-BD4DDFD8BADB}"/>
    <cellStyle name="Normal 4 7 2 3 2 3" xfId="12857" xr:uid="{F9DE207C-031B-4A6C-86C7-EDF2AD8920C5}"/>
    <cellStyle name="Normal 4 7 2 3 3" xfId="5603" xr:uid="{00000000-0005-0000-0000-0000AA160000}"/>
    <cellStyle name="Normal 4 7 2 3 3 2" xfId="14929" xr:uid="{ED8D19B4-27A1-4278-8E8E-541BEEE0811A}"/>
    <cellStyle name="Normal 4 7 2 3 4" xfId="10712" xr:uid="{EBFF3237-C682-4E4F-A0BF-7C160C05EF5C}"/>
    <cellStyle name="Normal 4 7 2 4" xfId="1709" xr:uid="{00000000-0005-0000-0000-0000AB160000}"/>
    <cellStyle name="Normal 4 7 2 4 2" xfId="3939" xr:uid="{00000000-0005-0000-0000-0000AC160000}"/>
    <cellStyle name="Normal 4 7 2 4 2 2" xfId="8161" xr:uid="{00000000-0005-0000-0000-0000AD160000}"/>
    <cellStyle name="Normal 4 7 2 4 2 2 2" xfId="17487" xr:uid="{A8458E51-483D-4DB6-8286-062B922E0A1E}"/>
    <cellStyle name="Normal 4 7 2 4 2 3" xfId="13270" xr:uid="{452B52A6-FB8F-4C49-8F69-331FA4A90A28}"/>
    <cellStyle name="Normal 4 7 2 4 3" xfId="6016" xr:uid="{00000000-0005-0000-0000-0000AE160000}"/>
    <cellStyle name="Normal 4 7 2 4 3 2" xfId="15342" xr:uid="{5F148D9C-98B4-4632-88D0-395E9CE45736}"/>
    <cellStyle name="Normal 4 7 2 4 4" xfId="11125" xr:uid="{2A565469-F986-40F9-930C-C971223D4AD2}"/>
    <cellStyle name="Normal 4 7 2 5" xfId="2123" xr:uid="{00000000-0005-0000-0000-0000AF160000}"/>
    <cellStyle name="Normal 4 7 2 5 2" xfId="4352" xr:uid="{00000000-0005-0000-0000-0000B0160000}"/>
    <cellStyle name="Normal 4 7 2 5 2 2" xfId="8574" xr:uid="{00000000-0005-0000-0000-0000B1160000}"/>
    <cellStyle name="Normal 4 7 2 5 2 2 2" xfId="17900" xr:uid="{24D04336-694F-4A8E-BB04-374C3E3CF0E9}"/>
    <cellStyle name="Normal 4 7 2 5 2 3" xfId="13683" xr:uid="{4C6BA27C-40B6-4895-9B65-16CA9ED749A4}"/>
    <cellStyle name="Normal 4 7 2 5 3" xfId="6429" xr:uid="{00000000-0005-0000-0000-0000B2160000}"/>
    <cellStyle name="Normal 4 7 2 5 3 2" xfId="15755" xr:uid="{06710E3D-560D-4112-BDCC-3D2441094297}"/>
    <cellStyle name="Normal 4 7 2 5 4" xfId="11538" xr:uid="{B80B1958-50C7-4DA6-9812-7D4918F8827C}"/>
    <cellStyle name="Normal 4 7 2 6" xfId="2559" xr:uid="{00000000-0005-0000-0000-0000B3160000}"/>
    <cellStyle name="Normal 4 7 2 6 2" xfId="6842" xr:uid="{00000000-0005-0000-0000-0000B4160000}"/>
    <cellStyle name="Normal 4 7 2 6 2 2" xfId="16168" xr:uid="{60CBE10B-A1AB-4C7E-A276-5BF83EDCA72B}"/>
    <cellStyle name="Normal 4 7 2 6 3" xfId="11951" xr:uid="{3822FA97-6F79-46FD-AD55-5A6A75BB22C3}"/>
    <cellStyle name="Normal 4 7 2 7" xfId="4777" xr:uid="{00000000-0005-0000-0000-0000B5160000}"/>
    <cellStyle name="Normal 4 7 2 7 2" xfId="14103" xr:uid="{DD036631-4888-4E2D-949D-F585E1C4BAF4}"/>
    <cellStyle name="Normal 4 7 2 8" xfId="9050" xr:uid="{C18A0BCD-6C40-47C4-AC72-E06914F008F6}"/>
    <cellStyle name="Normal 4 7 2 8 2" xfId="18374" xr:uid="{F401D25B-9C24-4DEA-ABD0-6EE8434C6BD4}"/>
    <cellStyle name="Normal 4 7 2 9" xfId="9886" xr:uid="{639889EC-0358-48FF-93BE-4F87746A3797}"/>
    <cellStyle name="Normal 4 7 3" xfId="877" xr:uid="{00000000-0005-0000-0000-0000B6160000}"/>
    <cellStyle name="Normal 4 7 3 2" xfId="3112" xr:uid="{00000000-0005-0000-0000-0000B7160000}"/>
    <cellStyle name="Normal 4 7 3 2 2" xfId="7334" xr:uid="{00000000-0005-0000-0000-0000B8160000}"/>
    <cellStyle name="Normal 4 7 3 2 2 2" xfId="16660" xr:uid="{1006CF34-0564-4543-9121-10A4D13B9D5D}"/>
    <cellStyle name="Normal 4 7 3 2 3" xfId="12443" xr:uid="{8528C714-7E36-40EA-852D-16BEE72B33B6}"/>
    <cellStyle name="Normal 4 7 3 3" xfId="5189" xr:uid="{00000000-0005-0000-0000-0000B9160000}"/>
    <cellStyle name="Normal 4 7 3 3 2" xfId="14515" xr:uid="{72AB0646-7350-4CEC-B6B0-9568E13E58D8}"/>
    <cellStyle name="Normal 4 7 3 4" xfId="9268" xr:uid="{83DA99B2-5D77-4110-AEB9-304D3ECEF3EB}"/>
    <cellStyle name="Normal 4 7 3 4 2" xfId="18583" xr:uid="{AC11DAE2-0D80-49AF-BA9A-5C6EA1895D1D}"/>
    <cellStyle name="Normal 4 7 3 5" xfId="10298" xr:uid="{F2E1E787-8130-479C-AD9F-774B287352E5}"/>
    <cellStyle name="Normal 4 7 4" xfId="1295" xr:uid="{00000000-0005-0000-0000-0000BA160000}"/>
    <cellStyle name="Normal 4 7 4 2" xfId="3525" xr:uid="{00000000-0005-0000-0000-0000BB160000}"/>
    <cellStyle name="Normal 4 7 4 2 2" xfId="7747" xr:uid="{00000000-0005-0000-0000-0000BC160000}"/>
    <cellStyle name="Normal 4 7 4 2 2 2" xfId="17073" xr:uid="{794B926C-FF02-4494-A5B5-2A1047F39B85}"/>
    <cellStyle name="Normal 4 7 4 2 3" xfId="12856" xr:uid="{2F7F4AFF-3789-4923-8811-8A86C9CF14DB}"/>
    <cellStyle name="Normal 4 7 4 3" xfId="5602" xr:uid="{00000000-0005-0000-0000-0000BD160000}"/>
    <cellStyle name="Normal 4 7 4 3 2" xfId="14928" xr:uid="{A4FC58D9-39F3-419B-83C8-0C6FDD0224A6}"/>
    <cellStyle name="Normal 4 7 4 4" xfId="10711" xr:uid="{E1FA99AA-C3B5-4EFA-9B95-F80B962EDD53}"/>
    <cellStyle name="Normal 4 7 5" xfId="1708" xr:uid="{00000000-0005-0000-0000-0000BE160000}"/>
    <cellStyle name="Normal 4 7 5 2" xfId="3938" xr:uid="{00000000-0005-0000-0000-0000BF160000}"/>
    <cellStyle name="Normal 4 7 5 2 2" xfId="8160" xr:uid="{00000000-0005-0000-0000-0000C0160000}"/>
    <cellStyle name="Normal 4 7 5 2 2 2" xfId="17486" xr:uid="{6A6C9A91-68B0-4801-B421-34D1A1F0E6AB}"/>
    <cellStyle name="Normal 4 7 5 2 3" xfId="13269" xr:uid="{BC7FF19E-8FEB-4189-A20B-6490CAF1FFBC}"/>
    <cellStyle name="Normal 4 7 5 3" xfId="6015" xr:uid="{00000000-0005-0000-0000-0000C1160000}"/>
    <cellStyle name="Normal 4 7 5 3 2" xfId="15341" xr:uid="{1D19700D-6788-4386-BC2D-CE2C1A96739A}"/>
    <cellStyle name="Normal 4 7 5 4" xfId="11124" xr:uid="{51778EA0-BB57-44CE-B9ED-9EE7D89D02E1}"/>
    <cellStyle name="Normal 4 7 6" xfId="2122" xr:uid="{00000000-0005-0000-0000-0000C2160000}"/>
    <cellStyle name="Normal 4 7 6 2" xfId="4351" xr:uid="{00000000-0005-0000-0000-0000C3160000}"/>
    <cellStyle name="Normal 4 7 6 2 2" xfId="8573" xr:uid="{00000000-0005-0000-0000-0000C4160000}"/>
    <cellStyle name="Normal 4 7 6 2 2 2" xfId="17899" xr:uid="{4844FFB2-0A30-40DD-98F3-B28CE0554C58}"/>
    <cellStyle name="Normal 4 7 6 2 3" xfId="13682" xr:uid="{6A2E0170-EC85-44A4-9D2A-DBF87E15C36E}"/>
    <cellStyle name="Normal 4 7 6 3" xfId="6428" xr:uid="{00000000-0005-0000-0000-0000C5160000}"/>
    <cellStyle name="Normal 4 7 6 3 2" xfId="15754" xr:uid="{B298F5C9-B846-4202-976A-F9E443F09FE1}"/>
    <cellStyle name="Normal 4 7 6 4" xfId="11537" xr:uid="{5691E2A9-C557-49FF-8DB5-8FF542C44DB3}"/>
    <cellStyle name="Normal 4 7 7" xfId="2558" xr:uid="{00000000-0005-0000-0000-0000C6160000}"/>
    <cellStyle name="Normal 4 7 7 2" xfId="6841" xr:uid="{00000000-0005-0000-0000-0000C7160000}"/>
    <cellStyle name="Normal 4 7 7 2 2" xfId="16167" xr:uid="{CAB00689-DC20-4098-9988-BFF9D96BD6DA}"/>
    <cellStyle name="Normal 4 7 7 3" xfId="11950" xr:uid="{21620AB2-AD01-45A5-AE7D-FE484C87E7D8}"/>
    <cellStyle name="Normal 4 7 8" xfId="4776" xr:uid="{00000000-0005-0000-0000-0000C8160000}"/>
    <cellStyle name="Normal 4 7 8 2" xfId="14102" xr:uid="{EB91F225-43AC-4B16-9AB0-8FBFD798FC26}"/>
    <cellStyle name="Normal 4 7 9" xfId="8843" xr:uid="{092972D9-0015-4C5A-94A6-5AFD2026266B}"/>
    <cellStyle name="Normal 4 7 9 2" xfId="18167" xr:uid="{3A5E8EB6-2B28-4AB5-B33C-1341BA6FA7DD}"/>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6662" xr:uid="{13396FE6-1F7B-45E0-A64C-7AF90B158799}"/>
    <cellStyle name="Normal 4 8 2 2 3" xfId="12445" xr:uid="{C403D394-2CB7-4E84-93DF-C399BECA6DD2}"/>
    <cellStyle name="Normal 4 8 2 3" xfId="5191" xr:uid="{00000000-0005-0000-0000-0000CD160000}"/>
    <cellStyle name="Normal 4 8 2 3 2" xfId="14517" xr:uid="{30E69759-060C-49AC-B4D9-F0B10F8D4DC0}"/>
    <cellStyle name="Normal 4 8 2 4" xfId="9384" xr:uid="{6351F1DA-E485-4044-8429-C0AE76E79EEE}"/>
    <cellStyle name="Normal 4 8 2 4 2" xfId="18699" xr:uid="{F113F779-5716-45EF-8041-E7C532982B3C}"/>
    <cellStyle name="Normal 4 8 2 5" xfId="10300" xr:uid="{E861250D-243B-4A08-B464-E54C3BA70F4E}"/>
    <cellStyle name="Normal 4 8 3" xfId="1297" xr:uid="{00000000-0005-0000-0000-0000CE160000}"/>
    <cellStyle name="Normal 4 8 3 2" xfId="3527" xr:uid="{00000000-0005-0000-0000-0000CF160000}"/>
    <cellStyle name="Normal 4 8 3 2 2" xfId="7749" xr:uid="{00000000-0005-0000-0000-0000D0160000}"/>
    <cellStyle name="Normal 4 8 3 2 2 2" xfId="17075" xr:uid="{D793D735-6B66-4422-B024-970947F00FEB}"/>
    <cellStyle name="Normal 4 8 3 2 3" xfId="12858" xr:uid="{4F204621-FD81-474E-AD4D-95DBC886CE85}"/>
    <cellStyle name="Normal 4 8 3 3" xfId="5604" xr:uid="{00000000-0005-0000-0000-0000D1160000}"/>
    <cellStyle name="Normal 4 8 3 3 2" xfId="14930" xr:uid="{F1809160-0882-49ED-B01B-A2C66FA24FF5}"/>
    <cellStyle name="Normal 4 8 3 4" xfId="10713" xr:uid="{DD626831-4D5D-4F37-971C-9B342DDFF843}"/>
    <cellStyle name="Normal 4 8 4" xfId="1710" xr:uid="{00000000-0005-0000-0000-0000D2160000}"/>
    <cellStyle name="Normal 4 8 4 2" xfId="3940" xr:uid="{00000000-0005-0000-0000-0000D3160000}"/>
    <cellStyle name="Normal 4 8 4 2 2" xfId="8162" xr:uid="{00000000-0005-0000-0000-0000D4160000}"/>
    <cellStyle name="Normal 4 8 4 2 2 2" xfId="17488" xr:uid="{F264344B-A170-463F-BCF7-105130B5F2C5}"/>
    <cellStyle name="Normal 4 8 4 2 3" xfId="13271" xr:uid="{EFEDB3F6-0345-4090-A3A4-B06FFBCBF0C7}"/>
    <cellStyle name="Normal 4 8 4 3" xfId="6017" xr:uid="{00000000-0005-0000-0000-0000D5160000}"/>
    <cellStyle name="Normal 4 8 4 3 2" xfId="15343" xr:uid="{C458C33A-38E5-4D5C-8B17-FD56DDA9D821}"/>
    <cellStyle name="Normal 4 8 4 4" xfId="11126" xr:uid="{1CE8AA62-F6EB-4B40-8558-B6AC8293ABFC}"/>
    <cellStyle name="Normal 4 8 5" xfId="2124" xr:uid="{00000000-0005-0000-0000-0000D6160000}"/>
    <cellStyle name="Normal 4 8 5 2" xfId="4353" xr:uid="{00000000-0005-0000-0000-0000D7160000}"/>
    <cellStyle name="Normal 4 8 5 2 2" xfId="8575" xr:uid="{00000000-0005-0000-0000-0000D8160000}"/>
    <cellStyle name="Normal 4 8 5 2 2 2" xfId="17901" xr:uid="{7154CC45-DB67-40F8-B4FA-336067F89285}"/>
    <cellStyle name="Normal 4 8 5 2 3" xfId="13684" xr:uid="{4FCDCB63-88C8-496E-87B8-4E1F864A36A4}"/>
    <cellStyle name="Normal 4 8 5 3" xfId="6430" xr:uid="{00000000-0005-0000-0000-0000D9160000}"/>
    <cellStyle name="Normal 4 8 5 3 2" xfId="15756" xr:uid="{82151747-906C-4D73-B6E5-0E315A11ABEC}"/>
    <cellStyle name="Normal 4 8 5 4" xfId="11539" xr:uid="{B14AE88D-6B33-40FA-93F4-1A43151D5FE0}"/>
    <cellStyle name="Normal 4 8 6" xfId="2560" xr:uid="{00000000-0005-0000-0000-0000DA160000}"/>
    <cellStyle name="Normal 4 8 6 2" xfId="6843" xr:uid="{00000000-0005-0000-0000-0000DB160000}"/>
    <cellStyle name="Normal 4 8 6 2 2" xfId="16169" xr:uid="{AA5D0E6E-C937-4CE2-ACFD-522B3710246D}"/>
    <cellStyle name="Normal 4 8 6 3" xfId="11952" xr:uid="{B30466C5-97BC-443B-84F4-E9A795030362}"/>
    <cellStyle name="Normal 4 8 7" xfId="4778" xr:uid="{00000000-0005-0000-0000-0000DC160000}"/>
    <cellStyle name="Normal 4 8 7 2" xfId="14104" xr:uid="{4EF413B9-52A6-4A13-857C-3B9CA4C1DF9F}"/>
    <cellStyle name="Normal 4 8 8" xfId="8959" xr:uid="{E3216EF3-66EB-48FF-967C-A258B3C3F4FF}"/>
    <cellStyle name="Normal 4 8 8 2" xfId="18283" xr:uid="{EDF96169-1463-4716-A4C2-CE0B598BF407}"/>
    <cellStyle name="Normal 4 8 9" xfId="9887" xr:uid="{D5F2A54F-6954-4574-A222-A8AEEB8A7D9D}"/>
    <cellStyle name="Normal 4 9" xfId="4715" xr:uid="{00000000-0005-0000-0000-0000DD160000}"/>
    <cellStyle name="Normal 4 9 2" xfId="9162" xr:uid="{BC355FAB-4557-4712-A03F-EB5522B29E6A}"/>
    <cellStyle name="Normal 4 9 2 2" xfId="18480" xr:uid="{4FD560DD-DA61-47DC-939F-A9EE5C285D93}"/>
    <cellStyle name="Normal 4 9 3" xfId="14041" xr:uid="{BB93BD75-7E1D-48BD-8D83-5EE7D37E01B5}"/>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89" xr:uid="{AE4C4A3D-F008-4FB1-922C-3823B67DDC02}"/>
    <cellStyle name="Normal 5 10 2 3" xfId="13272" xr:uid="{A94D9758-6FEF-45C8-9066-DF27CAC97C19}"/>
    <cellStyle name="Normal 5 10 3" xfId="6018" xr:uid="{00000000-0005-0000-0000-0000E2160000}"/>
    <cellStyle name="Normal 5 10 3 2" xfId="15344" xr:uid="{3E26EA78-6412-4E41-AC06-5B3D53E5A607}"/>
    <cellStyle name="Normal 5 10 4" xfId="11127" xr:uid="{BD0B2B4C-4895-4A74-A14C-A0D8B4AEEDA8}"/>
    <cellStyle name="Normal 5 11" xfId="2125" xr:uid="{00000000-0005-0000-0000-0000E3160000}"/>
    <cellStyle name="Normal 5 11 2" xfId="4354" xr:uid="{00000000-0005-0000-0000-0000E4160000}"/>
    <cellStyle name="Normal 5 11 2 2" xfId="8576" xr:uid="{00000000-0005-0000-0000-0000E5160000}"/>
    <cellStyle name="Normal 5 11 2 2 2" xfId="17902" xr:uid="{03858D80-3698-4FAF-A93A-FF309ED96F7C}"/>
    <cellStyle name="Normal 5 11 2 3" xfId="13685" xr:uid="{88616A48-EE98-4613-8888-AE4F51AC8F98}"/>
    <cellStyle name="Normal 5 11 3" xfId="6431" xr:uid="{00000000-0005-0000-0000-0000E6160000}"/>
    <cellStyle name="Normal 5 11 3 2" xfId="15757" xr:uid="{C470DFD0-17C6-4330-B951-6C7137650CFA}"/>
    <cellStyle name="Normal 5 11 4" xfId="11540" xr:uid="{95558505-4D27-4D4B-9191-C80EA9057F89}"/>
    <cellStyle name="Normal 5 12" xfId="2561" xr:uid="{00000000-0005-0000-0000-0000E7160000}"/>
    <cellStyle name="Normal 5 12 2" xfId="6844" xr:uid="{00000000-0005-0000-0000-0000E8160000}"/>
    <cellStyle name="Normal 5 12 2 2" xfId="16170" xr:uid="{E1BA7305-4E41-48C7-A344-631D1AE3B7D5}"/>
    <cellStyle name="Normal 5 12 3" xfId="11953" xr:uid="{6600FE74-6DE4-468A-8260-D7485C306574}"/>
    <cellStyle name="Normal 5 13" xfId="4779" xr:uid="{00000000-0005-0000-0000-0000E9160000}"/>
    <cellStyle name="Normal 5 13 2" xfId="14105" xr:uid="{84C245C1-3508-4C50-85AF-0F79E9592B05}"/>
    <cellStyle name="Normal 5 14" xfId="8741" xr:uid="{6467398C-BC57-47BF-AF01-9B3356F8431F}"/>
    <cellStyle name="Normal 5 14 2" xfId="18065" xr:uid="{A6CE39B0-CA62-4CBC-A46F-29A55AD6C6F0}"/>
    <cellStyle name="Normal 5 15" xfId="9888" xr:uid="{6F5B3747-246D-4347-B6B3-7EB8F7702F0C}"/>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903" xr:uid="{DC5A6025-565C-4316-A3E4-5D412B412686}"/>
    <cellStyle name="Normal 5 2 10 2 3" xfId="13686" xr:uid="{319D4979-49BA-47DA-8FB1-702CF6D745C3}"/>
    <cellStyle name="Normal 5 2 10 3" xfId="6432" xr:uid="{00000000-0005-0000-0000-0000EE160000}"/>
    <cellStyle name="Normal 5 2 10 3 2" xfId="15758" xr:uid="{A379D2D0-1B14-4D94-85DC-2FD5835E9C4D}"/>
    <cellStyle name="Normal 5 2 10 4" xfId="11541" xr:uid="{08BC4466-4E66-4CA3-9545-DA52D3740BBF}"/>
    <cellStyle name="Normal 5 2 11" xfId="2562" xr:uid="{00000000-0005-0000-0000-0000EF160000}"/>
    <cellStyle name="Normal 5 2 11 2" xfId="6845" xr:uid="{00000000-0005-0000-0000-0000F0160000}"/>
    <cellStyle name="Normal 5 2 11 2 2" xfId="16171" xr:uid="{C5741F9F-6355-4761-A393-8136447A9199}"/>
    <cellStyle name="Normal 5 2 11 3" xfId="11954" xr:uid="{80299A2D-52BE-4302-AD2C-D65E13AFF5F2}"/>
    <cellStyle name="Normal 5 2 12" xfId="4780" xr:uid="{00000000-0005-0000-0000-0000F1160000}"/>
    <cellStyle name="Normal 5 2 12 2" xfId="14106" xr:uid="{AF667302-55DC-4BA9-AC32-053392058CEE}"/>
    <cellStyle name="Normal 5 2 13" xfId="8744" xr:uid="{40D5DF2B-E9DF-4D52-AAE0-3E5A94050B59}"/>
    <cellStyle name="Normal 5 2 13 2" xfId="18068" xr:uid="{0BC8016A-C530-4E73-BC41-3F0710749F57}"/>
    <cellStyle name="Normal 5 2 14" xfId="9889" xr:uid="{EE868F5D-7870-4EE7-97EB-90549D49F89C}"/>
    <cellStyle name="Normal 5 2 2" xfId="408" xr:uid="{00000000-0005-0000-0000-0000F2160000}"/>
    <cellStyle name="Normal 5 2 2 10" xfId="2563" xr:uid="{00000000-0005-0000-0000-0000F3160000}"/>
    <cellStyle name="Normal 5 2 2 10 2" xfId="6846" xr:uid="{00000000-0005-0000-0000-0000F4160000}"/>
    <cellStyle name="Normal 5 2 2 10 2 2" xfId="16172" xr:uid="{CF12A0FC-AAB6-48D5-92DA-B65E8F3863CF}"/>
    <cellStyle name="Normal 5 2 2 10 3" xfId="11955" xr:uid="{F9E70134-9C33-4F30-A1C7-FA961F610E9B}"/>
    <cellStyle name="Normal 5 2 2 11" xfId="4781" xr:uid="{00000000-0005-0000-0000-0000F5160000}"/>
    <cellStyle name="Normal 5 2 2 11 2" xfId="14107" xr:uid="{2544EC7A-4150-4A27-B0EC-D6FC35A23A4F}"/>
    <cellStyle name="Normal 5 2 2 12" xfId="8753" xr:uid="{96D04E2F-D92F-448D-9FDA-8261D8BEE094}"/>
    <cellStyle name="Normal 5 2 2 12 2" xfId="18077" xr:uid="{D56223D5-7FA1-4864-A1DA-C6B63A7DC1A6}"/>
    <cellStyle name="Normal 5 2 2 13" xfId="9890" xr:uid="{E2D10A0F-BA43-44E0-8FB0-8F3EE981EF69}"/>
    <cellStyle name="Normal 5 2 2 2" xfId="409" xr:uid="{00000000-0005-0000-0000-0000F6160000}"/>
    <cellStyle name="Normal 5 2 2 2 10" xfId="4782" xr:uid="{00000000-0005-0000-0000-0000F7160000}"/>
    <cellStyle name="Normal 5 2 2 2 10 2" xfId="14108" xr:uid="{75197178-30B2-4774-8990-E42B4DD7A158}"/>
    <cellStyle name="Normal 5 2 2 2 11" xfId="8771" xr:uid="{0E58ED1C-12F1-4692-801F-170CA6F7CBDB}"/>
    <cellStyle name="Normal 5 2 2 2 11 2" xfId="18095" xr:uid="{7361B81D-CB32-4F4A-81F7-E29C0A7E4620}"/>
    <cellStyle name="Normal 5 2 2 2 12" xfId="9891" xr:uid="{4921F6FF-C845-43E1-8F35-2998D822DE82}"/>
    <cellStyle name="Normal 5 2 2 2 2" xfId="410" xr:uid="{00000000-0005-0000-0000-0000F8160000}"/>
    <cellStyle name="Normal 5 2 2 2 2 10" xfId="8829" xr:uid="{AC161972-21E9-4E03-8D2E-9F95632CB08D}"/>
    <cellStyle name="Normal 5 2 2 2 2 10 2" xfId="18153" xr:uid="{4A94A930-E13D-42BF-942A-9B3E605BE461}"/>
    <cellStyle name="Normal 5 2 2 2 2 11" xfId="9892" xr:uid="{716156ED-2C99-4A8C-AD5F-AAF39A619A0E}"/>
    <cellStyle name="Normal 5 2 2 2 2 2" xfId="411" xr:uid="{00000000-0005-0000-0000-0000F9160000}"/>
    <cellStyle name="Normal 5 2 2 2 2 2 10" xfId="9893" xr:uid="{CC320388-5B19-43E0-830D-5ABD2306A319}"/>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69" xr:uid="{27DAC569-1E59-41EE-975F-698BDD35262D}"/>
    <cellStyle name="Normal 5 2 2 2 2 2 2 2 2 3" xfId="12452" xr:uid="{8135D08D-E009-4EE9-A2B0-1A87AD1C5D1B}"/>
    <cellStyle name="Normal 5 2 2 2 2 2 2 2 3" xfId="5198" xr:uid="{00000000-0005-0000-0000-0000FE160000}"/>
    <cellStyle name="Normal 5 2 2 2 2 2 2 2 3 2" xfId="14524" xr:uid="{0BA398BC-BDD8-4158-AEE0-B9AB14295A84}"/>
    <cellStyle name="Normal 5 2 2 2 2 2 2 2 4" xfId="9564" xr:uid="{15884BE4-44C0-46E7-A184-FC102AAADEB4}"/>
    <cellStyle name="Normal 5 2 2 2 2 2 2 2 4 2" xfId="18879" xr:uid="{5B6E0B92-B6D5-4BFF-87E1-0D1DB4D9F487}"/>
    <cellStyle name="Normal 5 2 2 2 2 2 2 2 5" xfId="10307" xr:uid="{C9168064-725E-4AF8-AC26-1AED9494107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82" xr:uid="{EA4C4A4B-A0BE-4C16-B671-E90F2B82222F}"/>
    <cellStyle name="Normal 5 2 2 2 2 2 2 3 2 3" xfId="12865" xr:uid="{7BB0D809-79CC-4B90-8033-0BA7DBBBF333}"/>
    <cellStyle name="Normal 5 2 2 2 2 2 2 3 3" xfId="5611" xr:uid="{00000000-0005-0000-0000-000002170000}"/>
    <cellStyle name="Normal 5 2 2 2 2 2 2 3 3 2" xfId="14937" xr:uid="{3FFD1F8F-C3A7-49B3-AE6D-286EC78FF1CA}"/>
    <cellStyle name="Normal 5 2 2 2 2 2 2 3 4" xfId="10720" xr:uid="{90C028FE-55BB-46AB-B9EF-20443F4B5B91}"/>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95" xr:uid="{C7C2E04E-1D6A-42E7-A7AF-FE7948EB0BDB}"/>
    <cellStyle name="Normal 5 2 2 2 2 2 2 4 2 3" xfId="13278" xr:uid="{2CDA5090-155E-42AF-B5CA-4B49DE1EE856}"/>
    <cellStyle name="Normal 5 2 2 2 2 2 2 4 3" xfId="6024" xr:uid="{00000000-0005-0000-0000-000006170000}"/>
    <cellStyle name="Normal 5 2 2 2 2 2 2 4 3 2" xfId="15350" xr:uid="{0589E951-92D8-4DE8-A642-BA9E8023F039}"/>
    <cellStyle name="Normal 5 2 2 2 2 2 2 4 4" xfId="11133" xr:uid="{8F7B1F8E-0B3D-4762-99DE-62256784FF46}"/>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908" xr:uid="{6FC72AFB-F9A6-41AE-A3CA-162A2A9DF1FD}"/>
    <cellStyle name="Normal 5 2 2 2 2 2 2 5 2 3" xfId="13691" xr:uid="{1CF97A67-159B-4ADD-9649-E314F9D01C16}"/>
    <cellStyle name="Normal 5 2 2 2 2 2 2 5 3" xfId="6437" xr:uid="{00000000-0005-0000-0000-00000A170000}"/>
    <cellStyle name="Normal 5 2 2 2 2 2 2 5 3 2" xfId="15763" xr:uid="{FA22CAF8-179E-4B9F-B04C-C56C05ACE735}"/>
    <cellStyle name="Normal 5 2 2 2 2 2 2 5 4" xfId="11546" xr:uid="{7D492887-9DBB-4B54-B0FB-731EC35C3A24}"/>
    <cellStyle name="Normal 5 2 2 2 2 2 2 6" xfId="2567" xr:uid="{00000000-0005-0000-0000-00000B170000}"/>
    <cellStyle name="Normal 5 2 2 2 2 2 2 6 2" xfId="6850" xr:uid="{00000000-0005-0000-0000-00000C170000}"/>
    <cellStyle name="Normal 5 2 2 2 2 2 2 6 2 2" xfId="16176" xr:uid="{72C76F48-199A-40A0-BF23-608EFF6D2CBC}"/>
    <cellStyle name="Normal 5 2 2 2 2 2 2 6 3" xfId="11959" xr:uid="{CF0CB723-D6B3-417E-B221-8EB7FF5FC008}"/>
    <cellStyle name="Normal 5 2 2 2 2 2 2 7" xfId="4785" xr:uid="{00000000-0005-0000-0000-00000D170000}"/>
    <cellStyle name="Normal 5 2 2 2 2 2 2 7 2" xfId="14111" xr:uid="{96458A76-1BC0-4BE3-BF23-C438EBEB7B7C}"/>
    <cellStyle name="Normal 5 2 2 2 2 2 2 8" xfId="9139" xr:uid="{CFCC7179-F81D-4929-81F2-C6E64655A093}"/>
    <cellStyle name="Normal 5 2 2 2 2 2 2 8 2" xfId="18463" xr:uid="{D94443D2-B3D7-410B-888E-3704E7FAC363}"/>
    <cellStyle name="Normal 5 2 2 2 2 2 2 9" xfId="9894" xr:uid="{E8C132A0-F132-450F-9169-F65BF5AB9DFB}"/>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68" xr:uid="{872FF446-5563-4196-9A84-B97F23E94107}"/>
    <cellStyle name="Normal 5 2 2 2 2 2 3 2 3" xfId="12451" xr:uid="{69F1F35C-2E81-4E01-BBDD-CCDEF0005E60}"/>
    <cellStyle name="Normal 5 2 2 2 2 2 3 3" xfId="5197" xr:uid="{00000000-0005-0000-0000-000011170000}"/>
    <cellStyle name="Normal 5 2 2 2 2 2 3 3 2" xfId="14523" xr:uid="{C0032C77-3B10-4508-AE9D-0D50BC3E2BE9}"/>
    <cellStyle name="Normal 5 2 2 2 2 2 3 4" xfId="9357" xr:uid="{1809EB60-9E69-4954-99A5-643CD830C5FB}"/>
    <cellStyle name="Normal 5 2 2 2 2 2 3 4 2" xfId="18672" xr:uid="{82C17475-3CA3-4E1D-9E98-DA4053056F8F}"/>
    <cellStyle name="Normal 5 2 2 2 2 2 3 5" xfId="10306" xr:uid="{1D55A250-08E9-4A82-A0B4-26F63D4EE9B8}"/>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81" xr:uid="{83D67B13-B3E0-44A3-9C1E-99D42A208E8C}"/>
    <cellStyle name="Normal 5 2 2 2 2 2 4 2 3" xfId="12864" xr:uid="{B3AD3CAE-0D44-440B-8C12-9E91EC203D9F}"/>
    <cellStyle name="Normal 5 2 2 2 2 2 4 3" xfId="5610" xr:uid="{00000000-0005-0000-0000-000015170000}"/>
    <cellStyle name="Normal 5 2 2 2 2 2 4 3 2" xfId="14936" xr:uid="{E763DA60-E100-4946-9574-298B43BADB9A}"/>
    <cellStyle name="Normal 5 2 2 2 2 2 4 4" xfId="10719" xr:uid="{40C3FD29-CF9A-48DB-92FC-80B54E0A60E3}"/>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94" xr:uid="{6FD80450-1857-4F83-9C95-A249BC6325C1}"/>
    <cellStyle name="Normal 5 2 2 2 2 2 5 2 3" xfId="13277" xr:uid="{E841E8FD-62DF-44EA-A5AB-2DA11C69CF3C}"/>
    <cellStyle name="Normal 5 2 2 2 2 2 5 3" xfId="6023" xr:uid="{00000000-0005-0000-0000-000019170000}"/>
    <cellStyle name="Normal 5 2 2 2 2 2 5 3 2" xfId="15349" xr:uid="{F0AC5F66-EB07-4D1E-B40D-2DAB5DF2EA31}"/>
    <cellStyle name="Normal 5 2 2 2 2 2 5 4" xfId="11132" xr:uid="{7678331E-988C-459C-960D-C92F9EDA22AF}"/>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907" xr:uid="{98B98206-1630-4BA5-8891-E6338785BCC1}"/>
    <cellStyle name="Normal 5 2 2 2 2 2 6 2 3" xfId="13690" xr:uid="{5D565124-CB51-42E7-9FEA-A15BAF404130}"/>
    <cellStyle name="Normal 5 2 2 2 2 2 6 3" xfId="6436" xr:uid="{00000000-0005-0000-0000-00001D170000}"/>
    <cellStyle name="Normal 5 2 2 2 2 2 6 3 2" xfId="15762" xr:uid="{B629AF98-0376-4561-952C-B6B06EE5A622}"/>
    <cellStyle name="Normal 5 2 2 2 2 2 6 4" xfId="11545" xr:uid="{9C6CCFB3-F11C-4858-B715-3E0725573308}"/>
    <cellStyle name="Normal 5 2 2 2 2 2 7" xfId="2566" xr:uid="{00000000-0005-0000-0000-00001E170000}"/>
    <cellStyle name="Normal 5 2 2 2 2 2 7 2" xfId="6849" xr:uid="{00000000-0005-0000-0000-00001F170000}"/>
    <cellStyle name="Normal 5 2 2 2 2 2 7 2 2" xfId="16175" xr:uid="{43B62B00-9EF7-4AFF-97C4-FF5002E2CF4A}"/>
    <cellStyle name="Normal 5 2 2 2 2 2 7 3" xfId="11958" xr:uid="{86A0B8AF-4B7F-477D-B1E7-6ADCF5A3BA0E}"/>
    <cellStyle name="Normal 5 2 2 2 2 2 8" xfId="4784" xr:uid="{00000000-0005-0000-0000-000020170000}"/>
    <cellStyle name="Normal 5 2 2 2 2 2 8 2" xfId="14110" xr:uid="{4B3BCCFC-1E1B-4889-8587-08E621ED9B9C}"/>
    <cellStyle name="Normal 5 2 2 2 2 2 9" xfId="8932" xr:uid="{8A89D9DD-5FCE-4028-8D52-F4758EFA866E}"/>
    <cellStyle name="Normal 5 2 2 2 2 2 9 2" xfId="18256" xr:uid="{3DEFC9C3-BBA6-40BE-8554-B3110675D70F}"/>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70" xr:uid="{F0258B4D-7E2E-486D-A267-FC392A89A3F2}"/>
    <cellStyle name="Normal 5 2 2 2 2 3 2 2 3" xfId="12453" xr:uid="{1033B415-4C4A-4B7B-8EE0-785EDD5695B2}"/>
    <cellStyle name="Normal 5 2 2 2 2 3 2 3" xfId="5199" xr:uid="{00000000-0005-0000-0000-000025170000}"/>
    <cellStyle name="Normal 5 2 2 2 2 3 2 3 2" xfId="14525" xr:uid="{A4B24DC5-8476-4BB7-8D3A-6D4B08A3AB3C}"/>
    <cellStyle name="Normal 5 2 2 2 2 3 2 4" xfId="9461" xr:uid="{815E4D9A-ED64-4B6C-A17A-F6D83CC40A47}"/>
    <cellStyle name="Normal 5 2 2 2 2 3 2 4 2" xfId="18776" xr:uid="{6148F965-743C-42A1-BB09-F34A0FA4769C}"/>
    <cellStyle name="Normal 5 2 2 2 2 3 2 5" xfId="10308" xr:uid="{60A0DEBD-DCE2-4142-9FA3-70B1700B5DD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83" xr:uid="{6532DA6E-90C5-425A-BED9-512DCD83933D}"/>
    <cellStyle name="Normal 5 2 2 2 2 3 3 2 3" xfId="12866" xr:uid="{80ED595A-F1B9-49CB-857F-F9E51C7EA0FB}"/>
    <cellStyle name="Normal 5 2 2 2 2 3 3 3" xfId="5612" xr:uid="{00000000-0005-0000-0000-000029170000}"/>
    <cellStyle name="Normal 5 2 2 2 2 3 3 3 2" xfId="14938" xr:uid="{9D42963E-906E-4AFC-8C23-73CAD4B3D97F}"/>
    <cellStyle name="Normal 5 2 2 2 2 3 3 4" xfId="10721" xr:uid="{A00981E3-39BE-40AD-A6ED-11644ED0B266}"/>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96" xr:uid="{D0D9C0EE-6248-433E-A093-398062825952}"/>
    <cellStyle name="Normal 5 2 2 2 2 3 4 2 3" xfId="13279" xr:uid="{1A046D29-112A-4F22-B264-F514F0C91E69}"/>
    <cellStyle name="Normal 5 2 2 2 2 3 4 3" xfId="6025" xr:uid="{00000000-0005-0000-0000-00002D170000}"/>
    <cellStyle name="Normal 5 2 2 2 2 3 4 3 2" xfId="15351" xr:uid="{B5107551-BA64-411B-90D6-A63434A50AB2}"/>
    <cellStyle name="Normal 5 2 2 2 2 3 4 4" xfId="11134" xr:uid="{5234D8EF-DE2A-4589-BCD0-480EBDE1E484}"/>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909" xr:uid="{576AA445-F8FD-4E5B-A3BC-72B3F40D84CD}"/>
    <cellStyle name="Normal 5 2 2 2 2 3 5 2 3" xfId="13692" xr:uid="{6AAD6DFF-0270-467E-A257-C93161F46961}"/>
    <cellStyle name="Normal 5 2 2 2 2 3 5 3" xfId="6438" xr:uid="{00000000-0005-0000-0000-000031170000}"/>
    <cellStyle name="Normal 5 2 2 2 2 3 5 3 2" xfId="15764" xr:uid="{968C10D7-663D-488C-803A-1A937711779D}"/>
    <cellStyle name="Normal 5 2 2 2 2 3 5 4" xfId="11547" xr:uid="{78AF2F54-BF60-47FF-8AA5-C9AF80430018}"/>
    <cellStyle name="Normal 5 2 2 2 2 3 6" xfId="2568" xr:uid="{00000000-0005-0000-0000-000032170000}"/>
    <cellStyle name="Normal 5 2 2 2 2 3 6 2" xfId="6851" xr:uid="{00000000-0005-0000-0000-000033170000}"/>
    <cellStyle name="Normal 5 2 2 2 2 3 6 2 2" xfId="16177" xr:uid="{56ED7288-4D1C-4E14-8A03-82AE1363F7E8}"/>
    <cellStyle name="Normal 5 2 2 2 2 3 6 3" xfId="11960" xr:uid="{F36AB3F2-EA25-42BD-8292-C47272A0433C}"/>
    <cellStyle name="Normal 5 2 2 2 2 3 7" xfId="4786" xr:uid="{00000000-0005-0000-0000-000034170000}"/>
    <cellStyle name="Normal 5 2 2 2 2 3 7 2" xfId="14112" xr:uid="{BAABA4FA-5340-4EFB-84AC-9B05D28D096C}"/>
    <cellStyle name="Normal 5 2 2 2 2 3 8" xfId="9036" xr:uid="{2B9BC3AC-900A-42EE-A23F-E5574B6E75BC}"/>
    <cellStyle name="Normal 5 2 2 2 2 3 8 2" xfId="18360" xr:uid="{B58B7981-72A3-4E58-8872-22890AB8B985}"/>
    <cellStyle name="Normal 5 2 2 2 2 3 9" xfId="9895" xr:uid="{A2BF1090-2610-41E7-9C96-6EF4435DC613}"/>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67" xr:uid="{EF131D0E-B670-470D-A2A5-02F4212B3CDB}"/>
    <cellStyle name="Normal 5 2 2 2 2 4 2 3" xfId="12450" xr:uid="{33467D6D-6647-49C4-80FA-794CC4421E35}"/>
    <cellStyle name="Normal 5 2 2 2 2 4 3" xfId="5196" xr:uid="{00000000-0005-0000-0000-000038170000}"/>
    <cellStyle name="Normal 5 2 2 2 2 4 3 2" xfId="14522" xr:uid="{4F4E185E-0DB5-439E-9E94-5F3146172BF6}"/>
    <cellStyle name="Normal 5 2 2 2 2 4 4" xfId="9254" xr:uid="{B0B4DA0D-4C0F-4712-8BF0-280C2A85D575}"/>
    <cellStyle name="Normal 5 2 2 2 2 4 4 2" xfId="18569" xr:uid="{0652C0AD-7687-4795-B614-AB63C354EA50}"/>
    <cellStyle name="Normal 5 2 2 2 2 4 5" xfId="10305" xr:uid="{9CE4AE4D-5939-430E-8FEC-BEA0F7B67748}"/>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80" xr:uid="{7EDC8AC2-0FCD-4D4A-B764-4CFF5F4903E8}"/>
    <cellStyle name="Normal 5 2 2 2 2 5 2 3" xfId="12863" xr:uid="{2D5EBBA9-F59E-4CD3-824B-AC250DA6197F}"/>
    <cellStyle name="Normal 5 2 2 2 2 5 3" xfId="5609" xr:uid="{00000000-0005-0000-0000-00003C170000}"/>
    <cellStyle name="Normal 5 2 2 2 2 5 3 2" xfId="14935" xr:uid="{12108425-6915-4BF0-9DE9-6EB3F5F92FBD}"/>
    <cellStyle name="Normal 5 2 2 2 2 5 4" xfId="10718" xr:uid="{4AF052F7-5DA9-4258-857F-DA084B294F91}"/>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93" xr:uid="{D7A6DFC4-7615-42B9-8FBD-9BB5F7812008}"/>
    <cellStyle name="Normal 5 2 2 2 2 6 2 3" xfId="13276" xr:uid="{CD895953-684D-4608-8FBC-B2922553CD9E}"/>
    <cellStyle name="Normal 5 2 2 2 2 6 3" xfId="6022" xr:uid="{00000000-0005-0000-0000-000040170000}"/>
    <cellStyle name="Normal 5 2 2 2 2 6 3 2" xfId="15348" xr:uid="{7691328E-8315-40DD-829A-3DC83ED17A94}"/>
    <cellStyle name="Normal 5 2 2 2 2 6 4" xfId="11131" xr:uid="{B9F4A620-C120-435A-960C-732207C19FE3}"/>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906" xr:uid="{3527413B-3591-42A7-9EC2-880612DCD56C}"/>
    <cellStyle name="Normal 5 2 2 2 2 7 2 3" xfId="13689" xr:uid="{CF2BD82D-9D56-4237-93E0-92FFF0C417A8}"/>
    <cellStyle name="Normal 5 2 2 2 2 7 3" xfId="6435" xr:uid="{00000000-0005-0000-0000-000044170000}"/>
    <cellStyle name="Normal 5 2 2 2 2 7 3 2" xfId="15761" xr:uid="{CAB05800-8340-4F08-9992-C085AF0F360D}"/>
    <cellStyle name="Normal 5 2 2 2 2 7 4" xfId="11544" xr:uid="{675419C9-B67D-4F59-8BEF-609D2A69CC28}"/>
    <cellStyle name="Normal 5 2 2 2 2 8" xfId="2565" xr:uid="{00000000-0005-0000-0000-000045170000}"/>
    <cellStyle name="Normal 5 2 2 2 2 8 2" xfId="6848" xr:uid="{00000000-0005-0000-0000-000046170000}"/>
    <cellStyle name="Normal 5 2 2 2 2 8 2 2" xfId="16174" xr:uid="{DF8173F8-7DE4-45DB-9CA9-202B1E472D82}"/>
    <cellStyle name="Normal 5 2 2 2 2 8 3" xfId="11957" xr:uid="{C81E32C2-F7B5-4CC7-BC15-9E81F59D3611}"/>
    <cellStyle name="Normal 5 2 2 2 2 9" xfId="4783" xr:uid="{00000000-0005-0000-0000-000047170000}"/>
    <cellStyle name="Normal 5 2 2 2 2 9 2" xfId="14109" xr:uid="{26C2D660-79AC-48A5-AE94-774DA6BA9D2B}"/>
    <cellStyle name="Normal 5 2 2 2 3" xfId="414" xr:uid="{00000000-0005-0000-0000-000048170000}"/>
    <cellStyle name="Normal 5 2 2 2 3 10" xfId="9896" xr:uid="{EAC2F698-8018-4B3C-876D-5C51D6B5348F}"/>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72" xr:uid="{DA31B757-C83D-4934-9FFC-3874F3AACE7D}"/>
    <cellStyle name="Normal 5 2 2 2 3 2 2 2 3" xfId="12455" xr:uid="{72F4A577-2A75-4346-9FA6-B4735615FDC0}"/>
    <cellStyle name="Normal 5 2 2 2 3 2 2 3" xfId="5201" xr:uid="{00000000-0005-0000-0000-00004D170000}"/>
    <cellStyle name="Normal 5 2 2 2 3 2 2 3 2" xfId="14527" xr:uid="{7B587A38-BD7F-4AC4-B2D2-619C98B6C099}"/>
    <cellStyle name="Normal 5 2 2 2 3 2 2 4" xfId="9506" xr:uid="{65E8E1F9-5B62-47C9-8131-412DF42F5268}"/>
    <cellStyle name="Normal 5 2 2 2 3 2 2 4 2" xfId="18821" xr:uid="{2ABFE22F-9FB2-403D-9C2B-D5BCD4E5DD1C}"/>
    <cellStyle name="Normal 5 2 2 2 3 2 2 5" xfId="10310" xr:uid="{43570081-2785-4FC8-BC05-B96DA09676B2}"/>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85" xr:uid="{8E417185-7F41-4080-82DE-8D3ACC35A4DB}"/>
    <cellStyle name="Normal 5 2 2 2 3 2 3 2 3" xfId="12868" xr:uid="{5D686F0C-86E0-493A-B15F-3F73F6A3D98C}"/>
    <cellStyle name="Normal 5 2 2 2 3 2 3 3" xfId="5614" xr:uid="{00000000-0005-0000-0000-000051170000}"/>
    <cellStyle name="Normal 5 2 2 2 3 2 3 3 2" xfId="14940" xr:uid="{8F9BEA53-6DDB-4969-B5AE-0037BA188A8A}"/>
    <cellStyle name="Normal 5 2 2 2 3 2 3 4" xfId="10723" xr:uid="{BC030B0A-E9E0-42E0-B9D1-4E1554809606}"/>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98" xr:uid="{166F69DD-8641-4039-A76F-B9DC26FF9E5B}"/>
    <cellStyle name="Normal 5 2 2 2 3 2 4 2 3" xfId="13281" xr:uid="{64BE8B08-68D0-4577-A591-0281C413ECCD}"/>
    <cellStyle name="Normal 5 2 2 2 3 2 4 3" xfId="6027" xr:uid="{00000000-0005-0000-0000-000055170000}"/>
    <cellStyle name="Normal 5 2 2 2 3 2 4 3 2" xfId="15353" xr:uid="{6FB43B39-C47F-40A4-88B6-B323C3661F83}"/>
    <cellStyle name="Normal 5 2 2 2 3 2 4 4" xfId="11136" xr:uid="{AA557FAC-9503-49BB-9224-E799B2948426}"/>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911" xr:uid="{7E98D1F6-BB3B-4E28-9CE2-67E6E90283B7}"/>
    <cellStyle name="Normal 5 2 2 2 3 2 5 2 3" xfId="13694" xr:uid="{1F2AB10A-0E9A-4AD4-AA0D-D07645C0F519}"/>
    <cellStyle name="Normal 5 2 2 2 3 2 5 3" xfId="6440" xr:uid="{00000000-0005-0000-0000-000059170000}"/>
    <cellStyle name="Normal 5 2 2 2 3 2 5 3 2" xfId="15766" xr:uid="{D38C8C51-F152-4140-8D1F-B3AED99B4491}"/>
    <cellStyle name="Normal 5 2 2 2 3 2 5 4" xfId="11549" xr:uid="{5C44253C-E875-4F5A-8483-6AA988A40D29}"/>
    <cellStyle name="Normal 5 2 2 2 3 2 6" xfId="2570" xr:uid="{00000000-0005-0000-0000-00005A170000}"/>
    <cellStyle name="Normal 5 2 2 2 3 2 6 2" xfId="6853" xr:uid="{00000000-0005-0000-0000-00005B170000}"/>
    <cellStyle name="Normal 5 2 2 2 3 2 6 2 2" xfId="16179" xr:uid="{40702D8A-A57F-45A9-ADB9-15154E422DB1}"/>
    <cellStyle name="Normal 5 2 2 2 3 2 6 3" xfId="11962" xr:uid="{CE7012C4-CCF8-4E55-A499-6D27744AE719}"/>
    <cellStyle name="Normal 5 2 2 2 3 2 7" xfId="4788" xr:uid="{00000000-0005-0000-0000-00005C170000}"/>
    <cellStyle name="Normal 5 2 2 2 3 2 7 2" xfId="14114" xr:uid="{552E161D-FDF9-41E9-BFBA-427B615BD81F}"/>
    <cellStyle name="Normal 5 2 2 2 3 2 8" xfId="9081" xr:uid="{B0400C6D-4400-4F06-9092-2DCAD3324CF1}"/>
    <cellStyle name="Normal 5 2 2 2 3 2 8 2" xfId="18405" xr:uid="{AF0DF6E3-2030-4941-8458-B6B9B7A1D78C}"/>
    <cellStyle name="Normal 5 2 2 2 3 2 9" xfId="9897" xr:uid="{29CECB95-18A6-4CC3-90D5-5E90334B5F84}"/>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71" xr:uid="{801CD50C-0876-4282-9B2F-3769E2026280}"/>
    <cellStyle name="Normal 5 2 2 2 3 3 2 3" xfId="12454" xr:uid="{E88FD303-5B40-4F25-8B0D-1BBEED159AC4}"/>
    <cellStyle name="Normal 5 2 2 2 3 3 3" xfId="5200" xr:uid="{00000000-0005-0000-0000-000060170000}"/>
    <cellStyle name="Normal 5 2 2 2 3 3 3 2" xfId="14526" xr:uid="{67185368-94CC-436D-8C66-5D006D719417}"/>
    <cellStyle name="Normal 5 2 2 2 3 3 4" xfId="9299" xr:uid="{85780536-A38F-4D86-8846-D9FA6BB2D61D}"/>
    <cellStyle name="Normal 5 2 2 2 3 3 4 2" xfId="18614" xr:uid="{6809EA90-1FE4-4811-BEE2-7A51D6CAA4A0}"/>
    <cellStyle name="Normal 5 2 2 2 3 3 5" xfId="10309" xr:uid="{749624EE-5850-4605-A7AA-A4EF0B47C5E4}"/>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84" xr:uid="{EC638A8F-F9FD-4031-BA95-864F1E9B2D4E}"/>
    <cellStyle name="Normal 5 2 2 2 3 4 2 3" xfId="12867" xr:uid="{B4EEE371-74B9-47C6-AD42-D72217D6491A}"/>
    <cellStyle name="Normal 5 2 2 2 3 4 3" xfId="5613" xr:uid="{00000000-0005-0000-0000-000064170000}"/>
    <cellStyle name="Normal 5 2 2 2 3 4 3 2" xfId="14939" xr:uid="{3BA8F129-FB62-49B9-A8ED-AA3304504490}"/>
    <cellStyle name="Normal 5 2 2 2 3 4 4" xfId="10722" xr:uid="{C21A291E-6FAF-4228-9300-252C39A9B923}"/>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97" xr:uid="{16A62367-499B-4F45-B7A0-7731A7A60364}"/>
    <cellStyle name="Normal 5 2 2 2 3 5 2 3" xfId="13280" xr:uid="{0710E95A-43A7-4279-AF17-9F98650E595F}"/>
    <cellStyle name="Normal 5 2 2 2 3 5 3" xfId="6026" xr:uid="{00000000-0005-0000-0000-000068170000}"/>
    <cellStyle name="Normal 5 2 2 2 3 5 3 2" xfId="15352" xr:uid="{433DB03C-50B0-436D-B06E-32896DFDFE3F}"/>
    <cellStyle name="Normal 5 2 2 2 3 5 4" xfId="11135" xr:uid="{D81824C6-D288-4F39-9523-F07920C24608}"/>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910" xr:uid="{B38ED6B1-1D98-4CE7-8B8B-C1146EE51354}"/>
    <cellStyle name="Normal 5 2 2 2 3 6 2 3" xfId="13693" xr:uid="{11A21C48-7F10-413A-8DA2-78BE0DFF6409}"/>
    <cellStyle name="Normal 5 2 2 2 3 6 3" xfId="6439" xr:uid="{00000000-0005-0000-0000-00006C170000}"/>
    <cellStyle name="Normal 5 2 2 2 3 6 3 2" xfId="15765" xr:uid="{5A00FC88-7A36-4C22-AE54-FC8427F0973C}"/>
    <cellStyle name="Normal 5 2 2 2 3 6 4" xfId="11548" xr:uid="{3F71132D-3346-435F-A39B-AFCB1162CDC0}"/>
    <cellStyle name="Normal 5 2 2 2 3 7" xfId="2569" xr:uid="{00000000-0005-0000-0000-00006D170000}"/>
    <cellStyle name="Normal 5 2 2 2 3 7 2" xfId="6852" xr:uid="{00000000-0005-0000-0000-00006E170000}"/>
    <cellStyle name="Normal 5 2 2 2 3 7 2 2" xfId="16178" xr:uid="{891464FB-B183-46C4-B830-87089D916EDA}"/>
    <cellStyle name="Normal 5 2 2 2 3 7 3" xfId="11961" xr:uid="{2FB0E4DD-B7C9-4D40-8676-5D8C12B32182}"/>
    <cellStyle name="Normal 5 2 2 2 3 8" xfId="4787" xr:uid="{00000000-0005-0000-0000-00006F170000}"/>
    <cellStyle name="Normal 5 2 2 2 3 8 2" xfId="14113" xr:uid="{F55CCA69-632F-430B-A987-A60E5E274014}"/>
    <cellStyle name="Normal 5 2 2 2 3 9" xfId="8874" xr:uid="{D7CEB9F3-DFA5-483F-B08A-C4A582DD7FE8}"/>
    <cellStyle name="Normal 5 2 2 2 3 9 2" xfId="18198" xr:uid="{7E8C0CF3-7F32-40E2-B512-B02714E3131A}"/>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73" xr:uid="{0D1380E7-B2F8-47FC-A70D-433319D16520}"/>
    <cellStyle name="Normal 5 2 2 2 4 2 2 3" xfId="12456" xr:uid="{88526347-4505-4DC9-835B-86EC65C6A557}"/>
    <cellStyle name="Normal 5 2 2 2 4 2 3" xfId="5202" xr:uid="{00000000-0005-0000-0000-000074170000}"/>
    <cellStyle name="Normal 5 2 2 2 4 2 3 2" xfId="14528" xr:uid="{F319C08F-71C8-483B-964A-11BAF109EDBB}"/>
    <cellStyle name="Normal 5 2 2 2 4 2 4" xfId="9403" xr:uid="{DDA7C497-662A-4A76-A324-A27E6A0A2B3D}"/>
    <cellStyle name="Normal 5 2 2 2 4 2 4 2" xfId="18718" xr:uid="{5365106B-E807-4ED3-BCD4-BA2E0F929362}"/>
    <cellStyle name="Normal 5 2 2 2 4 2 5" xfId="10311" xr:uid="{726CD44E-DE6D-4C81-A982-3E089DE9C606}"/>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86" xr:uid="{D8792C83-00D1-463B-8676-8941070A8EF7}"/>
    <cellStyle name="Normal 5 2 2 2 4 3 2 3" xfId="12869" xr:uid="{9165413F-AD02-48CB-AC27-6738F7AF4C79}"/>
    <cellStyle name="Normal 5 2 2 2 4 3 3" xfId="5615" xr:uid="{00000000-0005-0000-0000-000078170000}"/>
    <cellStyle name="Normal 5 2 2 2 4 3 3 2" xfId="14941" xr:uid="{A27330DF-CEDF-47B4-A7AF-F02E421DBC57}"/>
    <cellStyle name="Normal 5 2 2 2 4 3 4" xfId="10724" xr:uid="{2660AF0B-848C-41F6-9B9E-A7D85FD7E0DC}"/>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99" xr:uid="{E89150C8-B0A1-49CF-A25E-7E3944542B00}"/>
    <cellStyle name="Normal 5 2 2 2 4 4 2 3" xfId="13282" xr:uid="{1838E379-324E-4F18-8CBF-976FAF366865}"/>
    <cellStyle name="Normal 5 2 2 2 4 4 3" xfId="6028" xr:uid="{00000000-0005-0000-0000-00007C170000}"/>
    <cellStyle name="Normal 5 2 2 2 4 4 3 2" xfId="15354" xr:uid="{B4FAAB10-E4D1-4798-8A42-3F1A1A061801}"/>
    <cellStyle name="Normal 5 2 2 2 4 4 4" xfId="11137" xr:uid="{83EE72C0-0620-494C-A609-11E2CF05B10E}"/>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912" xr:uid="{5530EF03-5034-45BB-8CEA-7E5DC7CCE8AD}"/>
    <cellStyle name="Normal 5 2 2 2 4 5 2 3" xfId="13695" xr:uid="{B14E9148-CB82-4D92-98C4-B83403190686}"/>
    <cellStyle name="Normal 5 2 2 2 4 5 3" xfId="6441" xr:uid="{00000000-0005-0000-0000-000080170000}"/>
    <cellStyle name="Normal 5 2 2 2 4 5 3 2" xfId="15767" xr:uid="{841155A2-F6E2-4053-A5AB-83488DD501DD}"/>
    <cellStyle name="Normal 5 2 2 2 4 5 4" xfId="11550" xr:uid="{07C4E10E-DDE7-4B58-8F0A-AB9A527C85CC}"/>
    <cellStyle name="Normal 5 2 2 2 4 6" xfId="2571" xr:uid="{00000000-0005-0000-0000-000081170000}"/>
    <cellStyle name="Normal 5 2 2 2 4 6 2" xfId="6854" xr:uid="{00000000-0005-0000-0000-000082170000}"/>
    <cellStyle name="Normal 5 2 2 2 4 6 2 2" xfId="16180" xr:uid="{5E020493-F7D6-41C2-AC77-B1DCA75839A4}"/>
    <cellStyle name="Normal 5 2 2 2 4 6 3" xfId="11963" xr:uid="{E0EA18B7-9117-4290-8AD6-A92E302E631F}"/>
    <cellStyle name="Normal 5 2 2 2 4 7" xfId="4789" xr:uid="{00000000-0005-0000-0000-000083170000}"/>
    <cellStyle name="Normal 5 2 2 2 4 7 2" xfId="14115" xr:uid="{A3F27179-5D6C-4AD6-8CA0-C3CA9592B31F}"/>
    <cellStyle name="Normal 5 2 2 2 4 8" xfId="8978" xr:uid="{5B5F86B4-BA0F-43A7-920A-E466FD014739}"/>
    <cellStyle name="Normal 5 2 2 2 4 8 2" xfId="18302" xr:uid="{2FCDF664-6D03-48D5-9AB8-823D1E8A1A48}"/>
    <cellStyle name="Normal 5 2 2 2 4 9" xfId="9898" xr:uid="{EEAACE05-7548-4C45-9133-EC4038E0DBAC}"/>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66" xr:uid="{F734209B-3B97-42B9-A83E-EB73706095F9}"/>
    <cellStyle name="Normal 5 2 2 2 5 2 3" xfId="12449" xr:uid="{CF6EE3E5-6A1C-4786-BE40-0A7CEDF3566A}"/>
    <cellStyle name="Normal 5 2 2 2 5 3" xfId="5195" xr:uid="{00000000-0005-0000-0000-000087170000}"/>
    <cellStyle name="Normal 5 2 2 2 5 3 2" xfId="14521" xr:uid="{8B396522-C435-44A6-B025-C9A273AD1776}"/>
    <cellStyle name="Normal 5 2 2 2 5 4" xfId="9195" xr:uid="{A7E71EA0-2CA4-4918-870E-A32EEF45C61A}"/>
    <cellStyle name="Normal 5 2 2 2 5 4 2" xfId="18511" xr:uid="{582D939C-CC1A-4816-A14E-8BC6BEEBE09C}"/>
    <cellStyle name="Normal 5 2 2 2 5 5" xfId="10304" xr:uid="{F7F64A3C-9A18-41AA-A150-CF7C0D8EA622}"/>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79" xr:uid="{9DA6BE48-A266-4BD1-AE9F-EE3EBED7B48D}"/>
    <cellStyle name="Normal 5 2 2 2 6 2 3" xfId="12862" xr:uid="{FA726472-006A-4AC4-BFE9-91128FE5550F}"/>
    <cellStyle name="Normal 5 2 2 2 6 3" xfId="5608" xr:uid="{00000000-0005-0000-0000-00008B170000}"/>
    <cellStyle name="Normal 5 2 2 2 6 3 2" xfId="14934" xr:uid="{CFFB9EDC-9AD9-46AE-9FC7-6CB1EE04117C}"/>
    <cellStyle name="Normal 5 2 2 2 6 4" xfId="10717" xr:uid="{F35C3F3F-6B68-439D-B887-5679D68C676C}"/>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92" xr:uid="{8BE1CD9F-7EEB-4898-89CC-7FFC3033BCFE}"/>
    <cellStyle name="Normal 5 2 2 2 7 2 3" xfId="13275" xr:uid="{80F7F36C-194C-4251-934D-E59A9161D2FC}"/>
    <cellStyle name="Normal 5 2 2 2 7 3" xfId="6021" xr:uid="{00000000-0005-0000-0000-00008F170000}"/>
    <cellStyle name="Normal 5 2 2 2 7 3 2" xfId="15347" xr:uid="{3453CDB2-D419-453D-8985-2CCE13C1AB7D}"/>
    <cellStyle name="Normal 5 2 2 2 7 4" xfId="11130" xr:uid="{DDAA00F1-9ECE-4EF0-9844-CE0D5FB613DB}"/>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905" xr:uid="{D0FA0D54-8179-483B-B8F7-A1AFD47FA4B0}"/>
    <cellStyle name="Normal 5 2 2 2 8 2 3" xfId="13688" xr:uid="{CCB85D0B-7ACD-45E1-9102-49A1D3793A4C}"/>
    <cellStyle name="Normal 5 2 2 2 8 3" xfId="6434" xr:uid="{00000000-0005-0000-0000-000093170000}"/>
    <cellStyle name="Normal 5 2 2 2 8 3 2" xfId="15760" xr:uid="{08E9C3D1-893E-4FC7-AE13-1CF1A939D852}"/>
    <cellStyle name="Normal 5 2 2 2 8 4" xfId="11543" xr:uid="{D50A686F-F889-4E26-A4D8-D0EC016C52D4}"/>
    <cellStyle name="Normal 5 2 2 2 9" xfId="2564" xr:uid="{00000000-0005-0000-0000-000094170000}"/>
    <cellStyle name="Normal 5 2 2 2 9 2" xfId="6847" xr:uid="{00000000-0005-0000-0000-000095170000}"/>
    <cellStyle name="Normal 5 2 2 2 9 2 2" xfId="16173" xr:uid="{96422727-8A17-4DC5-BDD2-0EAD825F4EE6}"/>
    <cellStyle name="Normal 5 2 2 2 9 3" xfId="11956" xr:uid="{510FA2E6-5FA5-4153-8E4D-B0480F22E4C7}"/>
    <cellStyle name="Normal 5 2 2 3" xfId="417" xr:uid="{00000000-0005-0000-0000-000096170000}"/>
    <cellStyle name="Normal 5 2 2 3 10" xfId="8828" xr:uid="{5CED8211-F967-469B-812B-9DF6FC250177}"/>
    <cellStyle name="Normal 5 2 2 3 10 2" xfId="18152" xr:uid="{4E983FC8-FCC7-418C-B6D6-FA18205CC000}"/>
    <cellStyle name="Normal 5 2 2 3 11" xfId="9899" xr:uid="{34906E91-E5AB-4168-927A-10DB63F7A8F8}"/>
    <cellStyle name="Normal 5 2 2 3 2" xfId="418" xr:uid="{00000000-0005-0000-0000-000097170000}"/>
    <cellStyle name="Normal 5 2 2 3 2 10" xfId="9900" xr:uid="{96734AC0-A079-4BA4-A3F9-796E28157304}"/>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76" xr:uid="{0C09B2BD-69FA-436B-9BC0-C232ED6C81F0}"/>
    <cellStyle name="Normal 5 2 2 3 2 2 2 2 3" xfId="12459" xr:uid="{8BF90ACF-674F-4CFB-A2C8-61775FE70210}"/>
    <cellStyle name="Normal 5 2 2 3 2 2 2 3" xfId="5205" xr:uid="{00000000-0005-0000-0000-00009C170000}"/>
    <cellStyle name="Normal 5 2 2 3 2 2 2 3 2" xfId="14531" xr:uid="{EE25879C-522E-423C-9C5C-7F8FD6859511}"/>
    <cellStyle name="Normal 5 2 2 3 2 2 2 4" xfId="9563" xr:uid="{804E641C-B5FA-46A3-B805-C1D4AF390C28}"/>
    <cellStyle name="Normal 5 2 2 3 2 2 2 4 2" xfId="18878" xr:uid="{AAD7226E-C246-478A-A77A-4AB7E1502AFB}"/>
    <cellStyle name="Normal 5 2 2 3 2 2 2 5" xfId="10314" xr:uid="{ADE8D161-E6B0-4C83-8078-27C821CBDB8E}"/>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89" xr:uid="{FC44DB94-84E4-4C97-836F-23B33CE0A2B3}"/>
    <cellStyle name="Normal 5 2 2 3 2 2 3 2 3" xfId="12872" xr:uid="{78D76226-3115-4830-9D68-6B5F17E2A4CE}"/>
    <cellStyle name="Normal 5 2 2 3 2 2 3 3" xfId="5618" xr:uid="{00000000-0005-0000-0000-0000A0170000}"/>
    <cellStyle name="Normal 5 2 2 3 2 2 3 3 2" xfId="14944" xr:uid="{E6BA897C-AE0A-4A97-8EB7-0DA657C37E48}"/>
    <cellStyle name="Normal 5 2 2 3 2 2 3 4" xfId="10727" xr:uid="{5E768869-1B72-4CF1-9AB5-EA2DB0D718E6}"/>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502" xr:uid="{67197FC4-31F3-4F4D-9591-DD5D0A75CF38}"/>
    <cellStyle name="Normal 5 2 2 3 2 2 4 2 3" xfId="13285" xr:uid="{3A9261C7-FB7A-43BE-B5D1-B88F2DD4BC10}"/>
    <cellStyle name="Normal 5 2 2 3 2 2 4 3" xfId="6031" xr:uid="{00000000-0005-0000-0000-0000A4170000}"/>
    <cellStyle name="Normal 5 2 2 3 2 2 4 3 2" xfId="15357" xr:uid="{86C454D4-04D6-4666-8A06-C479ED898F5D}"/>
    <cellStyle name="Normal 5 2 2 3 2 2 4 4" xfId="11140" xr:uid="{41655D0F-A202-48FA-B3AA-4E80D91B167E}"/>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915" xr:uid="{D405A47F-1798-4946-8930-3C3DE48689DA}"/>
    <cellStyle name="Normal 5 2 2 3 2 2 5 2 3" xfId="13698" xr:uid="{69D28A3A-6D2A-4ADB-9FBC-6F55650016AC}"/>
    <cellStyle name="Normal 5 2 2 3 2 2 5 3" xfId="6444" xr:uid="{00000000-0005-0000-0000-0000A8170000}"/>
    <cellStyle name="Normal 5 2 2 3 2 2 5 3 2" xfId="15770" xr:uid="{D0CB90E3-9E02-4901-983F-C2991C12C991}"/>
    <cellStyle name="Normal 5 2 2 3 2 2 5 4" xfId="11553" xr:uid="{012083E5-3A86-41C7-B7C4-92DC9DB0398B}"/>
    <cellStyle name="Normal 5 2 2 3 2 2 6" xfId="2574" xr:uid="{00000000-0005-0000-0000-0000A9170000}"/>
    <cellStyle name="Normal 5 2 2 3 2 2 6 2" xfId="6857" xr:uid="{00000000-0005-0000-0000-0000AA170000}"/>
    <cellStyle name="Normal 5 2 2 3 2 2 6 2 2" xfId="16183" xr:uid="{9BF4729B-04C5-4F05-847D-C2BBC9C02E61}"/>
    <cellStyle name="Normal 5 2 2 3 2 2 6 3" xfId="11966" xr:uid="{A63D56D7-293D-4EB3-A7EF-F11674731910}"/>
    <cellStyle name="Normal 5 2 2 3 2 2 7" xfId="4792" xr:uid="{00000000-0005-0000-0000-0000AB170000}"/>
    <cellStyle name="Normal 5 2 2 3 2 2 7 2" xfId="14118" xr:uid="{492509B5-E478-4346-8EFA-DFA75F72ED7A}"/>
    <cellStyle name="Normal 5 2 2 3 2 2 8" xfId="9138" xr:uid="{BE73D583-3CAB-48A9-8A6F-E88EE69D1D1D}"/>
    <cellStyle name="Normal 5 2 2 3 2 2 8 2" xfId="18462" xr:uid="{0C024726-5898-458D-986D-C4FCDAE8E90A}"/>
    <cellStyle name="Normal 5 2 2 3 2 2 9" xfId="9901" xr:uid="{A0AEABF9-095B-451B-BF28-6E3877A81393}"/>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75" xr:uid="{C9EDF648-AF8C-4E63-BB9A-80DC95716867}"/>
    <cellStyle name="Normal 5 2 2 3 2 3 2 3" xfId="12458" xr:uid="{BFE12E73-18FA-42A3-A655-4692B789E339}"/>
    <cellStyle name="Normal 5 2 2 3 2 3 3" xfId="5204" xr:uid="{00000000-0005-0000-0000-0000AF170000}"/>
    <cellStyle name="Normal 5 2 2 3 2 3 3 2" xfId="14530" xr:uid="{D24D268E-905A-4DE6-81D4-DA7BBDBB537E}"/>
    <cellStyle name="Normal 5 2 2 3 2 3 4" xfId="9356" xr:uid="{58BAA3B3-A7A2-4F6F-9929-D8BE9F0A557D}"/>
    <cellStyle name="Normal 5 2 2 3 2 3 4 2" xfId="18671" xr:uid="{066532D6-BA23-4250-ACFF-B7E111AF2269}"/>
    <cellStyle name="Normal 5 2 2 3 2 3 5" xfId="10313" xr:uid="{AFD82F63-A467-47DA-9D15-8C772D49399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88" xr:uid="{D8772552-619E-41D9-90D1-5C525F380EE2}"/>
    <cellStyle name="Normal 5 2 2 3 2 4 2 3" xfId="12871" xr:uid="{577A3F0F-39E2-4462-AD52-642F242D02D5}"/>
    <cellStyle name="Normal 5 2 2 3 2 4 3" xfId="5617" xr:uid="{00000000-0005-0000-0000-0000B3170000}"/>
    <cellStyle name="Normal 5 2 2 3 2 4 3 2" xfId="14943" xr:uid="{490C9187-77AD-4923-837B-7FDC1A065D1E}"/>
    <cellStyle name="Normal 5 2 2 3 2 4 4" xfId="10726" xr:uid="{1A63E76F-9C38-4C0B-9FE7-FA94DAD0A7B3}"/>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501" xr:uid="{6A0704B2-33D0-4FCF-881F-3A01322F689A}"/>
    <cellStyle name="Normal 5 2 2 3 2 5 2 3" xfId="13284" xr:uid="{140DA9FA-A095-4C4E-A68B-1AD03BC88D63}"/>
    <cellStyle name="Normal 5 2 2 3 2 5 3" xfId="6030" xr:uid="{00000000-0005-0000-0000-0000B7170000}"/>
    <cellStyle name="Normal 5 2 2 3 2 5 3 2" xfId="15356" xr:uid="{F9091038-F876-4651-B129-8282427F23AC}"/>
    <cellStyle name="Normal 5 2 2 3 2 5 4" xfId="11139" xr:uid="{9BE7ACCE-E344-481C-93C0-D33CA88D9939}"/>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914" xr:uid="{E16ED899-E86B-4548-9F58-74BA9C2BA556}"/>
    <cellStyle name="Normal 5 2 2 3 2 6 2 3" xfId="13697" xr:uid="{C165AA33-B00E-4760-B01C-1E1C0AFC4EC9}"/>
    <cellStyle name="Normal 5 2 2 3 2 6 3" xfId="6443" xr:uid="{00000000-0005-0000-0000-0000BB170000}"/>
    <cellStyle name="Normal 5 2 2 3 2 6 3 2" xfId="15769" xr:uid="{F63611B9-BAE8-4597-981F-12F452C21954}"/>
    <cellStyle name="Normal 5 2 2 3 2 6 4" xfId="11552" xr:uid="{14B3C1F7-DA57-4661-96F2-5AD78745AA0A}"/>
    <cellStyle name="Normal 5 2 2 3 2 7" xfId="2573" xr:uid="{00000000-0005-0000-0000-0000BC170000}"/>
    <cellStyle name="Normal 5 2 2 3 2 7 2" xfId="6856" xr:uid="{00000000-0005-0000-0000-0000BD170000}"/>
    <cellStyle name="Normal 5 2 2 3 2 7 2 2" xfId="16182" xr:uid="{07B8189C-0D91-4662-87A8-5F586C943468}"/>
    <cellStyle name="Normal 5 2 2 3 2 7 3" xfId="11965" xr:uid="{41341CDD-A54A-4D2E-A4D4-EC68F5352BC4}"/>
    <cellStyle name="Normal 5 2 2 3 2 8" xfId="4791" xr:uid="{00000000-0005-0000-0000-0000BE170000}"/>
    <cellStyle name="Normal 5 2 2 3 2 8 2" xfId="14117" xr:uid="{651AE47A-514B-482A-9814-B5DF895E6558}"/>
    <cellStyle name="Normal 5 2 2 3 2 9" xfId="8931" xr:uid="{E27E09D3-2564-4B82-8EA4-A27330B6B436}"/>
    <cellStyle name="Normal 5 2 2 3 2 9 2" xfId="18255" xr:uid="{74867403-84D8-4DE7-97BF-66BC7AE5B434}"/>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77" xr:uid="{A5FEF32E-EFEA-498C-9C12-7F0F6B3B6A0D}"/>
    <cellStyle name="Normal 5 2 2 3 3 2 2 3" xfId="12460" xr:uid="{35F0A580-3055-41EF-B0AD-F9562AFBFE82}"/>
    <cellStyle name="Normal 5 2 2 3 3 2 3" xfId="5206" xr:uid="{00000000-0005-0000-0000-0000C3170000}"/>
    <cellStyle name="Normal 5 2 2 3 3 2 3 2" xfId="14532" xr:uid="{A49BC1AB-36F4-4BDC-8BF6-EA9352B471D3}"/>
    <cellStyle name="Normal 5 2 2 3 3 2 4" xfId="9460" xr:uid="{423E0BE9-24F3-4EF0-8962-2565594BF831}"/>
    <cellStyle name="Normal 5 2 2 3 3 2 4 2" xfId="18775" xr:uid="{86AAB8C4-D2E8-4251-AD9B-E989EEBBACF4}"/>
    <cellStyle name="Normal 5 2 2 3 3 2 5" xfId="10315" xr:uid="{4DBDE099-13D2-47F5-9243-45D1FA7A2025}"/>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90" xr:uid="{8A53313A-AF1C-414F-8464-C7B7DF47B4D0}"/>
    <cellStyle name="Normal 5 2 2 3 3 3 2 3" xfId="12873" xr:uid="{12625C83-A177-4A5A-96AF-B8EC475212D3}"/>
    <cellStyle name="Normal 5 2 2 3 3 3 3" xfId="5619" xr:uid="{00000000-0005-0000-0000-0000C7170000}"/>
    <cellStyle name="Normal 5 2 2 3 3 3 3 2" xfId="14945" xr:uid="{89092728-1070-4376-A986-09E0313942B0}"/>
    <cellStyle name="Normal 5 2 2 3 3 3 4" xfId="10728" xr:uid="{7667FC05-1FD5-4B2F-B970-10F414AE78B8}"/>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503" xr:uid="{43932774-ACAA-427B-AE3F-52564821881E}"/>
    <cellStyle name="Normal 5 2 2 3 3 4 2 3" xfId="13286" xr:uid="{7AF18B49-9C92-4528-B298-3D25306524D1}"/>
    <cellStyle name="Normal 5 2 2 3 3 4 3" xfId="6032" xr:uid="{00000000-0005-0000-0000-0000CB170000}"/>
    <cellStyle name="Normal 5 2 2 3 3 4 3 2" xfId="15358" xr:uid="{C74C7A22-10CA-4927-9FAA-431255572174}"/>
    <cellStyle name="Normal 5 2 2 3 3 4 4" xfId="11141" xr:uid="{F2A3AD43-2DB5-446F-9F9E-F37E11ADD7B3}"/>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916" xr:uid="{89A52833-6918-4910-B76C-D2D59CB80581}"/>
    <cellStyle name="Normal 5 2 2 3 3 5 2 3" xfId="13699" xr:uid="{F02BCB57-5AAC-4B10-9049-E91541A2BD9F}"/>
    <cellStyle name="Normal 5 2 2 3 3 5 3" xfId="6445" xr:uid="{00000000-0005-0000-0000-0000CF170000}"/>
    <cellStyle name="Normal 5 2 2 3 3 5 3 2" xfId="15771" xr:uid="{7FFC3B4B-CEF7-481F-A7A0-0A890AE19645}"/>
    <cellStyle name="Normal 5 2 2 3 3 5 4" xfId="11554" xr:uid="{856C234F-AA86-4437-9E60-6F714CD9D177}"/>
    <cellStyle name="Normal 5 2 2 3 3 6" xfId="2575" xr:uid="{00000000-0005-0000-0000-0000D0170000}"/>
    <cellStyle name="Normal 5 2 2 3 3 6 2" xfId="6858" xr:uid="{00000000-0005-0000-0000-0000D1170000}"/>
    <cellStyle name="Normal 5 2 2 3 3 6 2 2" xfId="16184" xr:uid="{25ABB4F8-44D4-4D55-977F-1DEE2FD0466E}"/>
    <cellStyle name="Normal 5 2 2 3 3 6 3" xfId="11967" xr:uid="{C687BA40-2FC5-4A3C-BCD2-B2CA87C0F6F5}"/>
    <cellStyle name="Normal 5 2 2 3 3 7" xfId="4793" xr:uid="{00000000-0005-0000-0000-0000D2170000}"/>
    <cellStyle name="Normal 5 2 2 3 3 7 2" xfId="14119" xr:uid="{BA11F52A-CB6C-4D15-9827-F8190B328970}"/>
    <cellStyle name="Normal 5 2 2 3 3 8" xfId="9035" xr:uid="{6AC57173-16AF-4847-A277-E4254AACDA36}"/>
    <cellStyle name="Normal 5 2 2 3 3 8 2" xfId="18359" xr:uid="{B490452E-CB02-4AE2-8353-6B9AAEC1257D}"/>
    <cellStyle name="Normal 5 2 2 3 3 9" xfId="9902" xr:uid="{F8753E83-D3A4-4505-BBA6-F615FD6AFE16}"/>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74" xr:uid="{3E9BF69F-6587-4B37-BF6B-4CBFA47AC036}"/>
    <cellStyle name="Normal 5 2 2 3 4 2 3" xfId="12457" xr:uid="{64C898A2-8BCB-4421-8703-49E02D8B63ED}"/>
    <cellStyle name="Normal 5 2 2 3 4 3" xfId="5203" xr:uid="{00000000-0005-0000-0000-0000D6170000}"/>
    <cellStyle name="Normal 5 2 2 3 4 3 2" xfId="14529" xr:uid="{DF742AE0-1395-4476-BD6B-7DCC96589CBC}"/>
    <cellStyle name="Normal 5 2 2 3 4 4" xfId="9253" xr:uid="{A5C3AAF9-67DD-41B1-A0BF-05B69F588F71}"/>
    <cellStyle name="Normal 5 2 2 3 4 4 2" xfId="18568" xr:uid="{738959CE-26A6-4FDB-9151-B906C8A34E2E}"/>
    <cellStyle name="Normal 5 2 2 3 4 5" xfId="10312" xr:uid="{BEA9A60F-857B-4DD0-B2D4-3B315B2A327D}"/>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87" xr:uid="{1ECC12E0-66F8-4EFE-867C-2AD19EDAA57D}"/>
    <cellStyle name="Normal 5 2 2 3 5 2 3" xfId="12870" xr:uid="{8A090FD7-BD1E-4351-BF5C-9F120B10ACC7}"/>
    <cellStyle name="Normal 5 2 2 3 5 3" xfId="5616" xr:uid="{00000000-0005-0000-0000-0000DA170000}"/>
    <cellStyle name="Normal 5 2 2 3 5 3 2" xfId="14942" xr:uid="{67068445-0C64-4761-8DAC-AAE429A80DAF}"/>
    <cellStyle name="Normal 5 2 2 3 5 4" xfId="10725" xr:uid="{9502DC48-FA03-43B9-9EC9-60C9862B059A}"/>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500" xr:uid="{765ED94A-5FB5-4DEC-B918-1BF2425C3DCE}"/>
    <cellStyle name="Normal 5 2 2 3 6 2 3" xfId="13283" xr:uid="{AF1E819E-136C-4869-96E3-5064CB89DEAC}"/>
    <cellStyle name="Normal 5 2 2 3 6 3" xfId="6029" xr:uid="{00000000-0005-0000-0000-0000DE170000}"/>
    <cellStyle name="Normal 5 2 2 3 6 3 2" xfId="15355" xr:uid="{B9C8A00D-2C25-46D8-9B05-A026B69A9293}"/>
    <cellStyle name="Normal 5 2 2 3 6 4" xfId="11138" xr:uid="{C91A9044-B370-494E-8DA5-B2586ADCD0FC}"/>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913" xr:uid="{361A0A9F-2FA7-4601-B219-383907BA7BEB}"/>
    <cellStyle name="Normal 5 2 2 3 7 2 3" xfId="13696" xr:uid="{FFD06FA3-9DA6-4365-B78C-453D2DF0FEAB}"/>
    <cellStyle name="Normal 5 2 2 3 7 3" xfId="6442" xr:uid="{00000000-0005-0000-0000-0000E2170000}"/>
    <cellStyle name="Normal 5 2 2 3 7 3 2" xfId="15768" xr:uid="{9E7AB069-80AE-40CA-BFE3-99DB0C75EE89}"/>
    <cellStyle name="Normal 5 2 2 3 7 4" xfId="11551" xr:uid="{66A0244F-80BF-4C65-9275-E6B37245ED58}"/>
    <cellStyle name="Normal 5 2 2 3 8" xfId="2572" xr:uid="{00000000-0005-0000-0000-0000E3170000}"/>
    <cellStyle name="Normal 5 2 2 3 8 2" xfId="6855" xr:uid="{00000000-0005-0000-0000-0000E4170000}"/>
    <cellStyle name="Normal 5 2 2 3 8 2 2" xfId="16181" xr:uid="{B68202F5-1812-4E6C-A302-AB6F27A644AD}"/>
    <cellStyle name="Normal 5 2 2 3 8 3" xfId="11964" xr:uid="{A6EE49E1-54D9-4789-9D0C-F4FED9AAB4DE}"/>
    <cellStyle name="Normal 5 2 2 3 9" xfId="4790" xr:uid="{00000000-0005-0000-0000-0000E5170000}"/>
    <cellStyle name="Normal 5 2 2 3 9 2" xfId="14116" xr:uid="{DAC3DC35-7538-4EEF-84DC-46D781F87ACC}"/>
    <cellStyle name="Normal 5 2 2 4" xfId="421" xr:uid="{00000000-0005-0000-0000-0000E6170000}"/>
    <cellStyle name="Normal 5 2 2 4 10" xfId="9903" xr:uid="{06D9DC05-693C-4E7A-ACCF-9C44D8AA4037}"/>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79" xr:uid="{73BF517B-9E13-4158-9E7A-752F5E75F9CE}"/>
    <cellStyle name="Normal 5 2 2 4 2 2 2 3" xfId="12462" xr:uid="{4845E51D-C2E6-47C1-824B-FD12FF7F2F86}"/>
    <cellStyle name="Normal 5 2 2 4 2 2 3" xfId="5208" xr:uid="{00000000-0005-0000-0000-0000EB170000}"/>
    <cellStyle name="Normal 5 2 2 4 2 2 3 2" xfId="14534" xr:uid="{1293B13F-4838-4A14-91F9-A1ED293071DA}"/>
    <cellStyle name="Normal 5 2 2 4 2 2 4" xfId="9488" xr:uid="{2997B11D-E810-48A4-BD3C-4498479B295E}"/>
    <cellStyle name="Normal 5 2 2 4 2 2 4 2" xfId="18803" xr:uid="{5B29C229-A612-4A0A-832A-67A3CCDC4284}"/>
    <cellStyle name="Normal 5 2 2 4 2 2 5" xfId="10317" xr:uid="{367EB28E-935F-4015-AC66-3A204D5FC49B}"/>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92" xr:uid="{65D2DE5F-13BC-459E-800B-63640B18E008}"/>
    <cellStyle name="Normal 5 2 2 4 2 3 2 3" xfId="12875" xr:uid="{82127648-96D6-4D54-8F98-6629836A807B}"/>
    <cellStyle name="Normal 5 2 2 4 2 3 3" xfId="5621" xr:uid="{00000000-0005-0000-0000-0000EF170000}"/>
    <cellStyle name="Normal 5 2 2 4 2 3 3 2" xfId="14947" xr:uid="{D064DD45-CC12-4ED7-8C4F-7C1EB1D55A75}"/>
    <cellStyle name="Normal 5 2 2 4 2 3 4" xfId="10730" xr:uid="{F1CBDFFF-1C33-4ECB-8B9D-7975B9A38B0B}"/>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505" xr:uid="{93D1F45F-C31E-4E92-B5BF-2A192EC71DF7}"/>
    <cellStyle name="Normal 5 2 2 4 2 4 2 3" xfId="13288" xr:uid="{72238E9E-78C1-47C7-A6F5-47B113D01771}"/>
    <cellStyle name="Normal 5 2 2 4 2 4 3" xfId="6034" xr:uid="{00000000-0005-0000-0000-0000F3170000}"/>
    <cellStyle name="Normal 5 2 2 4 2 4 3 2" xfId="15360" xr:uid="{84A5F3C7-7C41-44D9-84A6-ECE311C3E0D3}"/>
    <cellStyle name="Normal 5 2 2 4 2 4 4" xfId="11143" xr:uid="{C61EA29D-4524-41CE-961D-2A5D2316F12F}"/>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918" xr:uid="{0924E8AF-06C7-45F2-B6EA-D5A84ED9A7FA}"/>
    <cellStyle name="Normal 5 2 2 4 2 5 2 3" xfId="13701" xr:uid="{EC34146C-D065-46F5-8917-1FCA71A0FB7C}"/>
    <cellStyle name="Normal 5 2 2 4 2 5 3" xfId="6447" xr:uid="{00000000-0005-0000-0000-0000F7170000}"/>
    <cellStyle name="Normal 5 2 2 4 2 5 3 2" xfId="15773" xr:uid="{1F49B405-AE29-4A88-9EE7-287C3B01E42D}"/>
    <cellStyle name="Normal 5 2 2 4 2 5 4" xfId="11556" xr:uid="{C3D985BF-06B5-4F9F-A35C-00EF3F5440CF}"/>
    <cellStyle name="Normal 5 2 2 4 2 6" xfId="2577" xr:uid="{00000000-0005-0000-0000-0000F8170000}"/>
    <cellStyle name="Normal 5 2 2 4 2 6 2" xfId="6860" xr:uid="{00000000-0005-0000-0000-0000F9170000}"/>
    <cellStyle name="Normal 5 2 2 4 2 6 2 2" xfId="16186" xr:uid="{C1CA829B-700E-4748-BE40-160ED1D1407C}"/>
    <cellStyle name="Normal 5 2 2 4 2 6 3" xfId="11969" xr:uid="{BD1F92F5-4956-4236-8B4A-EAC34501EB5B}"/>
    <cellStyle name="Normal 5 2 2 4 2 7" xfId="4795" xr:uid="{00000000-0005-0000-0000-0000FA170000}"/>
    <cellStyle name="Normal 5 2 2 4 2 7 2" xfId="14121" xr:uid="{65380B7F-EE98-4EFA-A8F6-BA650C313338}"/>
    <cellStyle name="Normal 5 2 2 4 2 8" xfId="9063" xr:uid="{3B1AA107-8D7F-4938-A60C-EED41E9B9A2A}"/>
    <cellStyle name="Normal 5 2 2 4 2 8 2" xfId="18387" xr:uid="{3A33684E-7AB3-449F-BAD9-C783F0961251}"/>
    <cellStyle name="Normal 5 2 2 4 2 9" xfId="9904" xr:uid="{26B20262-F867-42AD-9BFA-18519D2DD59D}"/>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78" xr:uid="{244CF17D-349F-46E1-A301-CB86A80DA108}"/>
    <cellStyle name="Normal 5 2 2 4 3 2 3" xfId="12461" xr:uid="{5316FF44-E4DA-433C-A783-9DD632D0D0D8}"/>
    <cellStyle name="Normal 5 2 2 4 3 3" xfId="5207" xr:uid="{00000000-0005-0000-0000-0000FE170000}"/>
    <cellStyle name="Normal 5 2 2 4 3 3 2" xfId="14533" xr:uid="{7B5E9D58-E097-48E9-9A3B-79E00A343609}"/>
    <cellStyle name="Normal 5 2 2 4 3 4" xfId="9281" xr:uid="{9304050F-95A7-4BE3-AD21-FEBB7D0875B2}"/>
    <cellStyle name="Normal 5 2 2 4 3 4 2" xfId="18596" xr:uid="{C8247B11-7402-4BA5-808F-EB57502EDAF9}"/>
    <cellStyle name="Normal 5 2 2 4 3 5" xfId="10316" xr:uid="{12AA2775-31B9-4F49-B2CD-B4B8BC744C20}"/>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91" xr:uid="{F1176748-2AB5-479F-9B38-1665029D47A2}"/>
    <cellStyle name="Normal 5 2 2 4 4 2 3" xfId="12874" xr:uid="{CD29DF7D-CED7-4D98-A26D-A503E5441D18}"/>
    <cellStyle name="Normal 5 2 2 4 4 3" xfId="5620" xr:uid="{00000000-0005-0000-0000-000002180000}"/>
    <cellStyle name="Normal 5 2 2 4 4 3 2" xfId="14946" xr:uid="{10555218-E20F-4186-85FA-AB7BB16211FB}"/>
    <cellStyle name="Normal 5 2 2 4 4 4" xfId="10729" xr:uid="{9FD0F8B3-411D-4E6B-81E4-7DAFB5E2BC93}"/>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504" xr:uid="{F82068B8-747F-4ADA-9C86-C478F3E90F9B}"/>
    <cellStyle name="Normal 5 2 2 4 5 2 3" xfId="13287" xr:uid="{3ACB9458-E337-41A0-B7C0-B20975BE17E2}"/>
    <cellStyle name="Normal 5 2 2 4 5 3" xfId="6033" xr:uid="{00000000-0005-0000-0000-000006180000}"/>
    <cellStyle name="Normal 5 2 2 4 5 3 2" xfId="15359" xr:uid="{25649FB3-1A60-4BED-94C9-5120E36D043D}"/>
    <cellStyle name="Normal 5 2 2 4 5 4" xfId="11142" xr:uid="{01B48FB0-70F3-43A4-91CA-7E7DBFC3B6D9}"/>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917" xr:uid="{CA6434EC-F122-4741-AE40-B525C5E13360}"/>
    <cellStyle name="Normal 5 2 2 4 6 2 3" xfId="13700" xr:uid="{8BBCDA75-F534-4C6C-ADEF-F9975F589B02}"/>
    <cellStyle name="Normal 5 2 2 4 6 3" xfId="6446" xr:uid="{00000000-0005-0000-0000-00000A180000}"/>
    <cellStyle name="Normal 5 2 2 4 6 3 2" xfId="15772" xr:uid="{62413102-E78A-4719-9F80-247ADC743F60}"/>
    <cellStyle name="Normal 5 2 2 4 6 4" xfId="11555" xr:uid="{AD32BA4C-1C82-44C9-B5A2-0E73BB461D1B}"/>
    <cellStyle name="Normal 5 2 2 4 7" xfId="2576" xr:uid="{00000000-0005-0000-0000-00000B180000}"/>
    <cellStyle name="Normal 5 2 2 4 7 2" xfId="6859" xr:uid="{00000000-0005-0000-0000-00000C180000}"/>
    <cellStyle name="Normal 5 2 2 4 7 2 2" xfId="16185" xr:uid="{09839365-8726-4AA3-8FBD-7C873F234FF6}"/>
    <cellStyle name="Normal 5 2 2 4 7 3" xfId="11968" xr:uid="{A8D4E8AA-2C3F-481E-84D8-8BAF77025982}"/>
    <cellStyle name="Normal 5 2 2 4 8" xfId="4794" xr:uid="{00000000-0005-0000-0000-00000D180000}"/>
    <cellStyle name="Normal 5 2 2 4 8 2" xfId="14120" xr:uid="{F4A1C6EA-24F5-4FD8-851D-99BFE96DE35A}"/>
    <cellStyle name="Normal 5 2 2 4 9" xfId="8856" xr:uid="{8A537EF5-BE1D-4B82-9546-B2DC1F74308F}"/>
    <cellStyle name="Normal 5 2 2 4 9 2" xfId="18180" xr:uid="{DD523A29-8109-470D-9855-F82E07D01C77}"/>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80" xr:uid="{F399594F-1474-4484-8E99-C33132D31FD8}"/>
    <cellStyle name="Normal 5 2 2 5 2 2 3" xfId="12463" xr:uid="{26B8D64C-539B-44FA-B917-FE649462D84E}"/>
    <cellStyle name="Normal 5 2 2 5 2 3" xfId="5209" xr:uid="{00000000-0005-0000-0000-000012180000}"/>
    <cellStyle name="Normal 5 2 2 5 2 3 2" xfId="14535" xr:uid="{65F5FCA5-49C0-4DF5-913A-8ACDEA8A1453}"/>
    <cellStyle name="Normal 5 2 2 5 2 4" xfId="9397" xr:uid="{3CB0B9A4-F907-4F52-ACFC-7970F7AF9B13}"/>
    <cellStyle name="Normal 5 2 2 5 2 4 2" xfId="18712" xr:uid="{ED10BF55-CAE7-4435-9FA6-4C90E680B151}"/>
    <cellStyle name="Normal 5 2 2 5 2 5" xfId="10318" xr:uid="{FC471ECC-6CC1-4456-84DC-9CC154E12E8E}"/>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93" xr:uid="{BA42205D-C218-4A56-9FB7-59621CA0BA46}"/>
    <cellStyle name="Normal 5 2 2 5 3 2 3" xfId="12876" xr:uid="{2D287C47-93C9-4197-8D58-B78B2C89286B}"/>
    <cellStyle name="Normal 5 2 2 5 3 3" xfId="5622" xr:uid="{00000000-0005-0000-0000-000016180000}"/>
    <cellStyle name="Normal 5 2 2 5 3 3 2" xfId="14948" xr:uid="{823F5D47-8185-4330-92B6-6FFFA980BF36}"/>
    <cellStyle name="Normal 5 2 2 5 3 4" xfId="10731" xr:uid="{AC471310-32B3-4DA7-979D-B359307AF043}"/>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506" xr:uid="{F799198F-DE95-482E-AC54-E90E2CDA8235}"/>
    <cellStyle name="Normal 5 2 2 5 4 2 3" xfId="13289" xr:uid="{876AF783-364C-47FE-B932-CA4377F15225}"/>
    <cellStyle name="Normal 5 2 2 5 4 3" xfId="6035" xr:uid="{00000000-0005-0000-0000-00001A180000}"/>
    <cellStyle name="Normal 5 2 2 5 4 3 2" xfId="15361" xr:uid="{677A57FC-60E3-4371-A794-76DA36E05625}"/>
    <cellStyle name="Normal 5 2 2 5 4 4" xfId="11144" xr:uid="{CE81C319-326D-479A-A639-6C09FCC3EE6F}"/>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919" xr:uid="{A4CD8CFB-68D6-4788-9164-D94663D8D0B2}"/>
    <cellStyle name="Normal 5 2 2 5 5 2 3" xfId="13702" xr:uid="{32D7F0EF-BF11-42A9-808E-89CD1B18965F}"/>
    <cellStyle name="Normal 5 2 2 5 5 3" xfId="6448" xr:uid="{00000000-0005-0000-0000-00001E180000}"/>
    <cellStyle name="Normal 5 2 2 5 5 3 2" xfId="15774" xr:uid="{453C5959-6257-4E14-AB49-654C8212BD9A}"/>
    <cellStyle name="Normal 5 2 2 5 5 4" xfId="11557" xr:uid="{1D96716A-C162-4911-A628-A85FA12E8BFA}"/>
    <cellStyle name="Normal 5 2 2 5 6" xfId="2578" xr:uid="{00000000-0005-0000-0000-00001F180000}"/>
    <cellStyle name="Normal 5 2 2 5 6 2" xfId="6861" xr:uid="{00000000-0005-0000-0000-000020180000}"/>
    <cellStyle name="Normal 5 2 2 5 6 2 2" xfId="16187" xr:uid="{621FC5D6-54D4-47FA-BA56-43003EA6E5FF}"/>
    <cellStyle name="Normal 5 2 2 5 6 3" xfId="11970" xr:uid="{2313416A-9BC9-407F-A91E-5B66F1E5397E}"/>
    <cellStyle name="Normal 5 2 2 5 7" xfId="4796" xr:uid="{00000000-0005-0000-0000-000021180000}"/>
    <cellStyle name="Normal 5 2 2 5 7 2" xfId="14122" xr:uid="{EAE7B694-93D8-4ABF-B33F-6C1B21412CBE}"/>
    <cellStyle name="Normal 5 2 2 5 8" xfId="8972" xr:uid="{3CCC8856-6464-4309-A4F9-43F74A48C503}"/>
    <cellStyle name="Normal 5 2 2 5 8 2" xfId="18296" xr:uid="{7E49A170-2DA6-4459-B4C6-E24F5D4FDAF6}"/>
    <cellStyle name="Normal 5 2 2 5 9" xfId="9905" xr:uid="{47375003-3535-46A9-A9D9-B259FE2FFBAF}"/>
    <cellStyle name="Normal 5 2 2 6" xfId="882" xr:uid="{00000000-0005-0000-0000-000022180000}"/>
    <cellStyle name="Normal 5 2 2 6 2" xfId="3117" xr:uid="{00000000-0005-0000-0000-000023180000}"/>
    <cellStyle name="Normal 5 2 2 6 2 2" xfId="7339" xr:uid="{00000000-0005-0000-0000-000024180000}"/>
    <cellStyle name="Normal 5 2 2 6 2 2 2" xfId="16665" xr:uid="{ACEF0279-0CDC-42E2-9F6C-C9E7909AF0B1}"/>
    <cellStyle name="Normal 5 2 2 6 2 3" xfId="12448" xr:uid="{AE379650-DD2F-4C68-AD53-0B7FCC8A7210}"/>
    <cellStyle name="Normal 5 2 2 6 3" xfId="5194" xr:uid="{00000000-0005-0000-0000-000025180000}"/>
    <cellStyle name="Normal 5 2 2 6 3 2" xfId="14520" xr:uid="{FDE6BF69-80B7-4CA7-8BA5-88196B7741F1}"/>
    <cellStyle name="Normal 5 2 2 6 4" xfId="9175" xr:uid="{A0BC076A-DB75-4963-A17E-57836FA6391D}"/>
    <cellStyle name="Normal 5 2 2 6 4 2" xfId="18493" xr:uid="{5459521A-BA64-433C-BF8D-09C793F6064B}"/>
    <cellStyle name="Normal 5 2 2 6 5" xfId="10303" xr:uid="{4C4AA023-72A6-4C58-A370-8581CE2A3E58}"/>
    <cellStyle name="Normal 5 2 2 7" xfId="1300" xr:uid="{00000000-0005-0000-0000-000026180000}"/>
    <cellStyle name="Normal 5 2 2 7 2" xfId="3530" xr:uid="{00000000-0005-0000-0000-000027180000}"/>
    <cellStyle name="Normal 5 2 2 7 2 2" xfId="7752" xr:uid="{00000000-0005-0000-0000-000028180000}"/>
    <cellStyle name="Normal 5 2 2 7 2 2 2" xfId="17078" xr:uid="{EC01C175-6E99-44C8-82A9-C889034747AD}"/>
    <cellStyle name="Normal 5 2 2 7 2 3" xfId="12861" xr:uid="{BF4F413A-D614-4BED-BC5A-2D3D740324D0}"/>
    <cellStyle name="Normal 5 2 2 7 3" xfId="5607" xr:uid="{00000000-0005-0000-0000-000029180000}"/>
    <cellStyle name="Normal 5 2 2 7 3 2" xfId="14933" xr:uid="{83CF261E-5501-438A-A122-E085E7E0FC79}"/>
    <cellStyle name="Normal 5 2 2 7 4" xfId="10716" xr:uid="{FB9BC00D-875F-499C-BA0B-0D6900BCFF8D}"/>
    <cellStyle name="Normal 5 2 2 8" xfId="1713" xr:uid="{00000000-0005-0000-0000-00002A180000}"/>
    <cellStyle name="Normal 5 2 2 8 2" xfId="3943" xr:uid="{00000000-0005-0000-0000-00002B180000}"/>
    <cellStyle name="Normal 5 2 2 8 2 2" xfId="8165" xr:uid="{00000000-0005-0000-0000-00002C180000}"/>
    <cellStyle name="Normal 5 2 2 8 2 2 2" xfId="17491" xr:uid="{8DCC8D94-8D0A-4BCE-A4C8-551062F9C54E}"/>
    <cellStyle name="Normal 5 2 2 8 2 3" xfId="13274" xr:uid="{99F32E9B-7C5C-43E3-9A00-66EC12B6D6BD}"/>
    <cellStyle name="Normal 5 2 2 8 3" xfId="6020" xr:uid="{00000000-0005-0000-0000-00002D180000}"/>
    <cellStyle name="Normal 5 2 2 8 3 2" xfId="15346" xr:uid="{A0EDEF1F-F165-47C0-A5D6-C858DD2F2A51}"/>
    <cellStyle name="Normal 5 2 2 8 4" xfId="11129" xr:uid="{0407CB5C-BB10-4D81-AB8A-2BB9A8D5B6D5}"/>
    <cellStyle name="Normal 5 2 2 9" xfId="2127" xr:uid="{00000000-0005-0000-0000-00002E180000}"/>
    <cellStyle name="Normal 5 2 2 9 2" xfId="4356" xr:uid="{00000000-0005-0000-0000-00002F180000}"/>
    <cellStyle name="Normal 5 2 2 9 2 2" xfId="8578" xr:uid="{00000000-0005-0000-0000-000030180000}"/>
    <cellStyle name="Normal 5 2 2 9 2 2 2" xfId="17904" xr:uid="{A6251F43-AE40-4BE8-B8F3-8D7ECBB368AD}"/>
    <cellStyle name="Normal 5 2 2 9 2 3" xfId="13687" xr:uid="{28620696-08B0-4DC6-B43F-D9A1F2E37D56}"/>
    <cellStyle name="Normal 5 2 2 9 3" xfId="6433" xr:uid="{00000000-0005-0000-0000-000031180000}"/>
    <cellStyle name="Normal 5 2 2 9 3 2" xfId="15759" xr:uid="{4F389F28-E6C2-47B1-97B4-CA8CD30B3CD9}"/>
    <cellStyle name="Normal 5 2 2 9 4" xfId="11542" xr:uid="{DC5A755F-6486-4C77-8E3A-F39B959C4D9B}"/>
    <cellStyle name="Normal 5 2 3" xfId="424" xr:uid="{00000000-0005-0000-0000-000032180000}"/>
    <cellStyle name="Normal 5 2 3 10" xfId="4797" xr:uid="{00000000-0005-0000-0000-000033180000}"/>
    <cellStyle name="Normal 5 2 3 10 2" xfId="14123" xr:uid="{B3C4F83A-256B-4443-AE82-9374EAC97A34}"/>
    <cellStyle name="Normal 5 2 3 11" xfId="8776" xr:uid="{883173D2-CE3E-48F3-8E13-32EAEF7B08C3}"/>
    <cellStyle name="Normal 5 2 3 11 2" xfId="18100" xr:uid="{486DAE00-D94D-4FB7-8861-D59B8CA46E9C}"/>
    <cellStyle name="Normal 5 2 3 12" xfId="9906" xr:uid="{0D9108EF-E629-4367-B9EC-7826271D9808}"/>
    <cellStyle name="Normal 5 2 3 2" xfId="425" xr:uid="{00000000-0005-0000-0000-000034180000}"/>
    <cellStyle name="Normal 5 2 3 2 10" xfId="8830" xr:uid="{287E15F2-6F23-4B3E-B8AA-9DE92D950FBA}"/>
    <cellStyle name="Normal 5 2 3 2 10 2" xfId="18154" xr:uid="{BC490292-9E27-4045-A2AB-D77DC6F9C66B}"/>
    <cellStyle name="Normal 5 2 3 2 11" xfId="9907" xr:uid="{4D6AD826-7292-42C3-89BC-5C088735EA8D}"/>
    <cellStyle name="Normal 5 2 3 2 2" xfId="426" xr:uid="{00000000-0005-0000-0000-000035180000}"/>
    <cellStyle name="Normal 5 2 3 2 2 10" xfId="9908" xr:uid="{DA036412-1EB1-4D73-8B5B-1EC484AB3333}"/>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84" xr:uid="{E4F395C7-8259-453F-86D9-4AE6FA4AD5AA}"/>
    <cellStyle name="Normal 5 2 3 2 2 2 2 2 3" xfId="12467" xr:uid="{6774A37F-AFC9-46B0-92B8-E25E171BE3C4}"/>
    <cellStyle name="Normal 5 2 3 2 2 2 2 3" xfId="5213" xr:uid="{00000000-0005-0000-0000-00003A180000}"/>
    <cellStyle name="Normal 5 2 3 2 2 2 2 3 2" xfId="14539" xr:uid="{32CD4E63-C7D8-4651-B164-875B914BC3C1}"/>
    <cellStyle name="Normal 5 2 3 2 2 2 2 4" xfId="9565" xr:uid="{B33C5ECB-02D9-4BAF-B467-F38E8EEB7F6E}"/>
    <cellStyle name="Normal 5 2 3 2 2 2 2 4 2" xfId="18880" xr:uid="{3C95CACC-DDAD-475D-920C-F28A6C963D47}"/>
    <cellStyle name="Normal 5 2 3 2 2 2 2 5" xfId="10322" xr:uid="{C4A71F16-DA9D-499B-9033-3074F61FB2E3}"/>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97" xr:uid="{51F8F300-9B9A-4230-9F02-5F02F8EB708F}"/>
    <cellStyle name="Normal 5 2 3 2 2 2 3 2 3" xfId="12880" xr:uid="{2982B179-1193-49E8-8C99-926CB5DF5E95}"/>
    <cellStyle name="Normal 5 2 3 2 2 2 3 3" xfId="5626" xr:uid="{00000000-0005-0000-0000-00003E180000}"/>
    <cellStyle name="Normal 5 2 3 2 2 2 3 3 2" xfId="14952" xr:uid="{11D18B63-69CB-4CC0-9E68-48F51DD3F72A}"/>
    <cellStyle name="Normal 5 2 3 2 2 2 3 4" xfId="10735" xr:uid="{489A5C9E-6FD7-406D-ABAE-D4DFECB30A7C}"/>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510" xr:uid="{44DD5B6C-00E0-4965-AEBD-3E9D5823C9DC}"/>
    <cellStyle name="Normal 5 2 3 2 2 2 4 2 3" xfId="13293" xr:uid="{B0E763AE-E557-4D0F-B9D7-C1CEFBAF5F76}"/>
    <cellStyle name="Normal 5 2 3 2 2 2 4 3" xfId="6039" xr:uid="{00000000-0005-0000-0000-000042180000}"/>
    <cellStyle name="Normal 5 2 3 2 2 2 4 3 2" xfId="15365" xr:uid="{0E147C01-808A-4790-8863-2906E50A67EB}"/>
    <cellStyle name="Normal 5 2 3 2 2 2 4 4" xfId="11148" xr:uid="{D3C9FFAD-0450-49F6-86B8-4004C1BBC035}"/>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923" xr:uid="{01F55CF7-E0AC-463C-99AF-1AC4DA0192C4}"/>
    <cellStyle name="Normal 5 2 3 2 2 2 5 2 3" xfId="13706" xr:uid="{BC886725-9FF7-4579-AED0-2593F8EC7ED6}"/>
    <cellStyle name="Normal 5 2 3 2 2 2 5 3" xfId="6452" xr:uid="{00000000-0005-0000-0000-000046180000}"/>
    <cellStyle name="Normal 5 2 3 2 2 2 5 3 2" xfId="15778" xr:uid="{6768F757-8749-499D-A52A-DAD4EF8F9D75}"/>
    <cellStyle name="Normal 5 2 3 2 2 2 5 4" xfId="11561" xr:uid="{F64710E2-B022-48D1-B045-5D7B7DE30DD4}"/>
    <cellStyle name="Normal 5 2 3 2 2 2 6" xfId="2582" xr:uid="{00000000-0005-0000-0000-000047180000}"/>
    <cellStyle name="Normal 5 2 3 2 2 2 6 2" xfId="6865" xr:uid="{00000000-0005-0000-0000-000048180000}"/>
    <cellStyle name="Normal 5 2 3 2 2 2 6 2 2" xfId="16191" xr:uid="{8F8CE4E2-1427-401D-A257-1CFF77C9340E}"/>
    <cellStyle name="Normal 5 2 3 2 2 2 6 3" xfId="11974" xr:uid="{6DDB2E3B-87F9-48D0-B6CA-70CC820A0C52}"/>
    <cellStyle name="Normal 5 2 3 2 2 2 7" xfId="4800" xr:uid="{00000000-0005-0000-0000-000049180000}"/>
    <cellStyle name="Normal 5 2 3 2 2 2 7 2" xfId="14126" xr:uid="{F3F9E345-DFE7-4B6F-86EF-DE4D9A873EAB}"/>
    <cellStyle name="Normal 5 2 3 2 2 2 8" xfId="9140" xr:uid="{175A16DB-BA54-4083-AB68-1FA46DB27A86}"/>
    <cellStyle name="Normal 5 2 3 2 2 2 8 2" xfId="18464" xr:uid="{7303B3F2-E7A5-44FB-BD28-5A131A0DDDC5}"/>
    <cellStyle name="Normal 5 2 3 2 2 2 9" xfId="9909" xr:uid="{5AE7CC05-F8ED-4EED-8004-9BDA65ED636F}"/>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83" xr:uid="{A06F0EE7-FB4E-471E-AAD4-73786C86BF04}"/>
    <cellStyle name="Normal 5 2 3 2 2 3 2 3" xfId="12466" xr:uid="{208511FE-26B6-49D7-9E78-414CC972CF34}"/>
    <cellStyle name="Normal 5 2 3 2 2 3 3" xfId="5212" xr:uid="{00000000-0005-0000-0000-00004D180000}"/>
    <cellStyle name="Normal 5 2 3 2 2 3 3 2" xfId="14538" xr:uid="{5A20F83A-0B33-4518-8F3B-394477FA5612}"/>
    <cellStyle name="Normal 5 2 3 2 2 3 4" xfId="9358" xr:uid="{5B196E7D-8DD9-4C59-A83C-7626B0E60040}"/>
    <cellStyle name="Normal 5 2 3 2 2 3 4 2" xfId="18673" xr:uid="{2BEFDCCE-D9E6-45D0-BB71-7E2177A7DB9F}"/>
    <cellStyle name="Normal 5 2 3 2 2 3 5" xfId="10321" xr:uid="{E73B5B9C-6E7B-47B9-8161-B715FC7471B9}"/>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96" xr:uid="{F1FE13EB-BD26-4CFD-BDCA-B3D2A8087BFA}"/>
    <cellStyle name="Normal 5 2 3 2 2 4 2 3" xfId="12879" xr:uid="{D144B6A6-A151-47E2-9D90-DFEFDC711688}"/>
    <cellStyle name="Normal 5 2 3 2 2 4 3" xfId="5625" xr:uid="{00000000-0005-0000-0000-000051180000}"/>
    <cellStyle name="Normal 5 2 3 2 2 4 3 2" xfId="14951" xr:uid="{B52F01C6-BB7F-479B-BB5B-C16D291AAFBF}"/>
    <cellStyle name="Normal 5 2 3 2 2 4 4" xfId="10734" xr:uid="{B754628D-DF21-49BD-BAB5-145DC5730525}"/>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509" xr:uid="{72FBAACC-FAFA-4FFD-BF93-4963AF0A04A7}"/>
    <cellStyle name="Normal 5 2 3 2 2 5 2 3" xfId="13292" xr:uid="{CFEFF471-41E7-4BDB-862C-EBE8E5ECEC98}"/>
    <cellStyle name="Normal 5 2 3 2 2 5 3" xfId="6038" xr:uid="{00000000-0005-0000-0000-000055180000}"/>
    <cellStyle name="Normal 5 2 3 2 2 5 3 2" xfId="15364" xr:uid="{2E11821C-46B6-4626-B43F-8F22F4B0B178}"/>
    <cellStyle name="Normal 5 2 3 2 2 5 4" xfId="11147" xr:uid="{60F11F85-9C87-4DF8-8D2C-F963FFCD3731}"/>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922" xr:uid="{5D4DF4CF-6F76-42E9-92A6-D2443E56EBD6}"/>
    <cellStyle name="Normal 5 2 3 2 2 6 2 3" xfId="13705" xr:uid="{8B3FAA4D-72F2-413A-8900-7E8260EE8EC5}"/>
    <cellStyle name="Normal 5 2 3 2 2 6 3" xfId="6451" xr:uid="{00000000-0005-0000-0000-000059180000}"/>
    <cellStyle name="Normal 5 2 3 2 2 6 3 2" xfId="15777" xr:uid="{89A45358-864C-48AF-865C-0C99B5A7AAC7}"/>
    <cellStyle name="Normal 5 2 3 2 2 6 4" xfId="11560" xr:uid="{AC8B48B9-66B3-4C5D-95A8-D2C46D657EDB}"/>
    <cellStyle name="Normal 5 2 3 2 2 7" xfId="2581" xr:uid="{00000000-0005-0000-0000-00005A180000}"/>
    <cellStyle name="Normal 5 2 3 2 2 7 2" xfId="6864" xr:uid="{00000000-0005-0000-0000-00005B180000}"/>
    <cellStyle name="Normal 5 2 3 2 2 7 2 2" xfId="16190" xr:uid="{E82E574B-E752-4148-9E2B-61860679E81D}"/>
    <cellStyle name="Normal 5 2 3 2 2 7 3" xfId="11973" xr:uid="{D5DD1057-5289-419C-8D7A-407E4F203A6B}"/>
    <cellStyle name="Normal 5 2 3 2 2 8" xfId="4799" xr:uid="{00000000-0005-0000-0000-00005C180000}"/>
    <cellStyle name="Normal 5 2 3 2 2 8 2" xfId="14125" xr:uid="{16670E02-5FEE-495C-B8B0-C7C27BF75EF7}"/>
    <cellStyle name="Normal 5 2 3 2 2 9" xfId="8933" xr:uid="{2228AC18-CB51-4AF4-A227-403A8409C6C2}"/>
    <cellStyle name="Normal 5 2 3 2 2 9 2" xfId="18257" xr:uid="{1B70F1DB-78B1-41EC-89C1-2FCF85F46C6D}"/>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85" xr:uid="{82A8DD1A-76D7-4326-9964-A14D170FAC84}"/>
    <cellStyle name="Normal 5 2 3 2 3 2 2 3" xfId="12468" xr:uid="{AE1EC8C7-5D0D-463F-A91A-AD9C77DC5172}"/>
    <cellStyle name="Normal 5 2 3 2 3 2 3" xfId="5214" xr:uid="{00000000-0005-0000-0000-000061180000}"/>
    <cellStyle name="Normal 5 2 3 2 3 2 3 2" xfId="14540" xr:uid="{AD53CB55-6288-422E-ABF4-1363320E708E}"/>
    <cellStyle name="Normal 5 2 3 2 3 2 4" xfId="9462" xr:uid="{B4C14F1A-A88A-428F-A7F8-BAFD7E5CD045}"/>
    <cellStyle name="Normal 5 2 3 2 3 2 4 2" xfId="18777" xr:uid="{16A3EB3D-E9BB-47E7-BDA6-1AF02F98A1AE}"/>
    <cellStyle name="Normal 5 2 3 2 3 2 5" xfId="10323" xr:uid="{64207E2F-E4A4-4CCC-A3E0-56D52EDAD8EF}"/>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98" xr:uid="{2272DD9F-99B0-4F19-BC42-3459F4D59B95}"/>
    <cellStyle name="Normal 5 2 3 2 3 3 2 3" xfId="12881" xr:uid="{C0D3F3F5-A88B-4D7B-963A-D22876985A21}"/>
    <cellStyle name="Normal 5 2 3 2 3 3 3" xfId="5627" xr:uid="{00000000-0005-0000-0000-000065180000}"/>
    <cellStyle name="Normal 5 2 3 2 3 3 3 2" xfId="14953" xr:uid="{B47CC999-97B0-4890-9C4E-6BC344FB3CB5}"/>
    <cellStyle name="Normal 5 2 3 2 3 3 4" xfId="10736" xr:uid="{0AE75612-86DF-4B19-B576-CD1197559272}"/>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511" xr:uid="{17E4CCF8-82CC-4EFE-9559-ED38D9A38850}"/>
    <cellStyle name="Normal 5 2 3 2 3 4 2 3" xfId="13294" xr:uid="{54B58715-29DE-4FCF-A237-FF7B214AA4D5}"/>
    <cellStyle name="Normal 5 2 3 2 3 4 3" xfId="6040" xr:uid="{00000000-0005-0000-0000-000069180000}"/>
    <cellStyle name="Normal 5 2 3 2 3 4 3 2" xfId="15366" xr:uid="{71BB4A60-CF7C-4626-BDCB-9B39CD3407A2}"/>
    <cellStyle name="Normal 5 2 3 2 3 4 4" xfId="11149" xr:uid="{C22B6533-97EF-4B05-8875-230C9B3D946E}"/>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924" xr:uid="{BCC2F967-2FD1-45B1-B7ED-3094E7280132}"/>
    <cellStyle name="Normal 5 2 3 2 3 5 2 3" xfId="13707" xr:uid="{63E4AD0B-F73A-4955-89D9-9C8E9A514E4C}"/>
    <cellStyle name="Normal 5 2 3 2 3 5 3" xfId="6453" xr:uid="{00000000-0005-0000-0000-00006D180000}"/>
    <cellStyle name="Normal 5 2 3 2 3 5 3 2" xfId="15779" xr:uid="{C92646A6-9BDE-4953-9FED-BA7F154DDBF2}"/>
    <cellStyle name="Normal 5 2 3 2 3 5 4" xfId="11562" xr:uid="{64B52821-6F98-4DC7-95E6-BE084746B8C7}"/>
    <cellStyle name="Normal 5 2 3 2 3 6" xfId="2583" xr:uid="{00000000-0005-0000-0000-00006E180000}"/>
    <cellStyle name="Normal 5 2 3 2 3 6 2" xfId="6866" xr:uid="{00000000-0005-0000-0000-00006F180000}"/>
    <cellStyle name="Normal 5 2 3 2 3 6 2 2" xfId="16192" xr:uid="{DCC7F830-3786-488C-B983-CC40B87A36CA}"/>
    <cellStyle name="Normal 5 2 3 2 3 6 3" xfId="11975" xr:uid="{950BBFE7-F498-43C0-AD0E-FE204F73406C}"/>
    <cellStyle name="Normal 5 2 3 2 3 7" xfId="4801" xr:uid="{00000000-0005-0000-0000-000070180000}"/>
    <cellStyle name="Normal 5 2 3 2 3 7 2" xfId="14127" xr:uid="{51E6A079-5DED-4258-84D4-3F3C6EA367F4}"/>
    <cellStyle name="Normal 5 2 3 2 3 8" xfId="9037" xr:uid="{EED46D7F-EFCD-4AC1-931D-AB06B694E7BE}"/>
    <cellStyle name="Normal 5 2 3 2 3 8 2" xfId="18361" xr:uid="{D3617504-DB36-4B4E-B4FB-884965422AA9}"/>
    <cellStyle name="Normal 5 2 3 2 3 9" xfId="9910" xr:uid="{8CE6BDA2-CDBA-4A9B-9B2B-5EA0091F3B7C}"/>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82" xr:uid="{38AD443D-E07B-445B-9E2F-BC23E40D519D}"/>
    <cellStyle name="Normal 5 2 3 2 4 2 3" xfId="12465" xr:uid="{A9BC6F9A-6281-4A34-8FBD-D2EA37D48877}"/>
    <cellStyle name="Normal 5 2 3 2 4 3" xfId="5211" xr:uid="{00000000-0005-0000-0000-000074180000}"/>
    <cellStyle name="Normal 5 2 3 2 4 3 2" xfId="14537" xr:uid="{70B21747-F7B8-460A-B601-58318C3CB24E}"/>
    <cellStyle name="Normal 5 2 3 2 4 4" xfId="9255" xr:uid="{C5A161BB-6C4F-4A9D-BBA7-7500B0B26A70}"/>
    <cellStyle name="Normal 5 2 3 2 4 4 2" xfId="18570" xr:uid="{B4488A06-CF43-42B9-B71C-16D52F680C81}"/>
    <cellStyle name="Normal 5 2 3 2 4 5" xfId="10320" xr:uid="{CB9E3681-D2A2-4D33-A181-683B9B26680A}"/>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95" xr:uid="{C12AA932-7848-4B57-BF76-EC46945B3DA2}"/>
    <cellStyle name="Normal 5 2 3 2 5 2 3" xfId="12878" xr:uid="{3081D4CB-89B1-4EA7-8313-1FD84A48BBD6}"/>
    <cellStyle name="Normal 5 2 3 2 5 3" xfId="5624" xr:uid="{00000000-0005-0000-0000-000078180000}"/>
    <cellStyle name="Normal 5 2 3 2 5 3 2" xfId="14950" xr:uid="{69995E33-5E45-4BE0-8204-C3F8AE8009EF}"/>
    <cellStyle name="Normal 5 2 3 2 5 4" xfId="10733" xr:uid="{B82261C1-E8F6-429A-8E33-6E152E7BF7B5}"/>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508" xr:uid="{B9896CE0-9622-44D7-A6DE-9393787D45D2}"/>
    <cellStyle name="Normal 5 2 3 2 6 2 3" xfId="13291" xr:uid="{A52B285E-8735-423F-B97D-7823B25BA620}"/>
    <cellStyle name="Normal 5 2 3 2 6 3" xfId="6037" xr:uid="{00000000-0005-0000-0000-00007C180000}"/>
    <cellStyle name="Normal 5 2 3 2 6 3 2" xfId="15363" xr:uid="{3C942189-60B6-42B1-923A-2E1059FD8BC9}"/>
    <cellStyle name="Normal 5 2 3 2 6 4" xfId="11146" xr:uid="{00835927-E85E-423B-9E93-B8C96518F830}"/>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921" xr:uid="{41395666-C23D-4DDC-8A7A-90665BF0BBD7}"/>
    <cellStyle name="Normal 5 2 3 2 7 2 3" xfId="13704" xr:uid="{7C5461D5-E7B3-4677-AFDA-40A061C96BF1}"/>
    <cellStyle name="Normal 5 2 3 2 7 3" xfId="6450" xr:uid="{00000000-0005-0000-0000-000080180000}"/>
    <cellStyle name="Normal 5 2 3 2 7 3 2" xfId="15776" xr:uid="{C145B120-B1BC-4931-9100-E2A2996B527F}"/>
    <cellStyle name="Normal 5 2 3 2 7 4" xfId="11559" xr:uid="{ECB47196-E705-40E4-A06F-7A4146D3AEB0}"/>
    <cellStyle name="Normal 5 2 3 2 8" xfId="2580" xr:uid="{00000000-0005-0000-0000-000081180000}"/>
    <cellStyle name="Normal 5 2 3 2 8 2" xfId="6863" xr:uid="{00000000-0005-0000-0000-000082180000}"/>
    <cellStyle name="Normal 5 2 3 2 8 2 2" xfId="16189" xr:uid="{51CD28AD-BCBC-44FD-B213-82BC171F27B0}"/>
    <cellStyle name="Normal 5 2 3 2 8 3" xfId="11972" xr:uid="{F2F92887-9103-4D71-B272-A9B688E33CB8}"/>
    <cellStyle name="Normal 5 2 3 2 9" xfId="4798" xr:uid="{00000000-0005-0000-0000-000083180000}"/>
    <cellStyle name="Normal 5 2 3 2 9 2" xfId="14124" xr:uid="{9645A44B-6FDD-41D8-8257-5F96B38FD0A9}"/>
    <cellStyle name="Normal 5 2 3 3" xfId="429" xr:uid="{00000000-0005-0000-0000-000084180000}"/>
    <cellStyle name="Normal 5 2 3 3 10" xfId="9911" xr:uid="{5D0401BB-EC58-49B5-B9E7-3C1FC1B71CE9}"/>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87" xr:uid="{D1C95F65-D2FE-49C0-B8BB-694B04B7CAF8}"/>
    <cellStyle name="Normal 5 2 3 3 2 2 2 3" xfId="12470" xr:uid="{203DC080-45C9-4135-8278-6C0B224178C7}"/>
    <cellStyle name="Normal 5 2 3 3 2 2 3" xfId="5216" xr:uid="{00000000-0005-0000-0000-000089180000}"/>
    <cellStyle name="Normal 5 2 3 3 2 2 3 2" xfId="14542" xr:uid="{E04B4D39-C069-49EC-B7D9-53BECBFB6674}"/>
    <cellStyle name="Normal 5 2 3 3 2 2 4" xfId="9511" xr:uid="{75EF02F8-0397-4B30-A858-343ADCA7C08D}"/>
    <cellStyle name="Normal 5 2 3 3 2 2 4 2" xfId="18826" xr:uid="{6BB5CD39-E409-4C7D-AC26-9A29FC17734C}"/>
    <cellStyle name="Normal 5 2 3 3 2 2 5" xfId="10325" xr:uid="{19D996C6-1F17-4B78-8189-812FFDDB01E3}"/>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100" xr:uid="{B2340FEF-4A6C-49DD-A9F6-A746355BA98B}"/>
    <cellStyle name="Normal 5 2 3 3 2 3 2 3" xfId="12883" xr:uid="{8B28BD6A-5FDA-42BD-BF29-92C04956E77C}"/>
    <cellStyle name="Normal 5 2 3 3 2 3 3" xfId="5629" xr:uid="{00000000-0005-0000-0000-00008D180000}"/>
    <cellStyle name="Normal 5 2 3 3 2 3 3 2" xfId="14955" xr:uid="{B322D5A8-C2AB-4D79-B8BC-7BA047057D54}"/>
    <cellStyle name="Normal 5 2 3 3 2 3 4" xfId="10738" xr:uid="{DE1C893B-A254-4531-9FA5-B54A454A0289}"/>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513" xr:uid="{760F38D5-5A73-4E58-ABE3-951E19B197CE}"/>
    <cellStyle name="Normal 5 2 3 3 2 4 2 3" xfId="13296" xr:uid="{E4F9A581-0F3C-4B49-B9B0-4CBBF7177B3C}"/>
    <cellStyle name="Normal 5 2 3 3 2 4 3" xfId="6042" xr:uid="{00000000-0005-0000-0000-000091180000}"/>
    <cellStyle name="Normal 5 2 3 3 2 4 3 2" xfId="15368" xr:uid="{4E14BA5A-CD27-47D8-94EE-63B825800D23}"/>
    <cellStyle name="Normal 5 2 3 3 2 4 4" xfId="11151" xr:uid="{55ADC561-27C0-4DB1-AC24-A8AC1925E05C}"/>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926" xr:uid="{EAF95779-FB15-463F-A91B-B2FF215AA67A}"/>
    <cellStyle name="Normal 5 2 3 3 2 5 2 3" xfId="13709" xr:uid="{40A37A04-F859-4200-A9D8-C69DC1911CD2}"/>
    <cellStyle name="Normal 5 2 3 3 2 5 3" xfId="6455" xr:uid="{00000000-0005-0000-0000-000095180000}"/>
    <cellStyle name="Normal 5 2 3 3 2 5 3 2" xfId="15781" xr:uid="{41D3518E-680F-44D1-B3A6-4A822B934195}"/>
    <cellStyle name="Normal 5 2 3 3 2 5 4" xfId="11564" xr:uid="{84F36056-7913-41A6-BE6B-F7F2FEDE7E07}"/>
    <cellStyle name="Normal 5 2 3 3 2 6" xfId="2585" xr:uid="{00000000-0005-0000-0000-000096180000}"/>
    <cellStyle name="Normal 5 2 3 3 2 6 2" xfId="6868" xr:uid="{00000000-0005-0000-0000-000097180000}"/>
    <cellStyle name="Normal 5 2 3 3 2 6 2 2" xfId="16194" xr:uid="{616FF7D8-BF94-4EEC-950C-D15DA56894C0}"/>
    <cellStyle name="Normal 5 2 3 3 2 6 3" xfId="11977" xr:uid="{2259B4E7-6E26-4986-B451-B3BEA14BA1E1}"/>
    <cellStyle name="Normal 5 2 3 3 2 7" xfId="4803" xr:uid="{00000000-0005-0000-0000-000098180000}"/>
    <cellStyle name="Normal 5 2 3 3 2 7 2" xfId="14129" xr:uid="{F1034E3C-A443-4BF0-B601-FD6DB8ADD74B}"/>
    <cellStyle name="Normal 5 2 3 3 2 8" xfId="9086" xr:uid="{442E5F61-F00C-4774-822F-4985AB3E1CB7}"/>
    <cellStyle name="Normal 5 2 3 3 2 8 2" xfId="18410" xr:uid="{58A6B8C0-2B8A-43EF-961A-9CEFF70E1124}"/>
    <cellStyle name="Normal 5 2 3 3 2 9" xfId="9912" xr:uid="{F360594A-B741-4581-828B-0B32445D140D}"/>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86" xr:uid="{DB8629CE-FAEE-43A6-9283-4C5312BF6163}"/>
    <cellStyle name="Normal 5 2 3 3 3 2 3" xfId="12469" xr:uid="{E357CC27-CC68-4748-8A22-A2662684E694}"/>
    <cellStyle name="Normal 5 2 3 3 3 3" xfId="5215" xr:uid="{00000000-0005-0000-0000-00009C180000}"/>
    <cellStyle name="Normal 5 2 3 3 3 3 2" xfId="14541" xr:uid="{DAF8047E-0EF9-4756-80BD-64FB1C8CCF2A}"/>
    <cellStyle name="Normal 5 2 3 3 3 4" xfId="9304" xr:uid="{2C783A77-F32A-4E64-807E-062B95DB0310}"/>
    <cellStyle name="Normal 5 2 3 3 3 4 2" xfId="18619" xr:uid="{01D3FFB3-6ACA-4CEF-9B3B-C120923C3DA1}"/>
    <cellStyle name="Normal 5 2 3 3 3 5" xfId="10324" xr:uid="{1EB70AEA-87D6-4B20-906E-7E35347BEFB6}"/>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99" xr:uid="{3C0C00E3-184E-4738-964F-8E486B1F7218}"/>
    <cellStyle name="Normal 5 2 3 3 4 2 3" xfId="12882" xr:uid="{59514CC9-92C1-40C6-BD75-828AA0BC36D2}"/>
    <cellStyle name="Normal 5 2 3 3 4 3" xfId="5628" xr:uid="{00000000-0005-0000-0000-0000A0180000}"/>
    <cellStyle name="Normal 5 2 3 3 4 3 2" xfId="14954" xr:uid="{23BFC51A-C807-4F84-AEA6-B510702257BF}"/>
    <cellStyle name="Normal 5 2 3 3 4 4" xfId="10737" xr:uid="{C6825CA6-0FDB-45C3-AE59-87065CD00B5A}"/>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512" xr:uid="{88387C27-B968-49F3-990D-8B076CB800B7}"/>
    <cellStyle name="Normal 5 2 3 3 5 2 3" xfId="13295" xr:uid="{D9AB0A96-865E-4855-A970-A87561B01067}"/>
    <cellStyle name="Normal 5 2 3 3 5 3" xfId="6041" xr:uid="{00000000-0005-0000-0000-0000A4180000}"/>
    <cellStyle name="Normal 5 2 3 3 5 3 2" xfId="15367" xr:uid="{E759FC69-A109-4942-B216-BDE7ED228447}"/>
    <cellStyle name="Normal 5 2 3 3 5 4" xfId="11150" xr:uid="{3F2515C3-30C4-4840-90AE-0B8D9D0C6D42}"/>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925" xr:uid="{E0C4CBEB-E8F6-4515-A451-BE9204BA0C27}"/>
    <cellStyle name="Normal 5 2 3 3 6 2 3" xfId="13708" xr:uid="{DCDC20EA-EE0E-43BD-B253-C9231826E501}"/>
    <cellStyle name="Normal 5 2 3 3 6 3" xfId="6454" xr:uid="{00000000-0005-0000-0000-0000A8180000}"/>
    <cellStyle name="Normal 5 2 3 3 6 3 2" xfId="15780" xr:uid="{EDD4C9A2-2A95-4111-9656-80FD6F0514C2}"/>
    <cellStyle name="Normal 5 2 3 3 6 4" xfId="11563" xr:uid="{5F2BE48D-97BB-4831-971C-1BFF63DB3B41}"/>
    <cellStyle name="Normal 5 2 3 3 7" xfId="2584" xr:uid="{00000000-0005-0000-0000-0000A9180000}"/>
    <cellStyle name="Normal 5 2 3 3 7 2" xfId="6867" xr:uid="{00000000-0005-0000-0000-0000AA180000}"/>
    <cellStyle name="Normal 5 2 3 3 7 2 2" xfId="16193" xr:uid="{1AD69450-CF03-44D7-A3D5-5621F6FEF70C}"/>
    <cellStyle name="Normal 5 2 3 3 7 3" xfId="11976" xr:uid="{D6C2F15C-5F7E-480C-B52C-C4B1D61F17A1}"/>
    <cellStyle name="Normal 5 2 3 3 8" xfId="4802" xr:uid="{00000000-0005-0000-0000-0000AB180000}"/>
    <cellStyle name="Normal 5 2 3 3 8 2" xfId="14128" xr:uid="{88410D30-2A09-4143-A356-68ADCF30C00F}"/>
    <cellStyle name="Normal 5 2 3 3 9" xfId="8879" xr:uid="{F521005C-E3E0-4B64-9C0A-0C510FB9AAB2}"/>
    <cellStyle name="Normal 5 2 3 3 9 2" xfId="18203" xr:uid="{A65D5B28-6FAC-45C9-924D-56256DD512C7}"/>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88" xr:uid="{5E2F6EF9-4AD7-442C-A600-3E98449AF1AD}"/>
    <cellStyle name="Normal 5 2 3 4 2 2 3" xfId="12471" xr:uid="{328EBE86-77FD-4499-8CEA-333636D5BDFD}"/>
    <cellStyle name="Normal 5 2 3 4 2 3" xfId="5217" xr:uid="{00000000-0005-0000-0000-0000B0180000}"/>
    <cellStyle name="Normal 5 2 3 4 2 3 2" xfId="14543" xr:uid="{18A0F8A0-D427-4613-87B3-06EEE4324410}"/>
    <cellStyle name="Normal 5 2 3 4 2 4" xfId="9408" xr:uid="{3B6F9C6F-3D7C-45F8-99FE-451C0F8CED36}"/>
    <cellStyle name="Normal 5 2 3 4 2 4 2" xfId="18723" xr:uid="{F4551A1C-25BE-426D-8E84-B1BB47C21D2F}"/>
    <cellStyle name="Normal 5 2 3 4 2 5" xfId="10326" xr:uid="{0832F5E5-6D08-4974-9D1B-53A129C90C7C}"/>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101" xr:uid="{EFD4537F-09AC-44E3-9182-668E6AFFF375}"/>
    <cellStyle name="Normal 5 2 3 4 3 2 3" xfId="12884" xr:uid="{1F8EC28A-A09E-4886-B815-01AD48AAED82}"/>
    <cellStyle name="Normal 5 2 3 4 3 3" xfId="5630" xr:uid="{00000000-0005-0000-0000-0000B4180000}"/>
    <cellStyle name="Normal 5 2 3 4 3 3 2" xfId="14956" xr:uid="{93E7DD72-15AF-4AC2-9543-3ED10003524E}"/>
    <cellStyle name="Normal 5 2 3 4 3 4" xfId="10739" xr:uid="{3C0CE4B8-462E-4AE3-B9D0-614C30EFC925}"/>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514" xr:uid="{84308C02-B39F-4DA2-B50F-1C810B6E7A76}"/>
    <cellStyle name="Normal 5 2 3 4 4 2 3" xfId="13297" xr:uid="{2561A5BB-3866-486F-80BE-3BDFBA3F09E5}"/>
    <cellStyle name="Normal 5 2 3 4 4 3" xfId="6043" xr:uid="{00000000-0005-0000-0000-0000B8180000}"/>
    <cellStyle name="Normal 5 2 3 4 4 3 2" xfId="15369" xr:uid="{CD5FE8FD-6470-4E8B-8728-2C53E8707D46}"/>
    <cellStyle name="Normal 5 2 3 4 4 4" xfId="11152" xr:uid="{0EFA8DEA-316D-4D96-B1CC-5C36FD5A8026}"/>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927" xr:uid="{F9467EF3-B2C8-47F5-ABAE-EFEB71AEE714}"/>
    <cellStyle name="Normal 5 2 3 4 5 2 3" xfId="13710" xr:uid="{70780799-8FC7-4368-8867-75822DFB514D}"/>
    <cellStyle name="Normal 5 2 3 4 5 3" xfId="6456" xr:uid="{00000000-0005-0000-0000-0000BC180000}"/>
    <cellStyle name="Normal 5 2 3 4 5 3 2" xfId="15782" xr:uid="{00538301-5029-4620-840E-EC23A12FBB76}"/>
    <cellStyle name="Normal 5 2 3 4 5 4" xfId="11565" xr:uid="{915608CE-C8A6-48D9-9912-B7EE43E4246A}"/>
    <cellStyle name="Normal 5 2 3 4 6" xfId="2586" xr:uid="{00000000-0005-0000-0000-0000BD180000}"/>
    <cellStyle name="Normal 5 2 3 4 6 2" xfId="6869" xr:uid="{00000000-0005-0000-0000-0000BE180000}"/>
    <cellStyle name="Normal 5 2 3 4 6 2 2" xfId="16195" xr:uid="{DBBBDE79-534D-40AF-BB85-2D7149F00BD3}"/>
    <cellStyle name="Normal 5 2 3 4 6 3" xfId="11978" xr:uid="{67560BE8-6B79-4F22-9761-A788C739EB9D}"/>
    <cellStyle name="Normal 5 2 3 4 7" xfId="4804" xr:uid="{00000000-0005-0000-0000-0000BF180000}"/>
    <cellStyle name="Normal 5 2 3 4 7 2" xfId="14130" xr:uid="{89FEC97A-F85D-492E-9201-82E3FEE30E14}"/>
    <cellStyle name="Normal 5 2 3 4 8" xfId="8983" xr:uid="{07388FCC-03DE-4CE8-89CB-9C92F8174E24}"/>
    <cellStyle name="Normal 5 2 3 4 8 2" xfId="18307" xr:uid="{6BD325D5-C607-4ADD-83EA-F88DED92BFED}"/>
    <cellStyle name="Normal 5 2 3 4 9" xfId="9913" xr:uid="{15853DC4-B934-47D1-8916-05FCF4C40711}"/>
    <cellStyle name="Normal 5 2 3 5" xfId="898" xr:uid="{00000000-0005-0000-0000-0000C0180000}"/>
    <cellStyle name="Normal 5 2 3 5 2" xfId="3133" xr:uid="{00000000-0005-0000-0000-0000C1180000}"/>
    <cellStyle name="Normal 5 2 3 5 2 2" xfId="7355" xr:uid="{00000000-0005-0000-0000-0000C2180000}"/>
    <cellStyle name="Normal 5 2 3 5 2 2 2" xfId="16681" xr:uid="{4128DE6D-2E49-4A22-AA70-2E12A8AA551E}"/>
    <cellStyle name="Normal 5 2 3 5 2 3" xfId="12464" xr:uid="{0C8ECB9A-9544-45E4-97BA-BA4F9726795B}"/>
    <cellStyle name="Normal 5 2 3 5 3" xfId="5210" xr:uid="{00000000-0005-0000-0000-0000C3180000}"/>
    <cellStyle name="Normal 5 2 3 5 3 2" xfId="14536" xr:uid="{E5AFDD50-D0A8-4A6D-B02B-00C15F5BB3D4}"/>
    <cellStyle name="Normal 5 2 3 5 4" xfId="9200" xr:uid="{13DE827A-4007-427A-9869-ADBBE6B70993}"/>
    <cellStyle name="Normal 5 2 3 5 4 2" xfId="18516" xr:uid="{B07129CA-3B59-4D42-BD4E-5E2B64106A2D}"/>
    <cellStyle name="Normal 5 2 3 5 5" xfId="10319" xr:uid="{6C5A2990-5F34-4765-90EF-8CC330ED23A2}"/>
    <cellStyle name="Normal 5 2 3 6" xfId="1316" xr:uid="{00000000-0005-0000-0000-0000C4180000}"/>
    <cellStyle name="Normal 5 2 3 6 2" xfId="3546" xr:uid="{00000000-0005-0000-0000-0000C5180000}"/>
    <cellStyle name="Normal 5 2 3 6 2 2" xfId="7768" xr:uid="{00000000-0005-0000-0000-0000C6180000}"/>
    <cellStyle name="Normal 5 2 3 6 2 2 2" xfId="17094" xr:uid="{2EE1C604-E31C-4349-ACCD-5919D6674EA0}"/>
    <cellStyle name="Normal 5 2 3 6 2 3" xfId="12877" xr:uid="{FA38BA7E-287C-45F3-9137-7D02F4FEB267}"/>
    <cellStyle name="Normal 5 2 3 6 3" xfId="5623" xr:uid="{00000000-0005-0000-0000-0000C7180000}"/>
    <cellStyle name="Normal 5 2 3 6 3 2" xfId="14949" xr:uid="{CC01897E-D76E-46AE-99E9-52C17C2F136A}"/>
    <cellStyle name="Normal 5 2 3 6 4" xfId="10732" xr:uid="{8D777A4A-C662-4A18-9AC8-E4AAD1E97E6D}"/>
    <cellStyle name="Normal 5 2 3 7" xfId="1729" xr:uid="{00000000-0005-0000-0000-0000C8180000}"/>
    <cellStyle name="Normal 5 2 3 7 2" xfId="3959" xr:uid="{00000000-0005-0000-0000-0000C9180000}"/>
    <cellStyle name="Normal 5 2 3 7 2 2" xfId="8181" xr:uid="{00000000-0005-0000-0000-0000CA180000}"/>
    <cellStyle name="Normal 5 2 3 7 2 2 2" xfId="17507" xr:uid="{63A4093C-1B11-41CE-8FAE-201020451E9A}"/>
    <cellStyle name="Normal 5 2 3 7 2 3" xfId="13290" xr:uid="{F4A17C05-F789-453A-BD22-626CD986EB5E}"/>
    <cellStyle name="Normal 5 2 3 7 3" xfId="6036" xr:uid="{00000000-0005-0000-0000-0000CB180000}"/>
    <cellStyle name="Normal 5 2 3 7 3 2" xfId="15362" xr:uid="{3F50B786-D507-4166-9B80-A5573FC4F491}"/>
    <cellStyle name="Normal 5 2 3 7 4" xfId="11145" xr:uid="{F422FA49-FA36-4B6B-8C04-8D725743D5E2}"/>
    <cellStyle name="Normal 5 2 3 8" xfId="2143" xr:uid="{00000000-0005-0000-0000-0000CC180000}"/>
    <cellStyle name="Normal 5 2 3 8 2" xfId="4372" xr:uid="{00000000-0005-0000-0000-0000CD180000}"/>
    <cellStyle name="Normal 5 2 3 8 2 2" xfId="8594" xr:uid="{00000000-0005-0000-0000-0000CE180000}"/>
    <cellStyle name="Normal 5 2 3 8 2 2 2" xfId="17920" xr:uid="{4F1D1F04-8452-4AEB-83EF-CEC8A3DB6C71}"/>
    <cellStyle name="Normal 5 2 3 8 2 3" xfId="13703" xr:uid="{DCCCFB76-A657-4FCE-A621-4426F12FA393}"/>
    <cellStyle name="Normal 5 2 3 8 3" xfId="6449" xr:uid="{00000000-0005-0000-0000-0000CF180000}"/>
    <cellStyle name="Normal 5 2 3 8 3 2" xfId="15775" xr:uid="{1BD0A5F4-FAC2-49C6-8D16-2764CFE5FFFF}"/>
    <cellStyle name="Normal 5 2 3 8 4" xfId="11558" xr:uid="{931E3742-F2A1-4D80-94AA-6371C9B96205}"/>
    <cellStyle name="Normal 5 2 3 9" xfId="2579" xr:uid="{00000000-0005-0000-0000-0000D0180000}"/>
    <cellStyle name="Normal 5 2 3 9 2" xfId="6862" xr:uid="{00000000-0005-0000-0000-0000D1180000}"/>
    <cellStyle name="Normal 5 2 3 9 2 2" xfId="16188" xr:uid="{A0D53139-95FC-4F41-B5FB-40841EC1D6AE}"/>
    <cellStyle name="Normal 5 2 3 9 3" xfId="11971" xr:uid="{3F3E438A-EB30-4AF7-90D7-7DF9337F02BD}"/>
    <cellStyle name="Normal 5 2 4" xfId="432" xr:uid="{00000000-0005-0000-0000-0000D2180000}"/>
    <cellStyle name="Normal 5 2 4 10" xfId="8827" xr:uid="{1EC4F605-F0BA-487E-A3C0-2CBAE7C22D8A}"/>
    <cellStyle name="Normal 5 2 4 10 2" xfId="18151" xr:uid="{BE963F3F-573A-4A69-ADF1-D6BCC065DD72}"/>
    <cellStyle name="Normal 5 2 4 11" xfId="9914" xr:uid="{729FB0F6-19F5-43C1-B4EA-AF9D76C04854}"/>
    <cellStyle name="Normal 5 2 4 2" xfId="433" xr:uid="{00000000-0005-0000-0000-0000D3180000}"/>
    <cellStyle name="Normal 5 2 4 2 10" xfId="9915" xr:uid="{EA5F2E9B-0877-4EFB-81A0-086CAC9C4C9E}"/>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91" xr:uid="{F4B598BA-4594-4344-8867-F896974FB667}"/>
    <cellStyle name="Normal 5 2 4 2 2 2 2 3" xfId="12474" xr:uid="{8AF6C1E6-23B8-4311-8B1D-0BF75974102E}"/>
    <cellStyle name="Normal 5 2 4 2 2 2 3" xfId="5220" xr:uid="{00000000-0005-0000-0000-0000D8180000}"/>
    <cellStyle name="Normal 5 2 4 2 2 2 3 2" xfId="14546" xr:uid="{85A61232-9FAC-4775-803E-808375747361}"/>
    <cellStyle name="Normal 5 2 4 2 2 2 4" xfId="9562" xr:uid="{5E243FB4-F3B1-4B34-B377-1444454AD19E}"/>
    <cellStyle name="Normal 5 2 4 2 2 2 4 2" xfId="18877" xr:uid="{D593A07B-7BC6-49C0-B8D1-1909641D8EFF}"/>
    <cellStyle name="Normal 5 2 4 2 2 2 5" xfId="10329" xr:uid="{054406AF-A47D-4A7C-B2D0-11DB05FBD04D}"/>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104" xr:uid="{B2EC9762-CDEE-452D-8199-12203D094CF6}"/>
    <cellStyle name="Normal 5 2 4 2 2 3 2 3" xfId="12887" xr:uid="{9528ADFE-AA5A-491B-AE51-566B4F727CC6}"/>
    <cellStyle name="Normal 5 2 4 2 2 3 3" xfId="5633" xr:uid="{00000000-0005-0000-0000-0000DC180000}"/>
    <cellStyle name="Normal 5 2 4 2 2 3 3 2" xfId="14959" xr:uid="{D7769EB1-5F31-472E-853E-39B3ADE853CD}"/>
    <cellStyle name="Normal 5 2 4 2 2 3 4" xfId="10742" xr:uid="{2B6C9680-D9D9-4744-AB2C-1EA91675C7D3}"/>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517" xr:uid="{FE6824C6-4D32-4E6F-878C-EDD72C2729CB}"/>
    <cellStyle name="Normal 5 2 4 2 2 4 2 3" xfId="13300" xr:uid="{86CA82C0-FAA9-4138-B861-29D237F6B4FE}"/>
    <cellStyle name="Normal 5 2 4 2 2 4 3" xfId="6046" xr:uid="{00000000-0005-0000-0000-0000E0180000}"/>
    <cellStyle name="Normal 5 2 4 2 2 4 3 2" xfId="15372" xr:uid="{4EE35B92-A92C-43A1-A4BB-EF74BB0F3A6E}"/>
    <cellStyle name="Normal 5 2 4 2 2 4 4" xfId="11155" xr:uid="{BC6906D7-7145-4856-BF8F-698E90F5CADA}"/>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930" xr:uid="{DF38EDE5-D02F-4576-A8A9-B8C394B22936}"/>
    <cellStyle name="Normal 5 2 4 2 2 5 2 3" xfId="13713" xr:uid="{A7C47FED-5BF1-434E-BC40-16E83C138496}"/>
    <cellStyle name="Normal 5 2 4 2 2 5 3" xfId="6459" xr:uid="{00000000-0005-0000-0000-0000E4180000}"/>
    <cellStyle name="Normal 5 2 4 2 2 5 3 2" xfId="15785" xr:uid="{2A543FED-A3FE-4C96-89FB-C5133D81F176}"/>
    <cellStyle name="Normal 5 2 4 2 2 5 4" xfId="11568" xr:uid="{444EF08A-78F5-4499-AC54-3B0C45FDC068}"/>
    <cellStyle name="Normal 5 2 4 2 2 6" xfId="2589" xr:uid="{00000000-0005-0000-0000-0000E5180000}"/>
    <cellStyle name="Normal 5 2 4 2 2 6 2" xfId="6872" xr:uid="{00000000-0005-0000-0000-0000E6180000}"/>
    <cellStyle name="Normal 5 2 4 2 2 6 2 2" xfId="16198" xr:uid="{1146004E-FD2B-4D12-A695-01CA14CDE5A2}"/>
    <cellStyle name="Normal 5 2 4 2 2 6 3" xfId="11981" xr:uid="{91176430-17AA-43D5-ADED-13E7A43C8D51}"/>
    <cellStyle name="Normal 5 2 4 2 2 7" xfId="4807" xr:uid="{00000000-0005-0000-0000-0000E7180000}"/>
    <cellStyle name="Normal 5 2 4 2 2 7 2" xfId="14133" xr:uid="{FCE387E9-9003-48FB-A246-193611FFB0A0}"/>
    <cellStyle name="Normal 5 2 4 2 2 8" xfId="9137" xr:uid="{C80E4B27-40CA-4953-ABB8-99E2C575F775}"/>
    <cellStyle name="Normal 5 2 4 2 2 8 2" xfId="18461" xr:uid="{AD972809-72AB-41FE-8DF2-5CF357404A3D}"/>
    <cellStyle name="Normal 5 2 4 2 2 9" xfId="9916" xr:uid="{E940A5D3-F51D-4C96-AD25-33C5540DA2D3}"/>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90" xr:uid="{17820989-6784-40EE-AB6C-0401D430308B}"/>
    <cellStyle name="Normal 5 2 4 2 3 2 3" xfId="12473" xr:uid="{D4055F96-BF35-466E-81F2-5A5DBDDA5F95}"/>
    <cellStyle name="Normal 5 2 4 2 3 3" xfId="5219" xr:uid="{00000000-0005-0000-0000-0000EB180000}"/>
    <cellStyle name="Normal 5 2 4 2 3 3 2" xfId="14545" xr:uid="{449BA277-BF52-4E25-AEFE-EC816523670B}"/>
    <cellStyle name="Normal 5 2 4 2 3 4" xfId="9355" xr:uid="{9D38A6AA-2F63-4275-9FB8-F86A15F6A4D3}"/>
    <cellStyle name="Normal 5 2 4 2 3 4 2" xfId="18670" xr:uid="{387DD283-749C-44B6-9639-B7FB9EBFC87D}"/>
    <cellStyle name="Normal 5 2 4 2 3 5" xfId="10328" xr:uid="{27B89D1B-5E4D-434E-92FB-17231D4AD6A8}"/>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103" xr:uid="{6167BEFB-DA44-4DCB-8744-9ADE5A96C68A}"/>
    <cellStyle name="Normal 5 2 4 2 4 2 3" xfId="12886" xr:uid="{F28E27E6-5FB7-4EBD-8EC4-D18F3CE09375}"/>
    <cellStyle name="Normal 5 2 4 2 4 3" xfId="5632" xr:uid="{00000000-0005-0000-0000-0000EF180000}"/>
    <cellStyle name="Normal 5 2 4 2 4 3 2" xfId="14958" xr:uid="{ADF56BA4-3AD8-4975-B64C-11E77FC4702E}"/>
    <cellStyle name="Normal 5 2 4 2 4 4" xfId="10741" xr:uid="{18EB56A1-EFE6-4447-870C-F06393E21893}"/>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516" xr:uid="{976018E2-E61B-44D5-863B-D417CF397DFE}"/>
    <cellStyle name="Normal 5 2 4 2 5 2 3" xfId="13299" xr:uid="{D37E3D93-F7F6-41BB-896A-4EBA25A80BFF}"/>
    <cellStyle name="Normal 5 2 4 2 5 3" xfId="6045" xr:uid="{00000000-0005-0000-0000-0000F3180000}"/>
    <cellStyle name="Normal 5 2 4 2 5 3 2" xfId="15371" xr:uid="{27B5F11A-8288-4C51-886A-DCC67DF75056}"/>
    <cellStyle name="Normal 5 2 4 2 5 4" xfId="11154" xr:uid="{797D3E8C-BE29-48F6-81DB-8FB12EFADF3D}"/>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929" xr:uid="{494D8503-FB2B-458F-BBBE-88D4300B3EEA}"/>
    <cellStyle name="Normal 5 2 4 2 6 2 3" xfId="13712" xr:uid="{0ED78929-85A2-4289-ACD8-A47A3ECA717C}"/>
    <cellStyle name="Normal 5 2 4 2 6 3" xfId="6458" xr:uid="{00000000-0005-0000-0000-0000F7180000}"/>
    <cellStyle name="Normal 5 2 4 2 6 3 2" xfId="15784" xr:uid="{6C1B3268-DB48-4FBA-A63A-DA0C7906E4A4}"/>
    <cellStyle name="Normal 5 2 4 2 6 4" xfId="11567" xr:uid="{9F354779-078F-4EA7-90B3-5050199D43E2}"/>
    <cellStyle name="Normal 5 2 4 2 7" xfId="2588" xr:uid="{00000000-0005-0000-0000-0000F8180000}"/>
    <cellStyle name="Normal 5 2 4 2 7 2" xfId="6871" xr:uid="{00000000-0005-0000-0000-0000F9180000}"/>
    <cellStyle name="Normal 5 2 4 2 7 2 2" xfId="16197" xr:uid="{454697AF-6FE3-458A-98A2-7D25BB77B5A1}"/>
    <cellStyle name="Normal 5 2 4 2 7 3" xfId="11980" xr:uid="{3D012BFC-E369-4971-8EA9-5E76BC55A8AF}"/>
    <cellStyle name="Normal 5 2 4 2 8" xfId="4806" xr:uid="{00000000-0005-0000-0000-0000FA180000}"/>
    <cellStyle name="Normal 5 2 4 2 8 2" xfId="14132" xr:uid="{486DE2B6-F1F9-4180-8E01-75E6B2DE821B}"/>
    <cellStyle name="Normal 5 2 4 2 9" xfId="8930" xr:uid="{66B84ABA-CAF3-4BBE-9026-E7A47CB6006F}"/>
    <cellStyle name="Normal 5 2 4 2 9 2" xfId="18254" xr:uid="{E1CA7C90-9510-4890-90BF-6A1FC5FA4419}"/>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92" xr:uid="{C0D58341-BE62-4976-A87D-33518276D66C}"/>
    <cellStyle name="Normal 5 2 4 3 2 2 3" xfId="12475" xr:uid="{9DFE7F0E-C04D-465C-A2D7-9884681716EE}"/>
    <cellStyle name="Normal 5 2 4 3 2 3" xfId="5221" xr:uid="{00000000-0005-0000-0000-0000FF180000}"/>
    <cellStyle name="Normal 5 2 4 3 2 3 2" xfId="14547" xr:uid="{79FE3D32-C0B3-4441-B76A-7D7FD0D60A74}"/>
    <cellStyle name="Normal 5 2 4 3 2 4" xfId="9459" xr:uid="{ED2A936E-5624-4B26-A175-3FCE68E1BF5A}"/>
    <cellStyle name="Normal 5 2 4 3 2 4 2" xfId="18774" xr:uid="{CBADAC2F-7626-40CB-9FE7-0E0C6816DFBD}"/>
    <cellStyle name="Normal 5 2 4 3 2 5" xfId="10330" xr:uid="{B82C8E83-E114-46CC-AFF6-C7FFF27B3C7C}"/>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105" xr:uid="{12E684A3-AE01-4455-881F-95680844F100}"/>
    <cellStyle name="Normal 5 2 4 3 3 2 3" xfId="12888" xr:uid="{976A3D1C-C53C-4D1F-9F4D-53356E26B694}"/>
    <cellStyle name="Normal 5 2 4 3 3 3" xfId="5634" xr:uid="{00000000-0005-0000-0000-000003190000}"/>
    <cellStyle name="Normal 5 2 4 3 3 3 2" xfId="14960" xr:uid="{C2A8C262-7E26-4309-9C48-05884B84E5B4}"/>
    <cellStyle name="Normal 5 2 4 3 3 4" xfId="10743" xr:uid="{BEDE2D18-904D-4DE0-B6FA-97F1E0E1B721}"/>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518" xr:uid="{DFBE6C7F-1BA6-4BB0-9B77-5EACFBBF98B4}"/>
    <cellStyle name="Normal 5 2 4 3 4 2 3" xfId="13301" xr:uid="{0AA63A62-3832-4A84-B133-6F025C2D79CD}"/>
    <cellStyle name="Normal 5 2 4 3 4 3" xfId="6047" xr:uid="{00000000-0005-0000-0000-000007190000}"/>
    <cellStyle name="Normal 5 2 4 3 4 3 2" xfId="15373" xr:uid="{74F845A6-7764-491C-A1D3-5757F1136C17}"/>
    <cellStyle name="Normal 5 2 4 3 4 4" xfId="11156" xr:uid="{D0FD9F62-9EF1-4D51-A945-41DF0BFDB781}"/>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931" xr:uid="{0395CB26-B646-4430-9889-FB75A7211983}"/>
    <cellStyle name="Normal 5 2 4 3 5 2 3" xfId="13714" xr:uid="{A1D3A288-01DD-4331-861F-1CF6DF968E97}"/>
    <cellStyle name="Normal 5 2 4 3 5 3" xfId="6460" xr:uid="{00000000-0005-0000-0000-00000B190000}"/>
    <cellStyle name="Normal 5 2 4 3 5 3 2" xfId="15786" xr:uid="{76199159-DBD5-46CF-828E-CDAEC4FB370A}"/>
    <cellStyle name="Normal 5 2 4 3 5 4" xfId="11569" xr:uid="{6DB63627-B77D-422D-A2BE-05675B38B57F}"/>
    <cellStyle name="Normal 5 2 4 3 6" xfId="2590" xr:uid="{00000000-0005-0000-0000-00000C190000}"/>
    <cellStyle name="Normal 5 2 4 3 6 2" xfId="6873" xr:uid="{00000000-0005-0000-0000-00000D190000}"/>
    <cellStyle name="Normal 5 2 4 3 6 2 2" xfId="16199" xr:uid="{7926BA91-F08A-46A9-A3F1-8CF2884E9683}"/>
    <cellStyle name="Normal 5 2 4 3 6 3" xfId="11982" xr:uid="{97259FEE-BFAB-461E-A908-CF9A21F3FF17}"/>
    <cellStyle name="Normal 5 2 4 3 7" xfId="4808" xr:uid="{00000000-0005-0000-0000-00000E190000}"/>
    <cellStyle name="Normal 5 2 4 3 7 2" xfId="14134" xr:uid="{41625176-50E7-40CC-8A9A-D8E0764BC378}"/>
    <cellStyle name="Normal 5 2 4 3 8" xfId="9034" xr:uid="{82D3DE5B-E868-4CF9-BA07-6E197DA4FAA5}"/>
    <cellStyle name="Normal 5 2 4 3 8 2" xfId="18358" xr:uid="{AB3A8966-FB0F-44D9-978B-54CD01FE646F}"/>
    <cellStyle name="Normal 5 2 4 3 9" xfId="9917" xr:uid="{1E77F30A-8138-4F48-82C1-8BC4869E4C2C}"/>
    <cellStyle name="Normal 5 2 4 4" xfId="906" xr:uid="{00000000-0005-0000-0000-00000F190000}"/>
    <cellStyle name="Normal 5 2 4 4 2" xfId="3141" xr:uid="{00000000-0005-0000-0000-000010190000}"/>
    <cellStyle name="Normal 5 2 4 4 2 2" xfId="7363" xr:uid="{00000000-0005-0000-0000-000011190000}"/>
    <cellStyle name="Normal 5 2 4 4 2 2 2" xfId="16689" xr:uid="{82549A4B-C7BB-44AE-9B5B-9E4E3F64C892}"/>
    <cellStyle name="Normal 5 2 4 4 2 3" xfId="12472" xr:uid="{9083602E-9761-4314-B6AF-35DCB6CCC071}"/>
    <cellStyle name="Normal 5 2 4 4 3" xfId="5218" xr:uid="{00000000-0005-0000-0000-000012190000}"/>
    <cellStyle name="Normal 5 2 4 4 3 2" xfId="14544" xr:uid="{FEEFE68A-DE9C-4F41-84BC-796F1EABB286}"/>
    <cellStyle name="Normal 5 2 4 4 4" xfId="9252" xr:uid="{1D1A8EC4-7286-46A1-B40C-E987F273E760}"/>
    <cellStyle name="Normal 5 2 4 4 4 2" xfId="18567" xr:uid="{E0FA3BFF-03B2-4B5B-9F3C-90541A6A9321}"/>
    <cellStyle name="Normal 5 2 4 4 5" xfId="10327" xr:uid="{8D9AC682-F869-4D4C-AFD1-8F41AE63036A}"/>
    <cellStyle name="Normal 5 2 4 5" xfId="1324" xr:uid="{00000000-0005-0000-0000-000013190000}"/>
    <cellStyle name="Normal 5 2 4 5 2" xfId="3554" xr:uid="{00000000-0005-0000-0000-000014190000}"/>
    <cellStyle name="Normal 5 2 4 5 2 2" xfId="7776" xr:uid="{00000000-0005-0000-0000-000015190000}"/>
    <cellStyle name="Normal 5 2 4 5 2 2 2" xfId="17102" xr:uid="{84E69343-C869-4019-A4C6-73F6362274F5}"/>
    <cellStyle name="Normal 5 2 4 5 2 3" xfId="12885" xr:uid="{BC69DCD7-9247-4B8D-B525-175C1235A46F}"/>
    <cellStyle name="Normal 5 2 4 5 3" xfId="5631" xr:uid="{00000000-0005-0000-0000-000016190000}"/>
    <cellStyle name="Normal 5 2 4 5 3 2" xfId="14957" xr:uid="{77A7282A-2655-4BA1-A488-BC1761C5B4DE}"/>
    <cellStyle name="Normal 5 2 4 5 4" xfId="10740" xr:uid="{F8ED9AA4-F6AA-4FF7-BB1F-C01923C353A4}"/>
    <cellStyle name="Normal 5 2 4 6" xfId="1737" xr:uid="{00000000-0005-0000-0000-000017190000}"/>
    <cellStyle name="Normal 5 2 4 6 2" xfId="3967" xr:uid="{00000000-0005-0000-0000-000018190000}"/>
    <cellStyle name="Normal 5 2 4 6 2 2" xfId="8189" xr:uid="{00000000-0005-0000-0000-000019190000}"/>
    <cellStyle name="Normal 5 2 4 6 2 2 2" xfId="17515" xr:uid="{D709E077-78B6-4FB2-B1A9-4F712ADB0F2C}"/>
    <cellStyle name="Normal 5 2 4 6 2 3" xfId="13298" xr:uid="{A4AE253F-21D9-4FB5-BB73-B60F0491904B}"/>
    <cellStyle name="Normal 5 2 4 6 3" xfId="6044" xr:uid="{00000000-0005-0000-0000-00001A190000}"/>
    <cellStyle name="Normal 5 2 4 6 3 2" xfId="15370" xr:uid="{A992A3E8-28D5-4E99-ABE5-D2888AAD4415}"/>
    <cellStyle name="Normal 5 2 4 6 4" xfId="11153" xr:uid="{4A062A2E-D4C1-4CCB-BE0A-18DB419E22E8}"/>
    <cellStyle name="Normal 5 2 4 7" xfId="2151" xr:uid="{00000000-0005-0000-0000-00001B190000}"/>
    <cellStyle name="Normal 5 2 4 7 2" xfId="4380" xr:uid="{00000000-0005-0000-0000-00001C190000}"/>
    <cellStyle name="Normal 5 2 4 7 2 2" xfId="8602" xr:uid="{00000000-0005-0000-0000-00001D190000}"/>
    <cellStyle name="Normal 5 2 4 7 2 2 2" xfId="17928" xr:uid="{9E20B80D-9491-406C-A910-5E2799201112}"/>
    <cellStyle name="Normal 5 2 4 7 2 3" xfId="13711" xr:uid="{2E64384E-53DB-496C-A1CD-E65AE835CA7A}"/>
    <cellStyle name="Normal 5 2 4 7 3" xfId="6457" xr:uid="{00000000-0005-0000-0000-00001E190000}"/>
    <cellStyle name="Normal 5 2 4 7 3 2" xfId="15783" xr:uid="{780B0A77-0B7C-44D4-A8D4-85CAF012212C}"/>
    <cellStyle name="Normal 5 2 4 7 4" xfId="11566" xr:uid="{9F2677C1-701A-407F-90C3-C2A2CE0D3E07}"/>
    <cellStyle name="Normal 5 2 4 8" xfId="2587" xr:uid="{00000000-0005-0000-0000-00001F190000}"/>
    <cellStyle name="Normal 5 2 4 8 2" xfId="6870" xr:uid="{00000000-0005-0000-0000-000020190000}"/>
    <cellStyle name="Normal 5 2 4 8 2 2" xfId="16196" xr:uid="{52585C1F-27C9-45DA-9CA0-BF46CD7F49C7}"/>
    <cellStyle name="Normal 5 2 4 8 3" xfId="11979" xr:uid="{A1817F7C-8455-49FC-9CAA-88E1EE4E05B0}"/>
    <cellStyle name="Normal 5 2 4 9" xfId="4805" xr:uid="{00000000-0005-0000-0000-000021190000}"/>
    <cellStyle name="Normal 5 2 4 9 2" xfId="14131" xr:uid="{A7937069-5BEB-419B-8CC6-48D37C94DA80}"/>
    <cellStyle name="Normal 5 2 5" xfId="436" xr:uid="{00000000-0005-0000-0000-000022190000}"/>
    <cellStyle name="Normal 5 2 5 10" xfId="9918" xr:uid="{3423B933-DFF4-4EAB-AC53-78F0C450EF4D}"/>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94" xr:uid="{FADDF858-9622-44CF-A769-30864BD693E1}"/>
    <cellStyle name="Normal 5 2 5 2 2 2 3" xfId="12477" xr:uid="{AAD1D7C3-E3C1-4549-AA5D-BA43CFF5C6E6}"/>
    <cellStyle name="Normal 5 2 5 2 2 3" xfId="5223" xr:uid="{00000000-0005-0000-0000-000027190000}"/>
    <cellStyle name="Normal 5 2 5 2 2 3 2" xfId="14549" xr:uid="{18A370A7-B612-4422-9312-27A3517BEEBC}"/>
    <cellStyle name="Normal 5 2 5 2 2 4" xfId="9479" xr:uid="{0DDFFFD4-5D62-4038-B6D4-9E9BD7CBA380}"/>
    <cellStyle name="Normal 5 2 5 2 2 4 2" xfId="18794" xr:uid="{EBDCF96F-E172-4515-822C-19D79FE5D11D}"/>
    <cellStyle name="Normal 5 2 5 2 2 5" xfId="10332" xr:uid="{A12A0A08-EB9E-44D8-8762-540B0407B53F}"/>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107" xr:uid="{0A40EEBA-2E0F-4B1D-B81B-9E6BF0231F3C}"/>
    <cellStyle name="Normal 5 2 5 2 3 2 3" xfId="12890" xr:uid="{89396DB7-D694-449D-BBB9-4B2974434433}"/>
    <cellStyle name="Normal 5 2 5 2 3 3" xfId="5636" xr:uid="{00000000-0005-0000-0000-00002B190000}"/>
    <cellStyle name="Normal 5 2 5 2 3 3 2" xfId="14962" xr:uid="{7A3792B1-8DF1-4B49-9D66-2066425037DB}"/>
    <cellStyle name="Normal 5 2 5 2 3 4" xfId="10745" xr:uid="{3E5245AD-ED06-4967-8E1A-A6E054B049FF}"/>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520" xr:uid="{C76EDAC6-ECA8-4401-B395-A4FD04903EC3}"/>
    <cellStyle name="Normal 5 2 5 2 4 2 3" xfId="13303" xr:uid="{ED19556D-59A6-4220-B4D6-436E430F16E8}"/>
    <cellStyle name="Normal 5 2 5 2 4 3" xfId="6049" xr:uid="{00000000-0005-0000-0000-00002F190000}"/>
    <cellStyle name="Normal 5 2 5 2 4 3 2" xfId="15375" xr:uid="{1005396F-1984-410B-BC2F-2F9E51E46BE8}"/>
    <cellStyle name="Normal 5 2 5 2 4 4" xfId="11158" xr:uid="{998E8F0E-F2EE-4557-A911-49B09F65E069}"/>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933" xr:uid="{CCBA1366-3C49-463A-BAC8-17345DFEBE14}"/>
    <cellStyle name="Normal 5 2 5 2 5 2 3" xfId="13716" xr:uid="{8A9C93DF-C902-45E8-8245-FBAF5DAE5868}"/>
    <cellStyle name="Normal 5 2 5 2 5 3" xfId="6462" xr:uid="{00000000-0005-0000-0000-000033190000}"/>
    <cellStyle name="Normal 5 2 5 2 5 3 2" xfId="15788" xr:uid="{5F96E9C0-725B-4BC9-9D6F-F75DE49BA0F3}"/>
    <cellStyle name="Normal 5 2 5 2 5 4" xfId="11571" xr:uid="{BACED3C1-1866-4F73-8646-A689B618341B}"/>
    <cellStyle name="Normal 5 2 5 2 6" xfId="2592" xr:uid="{00000000-0005-0000-0000-000034190000}"/>
    <cellStyle name="Normal 5 2 5 2 6 2" xfId="6875" xr:uid="{00000000-0005-0000-0000-000035190000}"/>
    <cellStyle name="Normal 5 2 5 2 6 2 2" xfId="16201" xr:uid="{CB8F1ACF-9BA4-4519-B200-8C29BF0D48F5}"/>
    <cellStyle name="Normal 5 2 5 2 6 3" xfId="11984" xr:uid="{8AB87705-FCB0-431E-883A-4B4C02D328B7}"/>
    <cellStyle name="Normal 5 2 5 2 7" xfId="4810" xr:uid="{00000000-0005-0000-0000-000036190000}"/>
    <cellStyle name="Normal 5 2 5 2 7 2" xfId="14136" xr:uid="{A22542F2-4CF0-4B23-988C-521729A0A093}"/>
    <cellStyle name="Normal 5 2 5 2 8" xfId="9054" xr:uid="{844F6476-DDB9-4C38-A2B2-83AB0DCF1773}"/>
    <cellStyle name="Normal 5 2 5 2 8 2" xfId="18378" xr:uid="{5CA0B2B8-DDC3-4141-922E-26C3218AE78D}"/>
    <cellStyle name="Normal 5 2 5 2 9" xfId="9919" xr:uid="{4836701B-1864-4C6F-BC78-3629E399C04E}"/>
    <cellStyle name="Normal 5 2 5 3" xfId="910" xr:uid="{00000000-0005-0000-0000-000037190000}"/>
    <cellStyle name="Normal 5 2 5 3 2" xfId="3145" xr:uid="{00000000-0005-0000-0000-000038190000}"/>
    <cellStyle name="Normal 5 2 5 3 2 2" xfId="7367" xr:uid="{00000000-0005-0000-0000-000039190000}"/>
    <cellStyle name="Normal 5 2 5 3 2 2 2" xfId="16693" xr:uid="{8F65784D-32B3-47AF-AD6C-3FB11BD94FAE}"/>
    <cellStyle name="Normal 5 2 5 3 2 3" xfId="12476" xr:uid="{1E8C410A-08E8-490D-95EF-8C4A87AB7FDD}"/>
    <cellStyle name="Normal 5 2 5 3 3" xfId="5222" xr:uid="{00000000-0005-0000-0000-00003A190000}"/>
    <cellStyle name="Normal 5 2 5 3 3 2" xfId="14548" xr:uid="{8CF6F16F-59C4-4DC7-ADAA-AA27906F6CA2}"/>
    <cellStyle name="Normal 5 2 5 3 4" xfId="9272" xr:uid="{8865498C-CC61-4C5F-A1F4-57A1D301E1CE}"/>
    <cellStyle name="Normal 5 2 5 3 4 2" xfId="18587" xr:uid="{D24372D6-32F7-4818-9B7C-AEB9787B283E}"/>
    <cellStyle name="Normal 5 2 5 3 5" xfId="10331" xr:uid="{C420331D-134F-4B3A-ABA3-D700670FF509}"/>
    <cellStyle name="Normal 5 2 5 4" xfId="1328" xr:uid="{00000000-0005-0000-0000-00003B190000}"/>
    <cellStyle name="Normal 5 2 5 4 2" xfId="3558" xr:uid="{00000000-0005-0000-0000-00003C190000}"/>
    <cellStyle name="Normal 5 2 5 4 2 2" xfId="7780" xr:uid="{00000000-0005-0000-0000-00003D190000}"/>
    <cellStyle name="Normal 5 2 5 4 2 2 2" xfId="17106" xr:uid="{F7FDBECB-CED7-41DE-A288-59E677504146}"/>
    <cellStyle name="Normal 5 2 5 4 2 3" xfId="12889" xr:uid="{0B2A3189-72B5-4540-9E2E-B74A01366233}"/>
    <cellStyle name="Normal 5 2 5 4 3" xfId="5635" xr:uid="{00000000-0005-0000-0000-00003E190000}"/>
    <cellStyle name="Normal 5 2 5 4 3 2" xfId="14961" xr:uid="{884903BD-0FFC-4751-959C-A7533035359A}"/>
    <cellStyle name="Normal 5 2 5 4 4" xfId="10744" xr:uid="{F700475F-BB42-4769-A74C-78422DE68E8E}"/>
    <cellStyle name="Normal 5 2 5 5" xfId="1741" xr:uid="{00000000-0005-0000-0000-00003F190000}"/>
    <cellStyle name="Normal 5 2 5 5 2" xfId="3971" xr:uid="{00000000-0005-0000-0000-000040190000}"/>
    <cellStyle name="Normal 5 2 5 5 2 2" xfId="8193" xr:uid="{00000000-0005-0000-0000-000041190000}"/>
    <cellStyle name="Normal 5 2 5 5 2 2 2" xfId="17519" xr:uid="{CD41D211-69D4-4F9E-9217-DCFAC08AB038}"/>
    <cellStyle name="Normal 5 2 5 5 2 3" xfId="13302" xr:uid="{B684675A-88C1-4281-A30E-7A8BF5395F15}"/>
    <cellStyle name="Normal 5 2 5 5 3" xfId="6048" xr:uid="{00000000-0005-0000-0000-000042190000}"/>
    <cellStyle name="Normal 5 2 5 5 3 2" xfId="15374" xr:uid="{6F3EC248-C550-433C-BD35-C41AFB16F9E3}"/>
    <cellStyle name="Normal 5 2 5 5 4" xfId="11157" xr:uid="{37D548E7-C435-413D-8EA6-CBCB69157802}"/>
    <cellStyle name="Normal 5 2 5 6" xfId="2155" xr:uid="{00000000-0005-0000-0000-000043190000}"/>
    <cellStyle name="Normal 5 2 5 6 2" xfId="4384" xr:uid="{00000000-0005-0000-0000-000044190000}"/>
    <cellStyle name="Normal 5 2 5 6 2 2" xfId="8606" xr:uid="{00000000-0005-0000-0000-000045190000}"/>
    <cellStyle name="Normal 5 2 5 6 2 2 2" xfId="17932" xr:uid="{7EAE7CA1-7DF0-4B3D-AE08-F61915167624}"/>
    <cellStyle name="Normal 5 2 5 6 2 3" xfId="13715" xr:uid="{E9225F8A-E907-4A3E-965C-024D57182ADB}"/>
    <cellStyle name="Normal 5 2 5 6 3" xfId="6461" xr:uid="{00000000-0005-0000-0000-000046190000}"/>
    <cellStyle name="Normal 5 2 5 6 3 2" xfId="15787" xr:uid="{F222D410-41B3-42AB-8809-81989173B13C}"/>
    <cellStyle name="Normal 5 2 5 6 4" xfId="11570" xr:uid="{412FE32D-B53C-4707-8E2A-9A12A919905D}"/>
    <cellStyle name="Normal 5 2 5 7" xfId="2591" xr:uid="{00000000-0005-0000-0000-000047190000}"/>
    <cellStyle name="Normal 5 2 5 7 2" xfId="6874" xr:uid="{00000000-0005-0000-0000-000048190000}"/>
    <cellStyle name="Normal 5 2 5 7 2 2" xfId="16200" xr:uid="{28CF8F04-7B5D-4042-ACB0-CA8047AD3247}"/>
    <cellStyle name="Normal 5 2 5 7 3" xfId="11983" xr:uid="{4DB25901-6DFB-49BC-8059-CA6C7407935F}"/>
    <cellStyle name="Normal 5 2 5 8" xfId="4809" xr:uid="{00000000-0005-0000-0000-000049190000}"/>
    <cellStyle name="Normal 5 2 5 8 2" xfId="14135" xr:uid="{8DF50804-A2AF-404D-833B-E38333B6DD4E}"/>
    <cellStyle name="Normal 5 2 5 9" xfId="8847" xr:uid="{504334B5-BB84-4906-81A5-68746D711AC3}"/>
    <cellStyle name="Normal 5 2 5 9 2" xfId="18171" xr:uid="{A6A1DA57-ECF0-426D-A2B6-478F52DBE8DC}"/>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6695" xr:uid="{773059DD-BADE-46E4-B2BA-2D51EC4BDF0A}"/>
    <cellStyle name="Normal 5 2 6 2 2 3" xfId="12478" xr:uid="{D0CC2EEA-5F0B-4D5D-A4CD-0A052AEC30BA}"/>
    <cellStyle name="Normal 5 2 6 2 3" xfId="5224" xr:uid="{00000000-0005-0000-0000-00004E190000}"/>
    <cellStyle name="Normal 5 2 6 2 3 2" xfId="14550" xr:uid="{6A05B6F0-4164-4C92-A5A1-D821610D60E5}"/>
    <cellStyle name="Normal 5 2 6 2 4" xfId="9388" xr:uid="{38BE55A5-085B-499D-8766-DF826B77D03C}"/>
    <cellStyle name="Normal 5 2 6 2 4 2" xfId="18703" xr:uid="{EB63F7CD-CFAC-49C1-8CAE-745174B80547}"/>
    <cellStyle name="Normal 5 2 6 2 5" xfId="10333" xr:uid="{28A2AB47-A9A6-4DAB-81C7-ACA55B5E7D0B}"/>
    <cellStyle name="Normal 5 2 6 3" xfId="1330" xr:uid="{00000000-0005-0000-0000-00004F190000}"/>
    <cellStyle name="Normal 5 2 6 3 2" xfId="3560" xr:uid="{00000000-0005-0000-0000-000050190000}"/>
    <cellStyle name="Normal 5 2 6 3 2 2" xfId="7782" xr:uid="{00000000-0005-0000-0000-000051190000}"/>
    <cellStyle name="Normal 5 2 6 3 2 2 2" xfId="17108" xr:uid="{E4B6C56A-22A0-485C-86D1-0599928B78F8}"/>
    <cellStyle name="Normal 5 2 6 3 2 3" xfId="12891" xr:uid="{174E5368-7952-4F16-9252-C3044013335C}"/>
    <cellStyle name="Normal 5 2 6 3 3" xfId="5637" xr:uid="{00000000-0005-0000-0000-000052190000}"/>
    <cellStyle name="Normal 5 2 6 3 3 2" xfId="14963" xr:uid="{673D28B0-19F7-4E2F-B043-CE1E224D46F7}"/>
    <cellStyle name="Normal 5 2 6 3 4" xfId="10746" xr:uid="{5A9DAD67-8667-4AEC-B6D5-27BB100BDEE9}"/>
    <cellStyle name="Normal 5 2 6 4" xfId="1743" xr:uid="{00000000-0005-0000-0000-000053190000}"/>
    <cellStyle name="Normal 5 2 6 4 2" xfId="3973" xr:uid="{00000000-0005-0000-0000-000054190000}"/>
    <cellStyle name="Normal 5 2 6 4 2 2" xfId="8195" xr:uid="{00000000-0005-0000-0000-000055190000}"/>
    <cellStyle name="Normal 5 2 6 4 2 2 2" xfId="17521" xr:uid="{C014B9EC-0EB5-46EA-85D8-7ED50698344E}"/>
    <cellStyle name="Normal 5 2 6 4 2 3" xfId="13304" xr:uid="{5A970B24-7859-4130-9AD7-C4A048CF6AE8}"/>
    <cellStyle name="Normal 5 2 6 4 3" xfId="6050" xr:uid="{00000000-0005-0000-0000-000056190000}"/>
    <cellStyle name="Normal 5 2 6 4 3 2" xfId="15376" xr:uid="{882EBC7B-479B-49A3-A2D9-66D82277B8EE}"/>
    <cellStyle name="Normal 5 2 6 4 4" xfId="11159" xr:uid="{DCEFDEDB-7E63-4C39-810B-F65AE94FCE34}"/>
    <cellStyle name="Normal 5 2 6 5" xfId="2157" xr:uid="{00000000-0005-0000-0000-000057190000}"/>
    <cellStyle name="Normal 5 2 6 5 2" xfId="4386" xr:uid="{00000000-0005-0000-0000-000058190000}"/>
    <cellStyle name="Normal 5 2 6 5 2 2" xfId="8608" xr:uid="{00000000-0005-0000-0000-000059190000}"/>
    <cellStyle name="Normal 5 2 6 5 2 2 2" xfId="17934" xr:uid="{50B78DF8-4F47-480D-BDDC-48E00D1DF7E0}"/>
    <cellStyle name="Normal 5 2 6 5 2 3" xfId="13717" xr:uid="{D376F405-5538-43B2-8503-D181E662BF5D}"/>
    <cellStyle name="Normal 5 2 6 5 3" xfId="6463" xr:uid="{00000000-0005-0000-0000-00005A190000}"/>
    <cellStyle name="Normal 5 2 6 5 3 2" xfId="15789" xr:uid="{95E0692C-3EA6-406E-88F7-4672B72EAF9C}"/>
    <cellStyle name="Normal 5 2 6 5 4" xfId="11572" xr:uid="{CBE183B1-C057-491F-9D27-F8E6B5AF5B1D}"/>
    <cellStyle name="Normal 5 2 6 6" xfId="2593" xr:uid="{00000000-0005-0000-0000-00005B190000}"/>
    <cellStyle name="Normal 5 2 6 6 2" xfId="6876" xr:uid="{00000000-0005-0000-0000-00005C190000}"/>
    <cellStyle name="Normal 5 2 6 6 2 2" xfId="16202" xr:uid="{A6F5CA7D-44FD-4CB3-996F-BEB171CE8099}"/>
    <cellStyle name="Normal 5 2 6 6 3" xfId="11985" xr:uid="{CF7C50FA-D7D6-450B-92A3-ACDD9E36F979}"/>
    <cellStyle name="Normal 5 2 6 7" xfId="4811" xr:uid="{00000000-0005-0000-0000-00005D190000}"/>
    <cellStyle name="Normal 5 2 6 7 2" xfId="14137" xr:uid="{B8290281-2E43-48CE-A0B0-368C293B0C8F}"/>
    <cellStyle name="Normal 5 2 6 8" xfId="8963" xr:uid="{01BDB756-0B70-4C0D-AC32-9959EE0C8F11}"/>
    <cellStyle name="Normal 5 2 6 8 2" xfId="18287" xr:uid="{65ECA66D-4E4F-4B64-9778-BF340644A3B3}"/>
    <cellStyle name="Normal 5 2 6 9" xfId="9920" xr:uid="{6C73AE64-A0D9-4BC8-8143-935FA15B6DAC}"/>
    <cellStyle name="Normal 5 2 7" xfId="881" xr:uid="{00000000-0005-0000-0000-00005E190000}"/>
    <cellStyle name="Normal 5 2 7 2" xfId="3116" xr:uid="{00000000-0005-0000-0000-00005F190000}"/>
    <cellStyle name="Normal 5 2 7 2 2" xfId="7338" xr:uid="{00000000-0005-0000-0000-000060190000}"/>
    <cellStyle name="Normal 5 2 7 2 2 2" xfId="16664" xr:uid="{EAD08637-4EC0-431A-B3D5-C2A59B0899F9}"/>
    <cellStyle name="Normal 5 2 7 2 3" xfId="12447" xr:uid="{9CE14BFF-05B6-474D-97EA-B940237D35FC}"/>
    <cellStyle name="Normal 5 2 7 3" xfId="5193" xr:uid="{00000000-0005-0000-0000-000061190000}"/>
    <cellStyle name="Normal 5 2 7 3 2" xfId="14519" xr:uid="{64F2431F-29DE-4B1D-8B03-5CB203EF6CFF}"/>
    <cellStyle name="Normal 5 2 7 4" xfId="9166" xr:uid="{903BB692-5043-4803-B109-F7C532EB2A09}"/>
    <cellStyle name="Normal 5 2 7 4 2" xfId="18484" xr:uid="{A5BCAF0D-C44B-4D03-B093-8301350D7CA7}"/>
    <cellStyle name="Normal 5 2 7 5" xfId="10302" xr:uid="{17FB577F-C471-47B6-BB70-84DA0BF1DD1D}"/>
    <cellStyle name="Normal 5 2 8" xfId="1299" xr:uid="{00000000-0005-0000-0000-000062190000}"/>
    <cellStyle name="Normal 5 2 8 2" xfId="3529" xr:uid="{00000000-0005-0000-0000-000063190000}"/>
    <cellStyle name="Normal 5 2 8 2 2" xfId="7751" xr:uid="{00000000-0005-0000-0000-000064190000}"/>
    <cellStyle name="Normal 5 2 8 2 2 2" xfId="17077" xr:uid="{9E1D6275-3CF9-46BF-ADAB-305575F76C8C}"/>
    <cellStyle name="Normal 5 2 8 2 3" xfId="12860" xr:uid="{A447F74A-942C-46FF-9566-806E5D73E03B}"/>
    <cellStyle name="Normal 5 2 8 3" xfId="5606" xr:uid="{00000000-0005-0000-0000-000065190000}"/>
    <cellStyle name="Normal 5 2 8 3 2" xfId="14932" xr:uid="{4B622DA4-AE0B-4BC7-B076-C16A7D2BFDF6}"/>
    <cellStyle name="Normal 5 2 8 4" xfId="10715" xr:uid="{D899B247-DFCE-4FE5-BA52-F2B1ACF0C210}"/>
    <cellStyle name="Normal 5 2 9" xfId="1712" xr:uid="{00000000-0005-0000-0000-000066190000}"/>
    <cellStyle name="Normal 5 2 9 2" xfId="3942" xr:uid="{00000000-0005-0000-0000-000067190000}"/>
    <cellStyle name="Normal 5 2 9 2 2" xfId="8164" xr:uid="{00000000-0005-0000-0000-000068190000}"/>
    <cellStyle name="Normal 5 2 9 2 2 2" xfId="17490" xr:uid="{95840EC1-82EA-403C-A79E-7F7C225533E9}"/>
    <cellStyle name="Normal 5 2 9 2 3" xfId="13273" xr:uid="{49F8549F-0F22-45F9-9C03-50F10902EB7F}"/>
    <cellStyle name="Normal 5 2 9 3" xfId="6019" xr:uid="{00000000-0005-0000-0000-000069190000}"/>
    <cellStyle name="Normal 5 2 9 3 2" xfId="15345" xr:uid="{85755AF3-9602-4DD3-A6F6-94A3798D8C64}"/>
    <cellStyle name="Normal 5 2 9 4" xfId="11128" xr:uid="{A0EA894C-A7E4-4A52-8229-81C104A01764}"/>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935" xr:uid="{D5FB9295-5CF6-4CC9-B109-158E130DC327}"/>
    <cellStyle name="Normal 5 3 10 2 3" xfId="13718" xr:uid="{C74897B8-C49C-4EAC-B641-94F13950FC52}"/>
    <cellStyle name="Normal 5 3 10 3" xfId="6464" xr:uid="{00000000-0005-0000-0000-00006E190000}"/>
    <cellStyle name="Normal 5 3 10 3 2" xfId="15790" xr:uid="{025B6E21-9727-4A44-BEA0-C07EA1C700A9}"/>
    <cellStyle name="Normal 5 3 10 4" xfId="11573" xr:uid="{2C733F63-E786-4029-8A14-E1C887BB171B}"/>
    <cellStyle name="Normal 5 3 11" xfId="2594" xr:uid="{00000000-0005-0000-0000-00006F190000}"/>
    <cellStyle name="Normal 5 3 11 2" xfId="6877" xr:uid="{00000000-0005-0000-0000-000070190000}"/>
    <cellStyle name="Normal 5 3 11 2 2" xfId="16203" xr:uid="{62B90F35-6A47-4D4F-A29C-3F6E215B80AD}"/>
    <cellStyle name="Normal 5 3 11 3" xfId="11986" xr:uid="{C209FAC4-AF2A-4FB3-8374-D408FFEB7388}"/>
    <cellStyle name="Normal 5 3 12" xfId="4812" xr:uid="{00000000-0005-0000-0000-000071190000}"/>
    <cellStyle name="Normal 5 3 12 2" xfId="14138" xr:uid="{9A4BBDA3-5036-46BC-86F6-B0AD0D096017}"/>
    <cellStyle name="Normal 5 3 13" xfId="8750" xr:uid="{36957AEF-D081-4A23-AEE3-073A5901863C}"/>
    <cellStyle name="Normal 5 3 13 2" xfId="18074" xr:uid="{354BEAF8-32E4-4113-83D8-33647B4A6F8A}"/>
    <cellStyle name="Normal 5 3 14" xfId="9921" xr:uid="{23F6F0F8-76BF-4E86-A493-50F8156483A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139" xr:uid="{28D19867-3AAC-4152-BD0A-0083589A1E31}"/>
    <cellStyle name="Normal 5 3 3 11" xfId="8782" xr:uid="{4219AD28-469A-4693-BD0B-B0536AC433E5}"/>
    <cellStyle name="Normal 5 3 3 11 2" xfId="18106" xr:uid="{340CD54A-8C60-45A7-A6F7-1AB30A524B5D}"/>
    <cellStyle name="Normal 5 3 3 12" xfId="9922" xr:uid="{A62BB726-FC6B-4735-8785-D137B5E694C8}"/>
    <cellStyle name="Normal 5 3 3 2" xfId="442" xr:uid="{00000000-0005-0000-0000-000076190000}"/>
    <cellStyle name="Normal 5 3 3 2 10" xfId="8832" xr:uid="{03323DDB-E4E1-4078-8BBE-EA3DD4471E1B}"/>
    <cellStyle name="Normal 5 3 3 2 10 2" xfId="18156" xr:uid="{BB6D5363-6575-47C9-83DE-875322E476CE}"/>
    <cellStyle name="Normal 5 3 3 2 11" xfId="9923" xr:uid="{C4438781-CF99-4995-ADED-F962A8A4C564}"/>
    <cellStyle name="Normal 5 3 3 2 2" xfId="443" xr:uid="{00000000-0005-0000-0000-000077190000}"/>
    <cellStyle name="Normal 5 3 3 2 2 10" xfId="9924" xr:uid="{4B4EE7D1-BC48-4F15-BBEB-268BC9E72D88}"/>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700" xr:uid="{3C958B0D-CE34-4E24-8E5D-79030A41FAA3}"/>
    <cellStyle name="Normal 5 3 3 2 2 2 2 2 3" xfId="12483" xr:uid="{3208E16E-4342-45BD-8091-C6F3BC6B0E19}"/>
    <cellStyle name="Normal 5 3 3 2 2 2 2 3" xfId="5229" xr:uid="{00000000-0005-0000-0000-00007C190000}"/>
    <cellStyle name="Normal 5 3 3 2 2 2 2 3 2" xfId="14555" xr:uid="{4272BB4F-8342-41B8-9966-8ADB7D60168E}"/>
    <cellStyle name="Normal 5 3 3 2 2 2 2 4" xfId="9567" xr:uid="{C2519486-6BC5-47D1-879F-EC6040BC9E9D}"/>
    <cellStyle name="Normal 5 3 3 2 2 2 2 4 2" xfId="18882" xr:uid="{CDB46A76-AF2D-4ABC-8F75-01525E9C5C98}"/>
    <cellStyle name="Normal 5 3 3 2 2 2 2 5" xfId="10338" xr:uid="{A86E18B2-9F8D-4D81-9201-F7789602EE58}"/>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113" xr:uid="{84DB35F4-3C5D-44BC-8B90-A9E1835CBBB1}"/>
    <cellStyle name="Normal 5 3 3 2 2 2 3 2 3" xfId="12896" xr:uid="{0ACDD576-B6BE-4B31-A1D7-485ACB1ABB3F}"/>
    <cellStyle name="Normal 5 3 3 2 2 2 3 3" xfId="5642" xr:uid="{00000000-0005-0000-0000-000080190000}"/>
    <cellStyle name="Normal 5 3 3 2 2 2 3 3 2" xfId="14968" xr:uid="{292389AD-7CEC-4A47-AB75-A886BFDD41A4}"/>
    <cellStyle name="Normal 5 3 3 2 2 2 3 4" xfId="10751" xr:uid="{FC32B3E3-3EED-42FC-B972-E8491D80E541}"/>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526" xr:uid="{248AE819-6541-4303-8C97-46FFB569FB00}"/>
    <cellStyle name="Normal 5 3 3 2 2 2 4 2 3" xfId="13309" xr:uid="{BBC3D183-7C0C-4082-9636-9CC5DDD6AADD}"/>
    <cellStyle name="Normal 5 3 3 2 2 2 4 3" xfId="6055" xr:uid="{00000000-0005-0000-0000-000084190000}"/>
    <cellStyle name="Normal 5 3 3 2 2 2 4 3 2" xfId="15381" xr:uid="{3294A19D-8EF7-45B6-B423-8F786ECF434A}"/>
    <cellStyle name="Normal 5 3 3 2 2 2 4 4" xfId="11164" xr:uid="{65AFAC1A-BABF-454B-8E8F-7C08742D64CC}"/>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939" xr:uid="{FF3E222F-D8F3-4055-9D1E-5F2E4A48C546}"/>
    <cellStyle name="Normal 5 3 3 2 2 2 5 2 3" xfId="13722" xr:uid="{5E66E021-A73C-49C7-B39B-3EDD2E00C919}"/>
    <cellStyle name="Normal 5 3 3 2 2 2 5 3" xfId="6468" xr:uid="{00000000-0005-0000-0000-000088190000}"/>
    <cellStyle name="Normal 5 3 3 2 2 2 5 3 2" xfId="15794" xr:uid="{9FFAB730-E1B6-4287-9DD2-0723588ACF5B}"/>
    <cellStyle name="Normal 5 3 3 2 2 2 5 4" xfId="11577" xr:uid="{52DE5BE6-FF47-4D25-9AD3-382B1D069E05}"/>
    <cellStyle name="Normal 5 3 3 2 2 2 6" xfId="2598" xr:uid="{00000000-0005-0000-0000-000089190000}"/>
    <cellStyle name="Normal 5 3 3 2 2 2 6 2" xfId="6881" xr:uid="{00000000-0005-0000-0000-00008A190000}"/>
    <cellStyle name="Normal 5 3 3 2 2 2 6 2 2" xfId="16207" xr:uid="{9FCAB240-6E1C-410B-86E4-68800BC210B5}"/>
    <cellStyle name="Normal 5 3 3 2 2 2 6 3" xfId="11990" xr:uid="{5E6A1A38-DF0B-44B8-B254-02D34CAC6D54}"/>
    <cellStyle name="Normal 5 3 3 2 2 2 7" xfId="4816" xr:uid="{00000000-0005-0000-0000-00008B190000}"/>
    <cellStyle name="Normal 5 3 3 2 2 2 7 2" xfId="14142" xr:uid="{EDAB4F9E-375F-4A95-877F-EB667B02D4B1}"/>
    <cellStyle name="Normal 5 3 3 2 2 2 8" xfId="9142" xr:uid="{81CF9711-3A0B-4712-8E8F-033C974AA9E3}"/>
    <cellStyle name="Normal 5 3 3 2 2 2 8 2" xfId="18466" xr:uid="{A0123648-0F5A-41FE-867B-1F2302247373}"/>
    <cellStyle name="Normal 5 3 3 2 2 2 9" xfId="9925" xr:uid="{1B86D9E7-2AFF-44DE-AC3E-B1A6EF7364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99" xr:uid="{75E4E430-CD02-4F84-988C-5B133B87CA65}"/>
    <cellStyle name="Normal 5 3 3 2 2 3 2 3" xfId="12482" xr:uid="{DDDDBB6C-E739-4982-AD5F-BF65814A94F9}"/>
    <cellStyle name="Normal 5 3 3 2 2 3 3" xfId="5228" xr:uid="{00000000-0005-0000-0000-00008F190000}"/>
    <cellStyle name="Normal 5 3 3 2 2 3 3 2" xfId="14554" xr:uid="{FD94CE46-F286-4930-95D5-39CA6A0DE5C0}"/>
    <cellStyle name="Normal 5 3 3 2 2 3 4" xfId="9360" xr:uid="{07447062-3C9B-4A41-BE9D-50DE495FF588}"/>
    <cellStyle name="Normal 5 3 3 2 2 3 4 2" xfId="18675" xr:uid="{2DF66AD6-A0BA-4DAD-B001-4B552AC1811C}"/>
    <cellStyle name="Normal 5 3 3 2 2 3 5" xfId="10337" xr:uid="{89D19530-8153-4454-924A-4EE938C66B0E}"/>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112" xr:uid="{6E865367-94C6-4120-B48E-C2A88F727F55}"/>
    <cellStyle name="Normal 5 3 3 2 2 4 2 3" xfId="12895" xr:uid="{F414237D-A062-4386-AA78-7F203723C3BE}"/>
    <cellStyle name="Normal 5 3 3 2 2 4 3" xfId="5641" xr:uid="{00000000-0005-0000-0000-000093190000}"/>
    <cellStyle name="Normal 5 3 3 2 2 4 3 2" xfId="14967" xr:uid="{5A25E791-C75A-4FBC-9ADA-92822FBA128B}"/>
    <cellStyle name="Normal 5 3 3 2 2 4 4" xfId="10750" xr:uid="{1B7A9933-F2E7-4799-A27D-24EF758D6EA6}"/>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525" xr:uid="{442AE85C-C1D5-44F6-94CA-742A0ADB3923}"/>
    <cellStyle name="Normal 5 3 3 2 2 5 2 3" xfId="13308" xr:uid="{7E02E2D5-7067-4F9B-B7C0-A7B713CCFF97}"/>
    <cellStyle name="Normal 5 3 3 2 2 5 3" xfId="6054" xr:uid="{00000000-0005-0000-0000-000097190000}"/>
    <cellStyle name="Normal 5 3 3 2 2 5 3 2" xfId="15380" xr:uid="{712E3757-7AE6-4CE3-BC04-D8CC9A8503C5}"/>
    <cellStyle name="Normal 5 3 3 2 2 5 4" xfId="11163" xr:uid="{861290B5-2246-4D79-9E2E-CE6E5F4F2EA3}"/>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938" xr:uid="{50DCC3A9-3058-4B25-8289-7424F89614FF}"/>
    <cellStyle name="Normal 5 3 3 2 2 6 2 3" xfId="13721" xr:uid="{09E279BA-BFA6-4D12-8A98-1534A5BBC5E6}"/>
    <cellStyle name="Normal 5 3 3 2 2 6 3" xfId="6467" xr:uid="{00000000-0005-0000-0000-00009B190000}"/>
    <cellStyle name="Normal 5 3 3 2 2 6 3 2" xfId="15793" xr:uid="{DE53129D-8242-4741-9DB6-E580370478C8}"/>
    <cellStyle name="Normal 5 3 3 2 2 6 4" xfId="11576" xr:uid="{8AE3444A-B7A3-4B31-983A-304B620D6DF0}"/>
    <cellStyle name="Normal 5 3 3 2 2 7" xfId="2597" xr:uid="{00000000-0005-0000-0000-00009C190000}"/>
    <cellStyle name="Normal 5 3 3 2 2 7 2" xfId="6880" xr:uid="{00000000-0005-0000-0000-00009D190000}"/>
    <cellStyle name="Normal 5 3 3 2 2 7 2 2" xfId="16206" xr:uid="{ED393F9F-E670-42F4-98D0-EAF70AC42633}"/>
    <cellStyle name="Normal 5 3 3 2 2 7 3" xfId="11989" xr:uid="{1A533179-3F13-4571-9B59-5C3074F92278}"/>
    <cellStyle name="Normal 5 3 3 2 2 8" xfId="4815" xr:uid="{00000000-0005-0000-0000-00009E190000}"/>
    <cellStyle name="Normal 5 3 3 2 2 8 2" xfId="14141" xr:uid="{D7E1E2BC-CA83-4734-8FE3-0C2F9060623F}"/>
    <cellStyle name="Normal 5 3 3 2 2 9" xfId="8935" xr:uid="{94B8766B-0DD5-4CC7-9403-D37FC711344B}"/>
    <cellStyle name="Normal 5 3 3 2 2 9 2" xfId="18259" xr:uid="{373E9F0E-B66F-41EB-A3EA-E724B47F581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701" xr:uid="{79BFC474-75C8-46CD-8948-C9D3D87A60A9}"/>
    <cellStyle name="Normal 5 3 3 2 3 2 2 3" xfId="12484" xr:uid="{3F206E62-077E-4125-B6A2-55AAAE2069A5}"/>
    <cellStyle name="Normal 5 3 3 2 3 2 3" xfId="5230" xr:uid="{00000000-0005-0000-0000-0000A3190000}"/>
    <cellStyle name="Normal 5 3 3 2 3 2 3 2" xfId="14556" xr:uid="{EE45BCC3-BD6D-42DB-A3A6-0CB7510C4AC8}"/>
    <cellStyle name="Normal 5 3 3 2 3 2 4" xfId="9464" xr:uid="{6A182EEF-0879-47AD-839A-17D560B4AF3D}"/>
    <cellStyle name="Normal 5 3 3 2 3 2 4 2" xfId="18779" xr:uid="{C27DCA64-BF7A-4A3D-8CEE-38D8821B53CC}"/>
    <cellStyle name="Normal 5 3 3 2 3 2 5" xfId="10339" xr:uid="{DBDBF8E3-C484-4DD2-AF05-D9E9738E9C92}"/>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114" xr:uid="{7B130B68-2733-4EE5-AB3A-8F5C42EAE668}"/>
    <cellStyle name="Normal 5 3 3 2 3 3 2 3" xfId="12897" xr:uid="{53CD76A7-CBDC-4107-983D-ABA29AF90205}"/>
    <cellStyle name="Normal 5 3 3 2 3 3 3" xfId="5643" xr:uid="{00000000-0005-0000-0000-0000A7190000}"/>
    <cellStyle name="Normal 5 3 3 2 3 3 3 2" xfId="14969" xr:uid="{24C48F96-74AA-4531-80D3-87C2C425E9E5}"/>
    <cellStyle name="Normal 5 3 3 2 3 3 4" xfId="10752" xr:uid="{262D0C5B-EC28-466B-AEC3-095F3C6F1266}"/>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527" xr:uid="{BF797EF2-7C71-4E33-9D2B-D20747BF95D8}"/>
    <cellStyle name="Normal 5 3 3 2 3 4 2 3" xfId="13310" xr:uid="{738C9F37-F1AC-421E-B0BD-BD4014D23BF8}"/>
    <cellStyle name="Normal 5 3 3 2 3 4 3" xfId="6056" xr:uid="{00000000-0005-0000-0000-0000AB190000}"/>
    <cellStyle name="Normal 5 3 3 2 3 4 3 2" xfId="15382" xr:uid="{4D5DF7A6-3C2D-4021-8010-9F011F9D416C}"/>
    <cellStyle name="Normal 5 3 3 2 3 4 4" xfId="11165" xr:uid="{B326EADB-6012-464B-9724-D759F2322AFF}"/>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940" xr:uid="{DB0D4306-0286-428A-ABAE-8333BAAD68D8}"/>
    <cellStyle name="Normal 5 3 3 2 3 5 2 3" xfId="13723" xr:uid="{21AD201F-BB0D-42C7-91B0-0D37E940A3C5}"/>
    <cellStyle name="Normal 5 3 3 2 3 5 3" xfId="6469" xr:uid="{00000000-0005-0000-0000-0000AF190000}"/>
    <cellStyle name="Normal 5 3 3 2 3 5 3 2" xfId="15795" xr:uid="{D6853B04-92E3-496B-B06F-259D4F873C86}"/>
    <cellStyle name="Normal 5 3 3 2 3 5 4" xfId="11578" xr:uid="{A2615EE0-6506-4A15-85F4-FA2C4F3E3DC7}"/>
    <cellStyle name="Normal 5 3 3 2 3 6" xfId="2599" xr:uid="{00000000-0005-0000-0000-0000B0190000}"/>
    <cellStyle name="Normal 5 3 3 2 3 6 2" xfId="6882" xr:uid="{00000000-0005-0000-0000-0000B1190000}"/>
    <cellStyle name="Normal 5 3 3 2 3 6 2 2" xfId="16208" xr:uid="{2897A1B8-A58C-4E1E-83BC-A566994B2C6B}"/>
    <cellStyle name="Normal 5 3 3 2 3 6 3" xfId="11991" xr:uid="{11107EEA-23CA-41EA-A0C9-EAC14C999B57}"/>
    <cellStyle name="Normal 5 3 3 2 3 7" xfId="4817" xr:uid="{00000000-0005-0000-0000-0000B2190000}"/>
    <cellStyle name="Normal 5 3 3 2 3 7 2" xfId="14143" xr:uid="{A24383CE-D880-498F-9B70-11B06DC2B99B}"/>
    <cellStyle name="Normal 5 3 3 2 3 8" xfId="9039" xr:uid="{84D80CE6-A0CA-4841-8673-26EA7EC6806D}"/>
    <cellStyle name="Normal 5 3 3 2 3 8 2" xfId="18363" xr:uid="{16D229AF-DFD9-4E74-94B2-69EDFE603D73}"/>
    <cellStyle name="Normal 5 3 3 2 3 9" xfId="9926" xr:uid="{940A89F6-D03B-4016-94ED-206FB0E94289}"/>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98" xr:uid="{3295EC08-5A8C-4E09-A5B3-867C664FC91F}"/>
    <cellStyle name="Normal 5 3 3 2 4 2 3" xfId="12481" xr:uid="{E5CC4B6C-1CF4-4635-BC67-43934E1CF5DB}"/>
    <cellStyle name="Normal 5 3 3 2 4 3" xfId="5227" xr:uid="{00000000-0005-0000-0000-0000B6190000}"/>
    <cellStyle name="Normal 5 3 3 2 4 3 2" xfId="14553" xr:uid="{5A2CFEC5-7353-45CB-A64C-D2212C20B17F}"/>
    <cellStyle name="Normal 5 3 3 2 4 4" xfId="9257" xr:uid="{E6656214-6E5B-491F-B1E3-227CB6568726}"/>
    <cellStyle name="Normal 5 3 3 2 4 4 2" xfId="18572" xr:uid="{15ADE043-6A1A-4ABD-88C4-D4C7861853C0}"/>
    <cellStyle name="Normal 5 3 3 2 4 5" xfId="10336" xr:uid="{5986F03C-0E4F-4166-81F6-11FEFFAC1157}"/>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111" xr:uid="{3108663C-EBED-4C0D-985B-EA3B668C172A}"/>
    <cellStyle name="Normal 5 3 3 2 5 2 3" xfId="12894" xr:uid="{C4E53634-C91F-4CE4-94DF-0B1CA0383CD6}"/>
    <cellStyle name="Normal 5 3 3 2 5 3" xfId="5640" xr:uid="{00000000-0005-0000-0000-0000BA190000}"/>
    <cellStyle name="Normal 5 3 3 2 5 3 2" xfId="14966" xr:uid="{EA4B7C56-F00F-41D7-8665-0B1F4CCB6B8D}"/>
    <cellStyle name="Normal 5 3 3 2 5 4" xfId="10749" xr:uid="{40DD1145-421F-486E-8CBA-A6E4E1CBD9A6}"/>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524" xr:uid="{16F6EA25-ACD7-4CB1-89F2-E4E3C2D00F6A}"/>
    <cellStyle name="Normal 5 3 3 2 6 2 3" xfId="13307" xr:uid="{975DD0AC-00F4-4E7D-8035-8B15EBC9A6D8}"/>
    <cellStyle name="Normal 5 3 3 2 6 3" xfId="6053" xr:uid="{00000000-0005-0000-0000-0000BE190000}"/>
    <cellStyle name="Normal 5 3 3 2 6 3 2" xfId="15379" xr:uid="{C36C9616-11BE-45F3-A422-BB2EEB5ABAF1}"/>
    <cellStyle name="Normal 5 3 3 2 6 4" xfId="11162" xr:uid="{AC4A48D1-7723-4439-B419-DAF59B3030F0}"/>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937" xr:uid="{0920CE6F-0D5C-49AE-A464-A3E37819FBF2}"/>
    <cellStyle name="Normal 5 3 3 2 7 2 3" xfId="13720" xr:uid="{13DF047F-7DFA-4CAE-A3FC-4C413D62DA75}"/>
    <cellStyle name="Normal 5 3 3 2 7 3" xfId="6466" xr:uid="{00000000-0005-0000-0000-0000C2190000}"/>
    <cellStyle name="Normal 5 3 3 2 7 3 2" xfId="15792" xr:uid="{D213F403-34AD-4F95-8826-1FA47FE10D1B}"/>
    <cellStyle name="Normal 5 3 3 2 7 4" xfId="11575" xr:uid="{14AE0636-99C1-4CAB-A09E-229DEED2C289}"/>
    <cellStyle name="Normal 5 3 3 2 8" xfId="2596" xr:uid="{00000000-0005-0000-0000-0000C3190000}"/>
    <cellStyle name="Normal 5 3 3 2 8 2" xfId="6879" xr:uid="{00000000-0005-0000-0000-0000C4190000}"/>
    <cellStyle name="Normal 5 3 3 2 8 2 2" xfId="16205" xr:uid="{813555C9-0BA6-481B-929A-70D9B74F7F9F}"/>
    <cellStyle name="Normal 5 3 3 2 8 3" xfId="11988" xr:uid="{EFB4868D-452E-4A27-B597-4EEA685EDB73}"/>
    <cellStyle name="Normal 5 3 3 2 9" xfId="4814" xr:uid="{00000000-0005-0000-0000-0000C5190000}"/>
    <cellStyle name="Normal 5 3 3 2 9 2" xfId="14140" xr:uid="{C5FADD3D-7C4A-4EE7-BFB1-2AB62A4F0DF9}"/>
    <cellStyle name="Normal 5 3 3 3" xfId="446" xr:uid="{00000000-0005-0000-0000-0000C6190000}"/>
    <cellStyle name="Normal 5 3 3 3 10" xfId="9927" xr:uid="{E000D612-DAEA-45CC-BF97-4B0DA8A2CDD5}"/>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703" xr:uid="{FD57788B-53CE-4B3D-B28D-1EDFA0643136}"/>
    <cellStyle name="Normal 5 3 3 3 2 2 2 3" xfId="12486" xr:uid="{77EE90A5-FF26-4422-AC2F-193076F65F2E}"/>
    <cellStyle name="Normal 5 3 3 3 2 2 3" xfId="5232" xr:uid="{00000000-0005-0000-0000-0000CB190000}"/>
    <cellStyle name="Normal 5 3 3 3 2 2 3 2" xfId="14558" xr:uid="{545A67B0-60ED-4880-8615-23EFBA4DA006}"/>
    <cellStyle name="Normal 5 3 3 3 2 2 4" xfId="9517" xr:uid="{EA62A3B1-8ED5-4A6F-ACE0-B924BC16AA9E}"/>
    <cellStyle name="Normal 5 3 3 3 2 2 4 2" xfId="18832" xr:uid="{651F5A54-71DD-4F30-A084-6F2F2BBEF636}"/>
    <cellStyle name="Normal 5 3 3 3 2 2 5" xfId="10341" xr:uid="{5530F7AD-1681-40A2-9B99-470BEDD74783}"/>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116" xr:uid="{7FAAC0D4-227A-4877-AA31-3F0B62B8BE92}"/>
    <cellStyle name="Normal 5 3 3 3 2 3 2 3" xfId="12899" xr:uid="{910A7845-83D7-4475-AF81-370A48285795}"/>
    <cellStyle name="Normal 5 3 3 3 2 3 3" xfId="5645" xr:uid="{00000000-0005-0000-0000-0000CF190000}"/>
    <cellStyle name="Normal 5 3 3 3 2 3 3 2" xfId="14971" xr:uid="{6348E2A5-46C1-4DBF-8924-C2F96B19608A}"/>
    <cellStyle name="Normal 5 3 3 3 2 3 4" xfId="10754" xr:uid="{2B63DE0E-B160-4333-8CAF-895227429C18}"/>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529" xr:uid="{D91B018E-8F09-4C6F-9BEF-81A3B5BE3272}"/>
    <cellStyle name="Normal 5 3 3 3 2 4 2 3" xfId="13312" xr:uid="{FAD196F1-4A41-434C-BCBB-A582A1F00919}"/>
    <cellStyle name="Normal 5 3 3 3 2 4 3" xfId="6058" xr:uid="{00000000-0005-0000-0000-0000D3190000}"/>
    <cellStyle name="Normal 5 3 3 3 2 4 3 2" xfId="15384" xr:uid="{3E579B9F-A7AC-47A3-B543-BBD7F4491475}"/>
    <cellStyle name="Normal 5 3 3 3 2 4 4" xfId="11167" xr:uid="{B672F24E-876A-4D4C-B420-B70470728A96}"/>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942" xr:uid="{98953C8D-74FF-44C1-8377-AACB46A3E150}"/>
    <cellStyle name="Normal 5 3 3 3 2 5 2 3" xfId="13725" xr:uid="{5017E42E-A161-4F37-96EC-969624FBA231}"/>
    <cellStyle name="Normal 5 3 3 3 2 5 3" xfId="6471" xr:uid="{00000000-0005-0000-0000-0000D7190000}"/>
    <cellStyle name="Normal 5 3 3 3 2 5 3 2" xfId="15797" xr:uid="{42E72CC2-3A25-4A83-9F10-5C0FF1FBA52F}"/>
    <cellStyle name="Normal 5 3 3 3 2 5 4" xfId="11580" xr:uid="{1CB5D44A-CFDD-4879-BB21-3938DCA93FF6}"/>
    <cellStyle name="Normal 5 3 3 3 2 6" xfId="2601" xr:uid="{00000000-0005-0000-0000-0000D8190000}"/>
    <cellStyle name="Normal 5 3 3 3 2 6 2" xfId="6884" xr:uid="{00000000-0005-0000-0000-0000D9190000}"/>
    <cellStyle name="Normal 5 3 3 3 2 6 2 2" xfId="16210" xr:uid="{75E5074E-785D-4047-9E0A-E0A7D0452432}"/>
    <cellStyle name="Normal 5 3 3 3 2 6 3" xfId="11993" xr:uid="{DC0CA1D8-BC9E-4C93-9934-81C4BAF42C06}"/>
    <cellStyle name="Normal 5 3 3 3 2 7" xfId="4819" xr:uid="{00000000-0005-0000-0000-0000DA190000}"/>
    <cellStyle name="Normal 5 3 3 3 2 7 2" xfId="14145" xr:uid="{0AE32366-0A4E-425C-89EB-B129CA59EB3F}"/>
    <cellStyle name="Normal 5 3 3 3 2 8" xfId="9092" xr:uid="{A018BC5E-3880-4BA4-8CFB-322C89A13B5F}"/>
    <cellStyle name="Normal 5 3 3 3 2 8 2" xfId="18416" xr:uid="{474CFCAB-1159-4C67-89D6-37B072C6E268}"/>
    <cellStyle name="Normal 5 3 3 3 2 9" xfId="9928" xr:uid="{B91F43D2-184D-4CE9-A816-E9EC40092713}"/>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702" xr:uid="{8B983970-548B-42B0-95FF-CE29D0160FFE}"/>
    <cellStyle name="Normal 5 3 3 3 3 2 3" xfId="12485" xr:uid="{7E8F49D9-F178-4309-91AF-CEDE6AB45315}"/>
    <cellStyle name="Normal 5 3 3 3 3 3" xfId="5231" xr:uid="{00000000-0005-0000-0000-0000DE190000}"/>
    <cellStyle name="Normal 5 3 3 3 3 3 2" xfId="14557" xr:uid="{992C35FB-4033-4F54-B0DD-4FC28099416B}"/>
    <cellStyle name="Normal 5 3 3 3 3 4" xfId="9310" xr:uid="{D169C31A-17C5-4934-97DF-D90479FD2654}"/>
    <cellStyle name="Normal 5 3 3 3 3 4 2" xfId="18625" xr:uid="{ED7035CA-6026-4DB9-B2E7-1320A339673F}"/>
    <cellStyle name="Normal 5 3 3 3 3 5" xfId="10340" xr:uid="{1B357992-C499-4AB8-BC23-9F073770475C}"/>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115" xr:uid="{AE9939B8-012B-4E18-9F13-37C2220374B3}"/>
    <cellStyle name="Normal 5 3 3 3 4 2 3" xfId="12898" xr:uid="{5DBFB6CF-B5C4-4EFA-9BB3-AF920738AF71}"/>
    <cellStyle name="Normal 5 3 3 3 4 3" xfId="5644" xr:uid="{00000000-0005-0000-0000-0000E2190000}"/>
    <cellStyle name="Normal 5 3 3 3 4 3 2" xfId="14970" xr:uid="{F279E2FE-A593-4C8A-8CF9-CEA4793909A6}"/>
    <cellStyle name="Normal 5 3 3 3 4 4" xfId="10753" xr:uid="{E381D44C-6A80-41E9-B879-C346FA88BACB}"/>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528" xr:uid="{2DDA0A83-CBE9-4523-9FE8-D6BC5D24D9CC}"/>
    <cellStyle name="Normal 5 3 3 3 5 2 3" xfId="13311" xr:uid="{09EA27AE-41E2-47B2-9BF6-08534C538DD4}"/>
    <cellStyle name="Normal 5 3 3 3 5 3" xfId="6057" xr:uid="{00000000-0005-0000-0000-0000E6190000}"/>
    <cellStyle name="Normal 5 3 3 3 5 3 2" xfId="15383" xr:uid="{EA382EAE-1F08-4711-9F2B-E9FEC373AB0B}"/>
    <cellStyle name="Normal 5 3 3 3 5 4" xfId="11166" xr:uid="{A25218FC-874E-4003-A77A-852108257BC5}"/>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941" xr:uid="{2625615B-E32B-43F2-8430-E46DE5F7110F}"/>
    <cellStyle name="Normal 5 3 3 3 6 2 3" xfId="13724" xr:uid="{AB09FAF5-4749-4F0B-BE71-8F3668A02B10}"/>
    <cellStyle name="Normal 5 3 3 3 6 3" xfId="6470" xr:uid="{00000000-0005-0000-0000-0000EA190000}"/>
    <cellStyle name="Normal 5 3 3 3 6 3 2" xfId="15796" xr:uid="{59A54BB3-59CF-49B0-A2A6-5F57F8291EF4}"/>
    <cellStyle name="Normal 5 3 3 3 6 4" xfId="11579" xr:uid="{BC9D319C-1E7F-4BA5-B308-47D29CD4F8D8}"/>
    <cellStyle name="Normal 5 3 3 3 7" xfId="2600" xr:uid="{00000000-0005-0000-0000-0000EB190000}"/>
    <cellStyle name="Normal 5 3 3 3 7 2" xfId="6883" xr:uid="{00000000-0005-0000-0000-0000EC190000}"/>
    <cellStyle name="Normal 5 3 3 3 7 2 2" xfId="16209" xr:uid="{F277D956-4773-451A-AC57-564170113BC4}"/>
    <cellStyle name="Normal 5 3 3 3 7 3" xfId="11992" xr:uid="{C2ADF2A1-B9AE-446C-A288-65649BB59814}"/>
    <cellStyle name="Normal 5 3 3 3 8" xfId="4818" xr:uid="{00000000-0005-0000-0000-0000ED190000}"/>
    <cellStyle name="Normal 5 3 3 3 8 2" xfId="14144" xr:uid="{A2D75EE0-4AD1-4DC9-BAE5-0788ABB2E284}"/>
    <cellStyle name="Normal 5 3 3 3 9" xfId="8885" xr:uid="{BFA59703-C126-4DE9-A819-9190501D5C5B}"/>
    <cellStyle name="Normal 5 3 3 3 9 2" xfId="18209" xr:uid="{E7C4DA44-6823-40A3-8373-74494D6E7375}"/>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704" xr:uid="{A25C49B0-FA78-4C5F-A764-7285D6AF3E88}"/>
    <cellStyle name="Normal 5 3 3 4 2 2 3" xfId="12487" xr:uid="{750D8B88-E761-4C76-A70A-C06C904D6EC6}"/>
    <cellStyle name="Normal 5 3 3 4 2 3" xfId="5233" xr:uid="{00000000-0005-0000-0000-0000F2190000}"/>
    <cellStyle name="Normal 5 3 3 4 2 3 2" xfId="14559" xr:uid="{11647B47-80FA-436A-A213-58ED1FC8A94A}"/>
    <cellStyle name="Normal 5 3 3 4 2 4" xfId="9414" xr:uid="{BD781A4C-FDA7-4D11-87F3-3D38EC19B37A}"/>
    <cellStyle name="Normal 5 3 3 4 2 4 2" xfId="18729" xr:uid="{1AE7E49F-2D28-4AAD-9C7F-77E63CCA78F6}"/>
    <cellStyle name="Normal 5 3 3 4 2 5" xfId="10342" xr:uid="{35F9412F-8871-4648-9F68-00B50B39359A}"/>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117" xr:uid="{96E51C00-26C4-41F0-BFF4-1A1DBFC2DC78}"/>
    <cellStyle name="Normal 5 3 3 4 3 2 3" xfId="12900" xr:uid="{04B6D9A6-0043-4FD9-BFC9-293AA3FF6CF6}"/>
    <cellStyle name="Normal 5 3 3 4 3 3" xfId="5646" xr:uid="{00000000-0005-0000-0000-0000F6190000}"/>
    <cellStyle name="Normal 5 3 3 4 3 3 2" xfId="14972" xr:uid="{32377A5E-5784-4FAA-B9E8-54F3225B787C}"/>
    <cellStyle name="Normal 5 3 3 4 3 4" xfId="10755" xr:uid="{FD0F0B46-E28B-4334-9475-B5E498FB9C1F}"/>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530" xr:uid="{CE1263CB-8488-4D52-B5A6-B28267A2C134}"/>
    <cellStyle name="Normal 5 3 3 4 4 2 3" xfId="13313" xr:uid="{AA9EE2D1-29ED-4361-A497-F38CDBDC0D2D}"/>
    <cellStyle name="Normal 5 3 3 4 4 3" xfId="6059" xr:uid="{00000000-0005-0000-0000-0000FA190000}"/>
    <cellStyle name="Normal 5 3 3 4 4 3 2" xfId="15385" xr:uid="{647FB8EC-5F5D-4FBB-A9BC-80B58239513C}"/>
    <cellStyle name="Normal 5 3 3 4 4 4" xfId="11168" xr:uid="{AECF62AC-00EB-4401-B3F2-C84813FE9CA6}"/>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943" xr:uid="{54E38141-8D64-4F45-98C9-C4C1A4950882}"/>
    <cellStyle name="Normal 5 3 3 4 5 2 3" xfId="13726" xr:uid="{0BC36A1C-872B-4C8B-BE00-61536517F6BB}"/>
    <cellStyle name="Normal 5 3 3 4 5 3" xfId="6472" xr:uid="{00000000-0005-0000-0000-0000FE190000}"/>
    <cellStyle name="Normal 5 3 3 4 5 3 2" xfId="15798" xr:uid="{D5FB5374-2ED3-48FD-8749-7486ECDF1BAE}"/>
    <cellStyle name="Normal 5 3 3 4 5 4" xfId="11581" xr:uid="{939FAA54-3777-4AE2-8DEE-B489A1BE0A70}"/>
    <cellStyle name="Normal 5 3 3 4 6" xfId="2602" xr:uid="{00000000-0005-0000-0000-0000FF190000}"/>
    <cellStyle name="Normal 5 3 3 4 6 2" xfId="6885" xr:uid="{00000000-0005-0000-0000-0000001A0000}"/>
    <cellStyle name="Normal 5 3 3 4 6 2 2" xfId="16211" xr:uid="{6CF2F90D-4A3E-4D74-BCD0-C6BB6A04AD20}"/>
    <cellStyle name="Normal 5 3 3 4 6 3" xfId="11994" xr:uid="{29B17F5A-B6CC-43E4-B46E-FA28C9CF40F1}"/>
    <cellStyle name="Normal 5 3 3 4 7" xfId="4820" xr:uid="{00000000-0005-0000-0000-0000011A0000}"/>
    <cellStyle name="Normal 5 3 3 4 7 2" xfId="14146" xr:uid="{680C6277-5F55-46EE-BB8B-CCD1D6DC7D06}"/>
    <cellStyle name="Normal 5 3 3 4 8" xfId="8989" xr:uid="{20FA1483-98E6-46C4-B00B-4EAF7957981D}"/>
    <cellStyle name="Normal 5 3 3 4 8 2" xfId="18313" xr:uid="{DE6A3238-5301-4705-B6AD-6BCA3AEB42F2}"/>
    <cellStyle name="Normal 5 3 3 4 9" xfId="9929" xr:uid="{97C8EE23-F0CF-4E73-B464-4425E3B88F04}"/>
    <cellStyle name="Normal 5 3 3 5" xfId="915" xr:uid="{00000000-0005-0000-0000-0000021A0000}"/>
    <cellStyle name="Normal 5 3 3 5 2" xfId="3149" xr:uid="{00000000-0005-0000-0000-0000031A0000}"/>
    <cellStyle name="Normal 5 3 3 5 2 2" xfId="7371" xr:uid="{00000000-0005-0000-0000-0000041A0000}"/>
    <cellStyle name="Normal 5 3 3 5 2 2 2" xfId="16697" xr:uid="{E7A97B79-8814-450D-AC9D-061098DD7984}"/>
    <cellStyle name="Normal 5 3 3 5 2 3" xfId="12480" xr:uid="{8B2AF951-C9FC-49F5-83DF-9FC1A28BFBF9}"/>
    <cellStyle name="Normal 5 3 3 5 3" xfId="5226" xr:uid="{00000000-0005-0000-0000-0000051A0000}"/>
    <cellStyle name="Normal 5 3 3 5 3 2" xfId="14552" xr:uid="{7CDE285B-C27D-4DB0-95DC-92E3471DD541}"/>
    <cellStyle name="Normal 5 3 3 5 4" xfId="9206" xr:uid="{CA749CBB-EAB5-483B-862D-D7B95A23D45C}"/>
    <cellStyle name="Normal 5 3 3 5 4 2" xfId="18522" xr:uid="{4EAE67A9-CFA0-49DF-9090-1ED4CCA3954C}"/>
    <cellStyle name="Normal 5 3 3 5 5" xfId="10335" xr:uid="{D5B9306D-95DE-449E-93CE-0DABC6A991FB}"/>
    <cellStyle name="Normal 5 3 3 6" xfId="1332" xr:uid="{00000000-0005-0000-0000-0000061A0000}"/>
    <cellStyle name="Normal 5 3 3 6 2" xfId="3562" xr:uid="{00000000-0005-0000-0000-0000071A0000}"/>
    <cellStyle name="Normal 5 3 3 6 2 2" xfId="7784" xr:uid="{00000000-0005-0000-0000-0000081A0000}"/>
    <cellStyle name="Normal 5 3 3 6 2 2 2" xfId="17110" xr:uid="{CD65F719-1E7C-469D-B141-00541C9D677E}"/>
    <cellStyle name="Normal 5 3 3 6 2 3" xfId="12893" xr:uid="{DC5E818F-6BC1-43A3-848A-9894C1D1169E}"/>
    <cellStyle name="Normal 5 3 3 6 3" xfId="5639" xr:uid="{00000000-0005-0000-0000-0000091A0000}"/>
    <cellStyle name="Normal 5 3 3 6 3 2" xfId="14965" xr:uid="{992B1069-483C-4AF8-8C4A-D0406CD39E87}"/>
    <cellStyle name="Normal 5 3 3 6 4" xfId="10748" xr:uid="{455EE5D1-5136-4728-93F7-941694ED8014}"/>
    <cellStyle name="Normal 5 3 3 7" xfId="1745" xr:uid="{00000000-0005-0000-0000-00000A1A0000}"/>
    <cellStyle name="Normal 5 3 3 7 2" xfId="3975" xr:uid="{00000000-0005-0000-0000-00000B1A0000}"/>
    <cellStyle name="Normal 5 3 3 7 2 2" xfId="8197" xr:uid="{00000000-0005-0000-0000-00000C1A0000}"/>
    <cellStyle name="Normal 5 3 3 7 2 2 2" xfId="17523" xr:uid="{4D225DEC-C97D-468A-AFF6-6FF732EF9681}"/>
    <cellStyle name="Normal 5 3 3 7 2 3" xfId="13306" xr:uid="{AAF52467-1A95-4D2E-B0C9-BE6BBBBBE4B0}"/>
    <cellStyle name="Normal 5 3 3 7 3" xfId="6052" xr:uid="{00000000-0005-0000-0000-00000D1A0000}"/>
    <cellStyle name="Normal 5 3 3 7 3 2" xfId="15378" xr:uid="{A9743FB2-682D-4D23-B073-71632ECA7497}"/>
    <cellStyle name="Normal 5 3 3 7 4" xfId="11161" xr:uid="{C872323F-722A-408B-BF60-B74193306FB4}"/>
    <cellStyle name="Normal 5 3 3 8" xfId="2159" xr:uid="{00000000-0005-0000-0000-00000E1A0000}"/>
    <cellStyle name="Normal 5 3 3 8 2" xfId="4388" xr:uid="{00000000-0005-0000-0000-00000F1A0000}"/>
    <cellStyle name="Normal 5 3 3 8 2 2" xfId="8610" xr:uid="{00000000-0005-0000-0000-0000101A0000}"/>
    <cellStyle name="Normal 5 3 3 8 2 2 2" xfId="17936" xr:uid="{D309AE8B-70B8-42AF-BD87-5741AA900314}"/>
    <cellStyle name="Normal 5 3 3 8 2 3" xfId="13719" xr:uid="{6D20961D-FEBD-46EF-A355-60F97B3C6F02}"/>
    <cellStyle name="Normal 5 3 3 8 3" xfId="6465" xr:uid="{00000000-0005-0000-0000-0000111A0000}"/>
    <cellStyle name="Normal 5 3 3 8 3 2" xfId="15791" xr:uid="{C92B325C-7756-4A79-A907-5FBBD329DFB6}"/>
    <cellStyle name="Normal 5 3 3 8 4" xfId="11574" xr:uid="{6E01AE20-6E3D-447E-8532-6A0C8B5DB65A}"/>
    <cellStyle name="Normal 5 3 3 9" xfId="2595" xr:uid="{00000000-0005-0000-0000-0000121A0000}"/>
    <cellStyle name="Normal 5 3 3 9 2" xfId="6878" xr:uid="{00000000-0005-0000-0000-0000131A0000}"/>
    <cellStyle name="Normal 5 3 3 9 2 2" xfId="16204" xr:uid="{E27434DA-5F59-457B-B384-4A7645CED392}"/>
    <cellStyle name="Normal 5 3 3 9 3" xfId="11987" xr:uid="{7D41D6DE-5177-4B6E-9FE7-07FFAD846CA1}"/>
    <cellStyle name="Normal 5 3 4" xfId="449" xr:uid="{00000000-0005-0000-0000-0000141A0000}"/>
    <cellStyle name="Normal 5 3 4 10" xfId="8831" xr:uid="{39AD872D-FBC2-4C4A-B537-79F8014E4247}"/>
    <cellStyle name="Normal 5 3 4 10 2" xfId="18155" xr:uid="{29B696E8-557A-42DA-9CCD-1F24940606E0}"/>
    <cellStyle name="Normal 5 3 4 11" xfId="9930" xr:uid="{BCEE534E-48B9-44AB-8D91-A2BC615A73CE}"/>
    <cellStyle name="Normal 5 3 4 2" xfId="450" xr:uid="{00000000-0005-0000-0000-0000151A0000}"/>
    <cellStyle name="Normal 5 3 4 2 10" xfId="9931" xr:uid="{3C4B39D9-D373-4EDC-88C7-411D481D5543}"/>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707" xr:uid="{D75A9CC5-339E-4651-A74D-6D65D8FAB0DE}"/>
    <cellStyle name="Normal 5 3 4 2 2 2 2 3" xfId="12490" xr:uid="{108DB0AF-AA3A-4BB4-8196-BE221C0C20D1}"/>
    <cellStyle name="Normal 5 3 4 2 2 2 3" xfId="5236" xr:uid="{00000000-0005-0000-0000-00001A1A0000}"/>
    <cellStyle name="Normal 5 3 4 2 2 2 3 2" xfId="14562" xr:uid="{6890AF1D-E138-47A0-A495-DB453ACC08BD}"/>
    <cellStyle name="Normal 5 3 4 2 2 2 4" xfId="9566" xr:uid="{D483C248-9680-462F-989C-42C712CD6EB7}"/>
    <cellStyle name="Normal 5 3 4 2 2 2 4 2" xfId="18881" xr:uid="{2051F465-E83A-4F9C-9838-C6EFF44C9AC6}"/>
    <cellStyle name="Normal 5 3 4 2 2 2 5" xfId="10345" xr:uid="{DBD4927A-CF14-431E-A2BC-4A1B665F4CD6}"/>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120" xr:uid="{CF0B3781-DAA2-4475-8F97-DB651ED51592}"/>
    <cellStyle name="Normal 5 3 4 2 2 3 2 3" xfId="12903" xr:uid="{4AB4CB10-A1EB-4B96-A78A-FD406A5A8685}"/>
    <cellStyle name="Normal 5 3 4 2 2 3 3" xfId="5649" xr:uid="{00000000-0005-0000-0000-00001E1A0000}"/>
    <cellStyle name="Normal 5 3 4 2 2 3 3 2" xfId="14975" xr:uid="{3733C871-A9BB-43D4-ADD2-60B9AE9CE408}"/>
    <cellStyle name="Normal 5 3 4 2 2 3 4" xfId="10758" xr:uid="{B56FBC09-65F1-4A80-BA20-6424AB1331AC}"/>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533" xr:uid="{E824BD8F-BFCE-44E3-BD46-9E88B4866BB9}"/>
    <cellStyle name="Normal 5 3 4 2 2 4 2 3" xfId="13316" xr:uid="{98ED7E92-A9B5-425F-95A7-EFAE7F447B73}"/>
    <cellStyle name="Normal 5 3 4 2 2 4 3" xfId="6062" xr:uid="{00000000-0005-0000-0000-0000221A0000}"/>
    <cellStyle name="Normal 5 3 4 2 2 4 3 2" xfId="15388" xr:uid="{418CE174-2845-42C4-B029-4446751355FF}"/>
    <cellStyle name="Normal 5 3 4 2 2 4 4" xfId="11171" xr:uid="{85B62EF4-AE6D-4E70-92F6-67614470EE37}"/>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46" xr:uid="{8A63D4A3-8144-4171-A7B8-A054D9B7ED16}"/>
    <cellStyle name="Normal 5 3 4 2 2 5 2 3" xfId="13729" xr:uid="{7CCB59C4-B422-4536-AE26-94CB54389205}"/>
    <cellStyle name="Normal 5 3 4 2 2 5 3" xfId="6475" xr:uid="{00000000-0005-0000-0000-0000261A0000}"/>
    <cellStyle name="Normal 5 3 4 2 2 5 3 2" xfId="15801" xr:uid="{13841E38-6029-4E48-BDE0-4FDC6F0E93B0}"/>
    <cellStyle name="Normal 5 3 4 2 2 5 4" xfId="11584" xr:uid="{ACFABA29-09B1-4A14-9B39-F8F14B31FBC0}"/>
    <cellStyle name="Normal 5 3 4 2 2 6" xfId="2605" xr:uid="{00000000-0005-0000-0000-0000271A0000}"/>
    <cellStyle name="Normal 5 3 4 2 2 6 2" xfId="6888" xr:uid="{00000000-0005-0000-0000-0000281A0000}"/>
    <cellStyle name="Normal 5 3 4 2 2 6 2 2" xfId="16214" xr:uid="{8FFB80ED-6C83-4E11-B45F-15224F77F441}"/>
    <cellStyle name="Normal 5 3 4 2 2 6 3" xfId="11997" xr:uid="{B3A896EF-E5B7-4E12-9A23-0D040C9515AB}"/>
    <cellStyle name="Normal 5 3 4 2 2 7" xfId="4823" xr:uid="{00000000-0005-0000-0000-0000291A0000}"/>
    <cellStyle name="Normal 5 3 4 2 2 7 2" xfId="14149" xr:uid="{2C416AD6-393A-4E5F-B4ED-BD9F1DAB3DAD}"/>
    <cellStyle name="Normal 5 3 4 2 2 8" xfId="9141" xr:uid="{6B63A6D0-0E60-498B-8E53-451D5144533A}"/>
    <cellStyle name="Normal 5 3 4 2 2 8 2" xfId="18465" xr:uid="{6A61C802-55E3-450E-95AF-948E0C9405CC}"/>
    <cellStyle name="Normal 5 3 4 2 2 9" xfId="9932" xr:uid="{C9B7EC3F-31CA-46C6-B3AA-D2854451D79A}"/>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706" xr:uid="{41B9407E-5DE5-403D-8D03-1FA4572E6317}"/>
    <cellStyle name="Normal 5 3 4 2 3 2 3" xfId="12489" xr:uid="{DD2A18BB-D0D3-400A-8443-EE837B765532}"/>
    <cellStyle name="Normal 5 3 4 2 3 3" xfId="5235" xr:uid="{00000000-0005-0000-0000-00002D1A0000}"/>
    <cellStyle name="Normal 5 3 4 2 3 3 2" xfId="14561" xr:uid="{0C28BB9B-BDAB-416B-8E6C-6AE0B28B0764}"/>
    <cellStyle name="Normal 5 3 4 2 3 4" xfId="9359" xr:uid="{FAC41203-2BC4-411F-9296-10781BA4F1AB}"/>
    <cellStyle name="Normal 5 3 4 2 3 4 2" xfId="18674" xr:uid="{73FF376C-6978-4CEC-B270-FF0D02E30655}"/>
    <cellStyle name="Normal 5 3 4 2 3 5" xfId="10344" xr:uid="{248C7EDB-A5EE-4C4C-92C5-0AABD5AB12F4}"/>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119" xr:uid="{BE422023-4B80-44D4-8C67-C4D4D1E94A1A}"/>
    <cellStyle name="Normal 5 3 4 2 4 2 3" xfId="12902" xr:uid="{7C8D7A85-6659-4881-8603-7E448014ABBC}"/>
    <cellStyle name="Normal 5 3 4 2 4 3" xfId="5648" xr:uid="{00000000-0005-0000-0000-0000311A0000}"/>
    <cellStyle name="Normal 5 3 4 2 4 3 2" xfId="14974" xr:uid="{F2418D36-69AD-4012-99BD-C180DA087F93}"/>
    <cellStyle name="Normal 5 3 4 2 4 4" xfId="10757" xr:uid="{5C40258D-4B87-4863-B844-461F9685B47E}"/>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532" xr:uid="{D743BE06-0FE3-4616-988C-98A657DD1357}"/>
    <cellStyle name="Normal 5 3 4 2 5 2 3" xfId="13315" xr:uid="{9CDF7BA3-F22E-4F4A-846C-3106B2A8A690}"/>
    <cellStyle name="Normal 5 3 4 2 5 3" xfId="6061" xr:uid="{00000000-0005-0000-0000-0000351A0000}"/>
    <cellStyle name="Normal 5 3 4 2 5 3 2" xfId="15387" xr:uid="{67F713AB-A997-4198-ACAA-06FC7FEAA548}"/>
    <cellStyle name="Normal 5 3 4 2 5 4" xfId="11170" xr:uid="{50BDA377-61C8-48F5-820D-7CD708948CB0}"/>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45" xr:uid="{E5878931-90FF-4825-8111-9122ECAA5301}"/>
    <cellStyle name="Normal 5 3 4 2 6 2 3" xfId="13728" xr:uid="{D997C61F-ABDF-4226-BF62-F8DFF877BDB8}"/>
    <cellStyle name="Normal 5 3 4 2 6 3" xfId="6474" xr:uid="{00000000-0005-0000-0000-0000391A0000}"/>
    <cellStyle name="Normal 5 3 4 2 6 3 2" xfId="15800" xr:uid="{2BCF2360-5E41-4F13-A423-479914372E8E}"/>
    <cellStyle name="Normal 5 3 4 2 6 4" xfId="11583" xr:uid="{510C2C35-577A-48B2-B53E-53FE1CC5EBB6}"/>
    <cellStyle name="Normal 5 3 4 2 7" xfId="2604" xr:uid="{00000000-0005-0000-0000-00003A1A0000}"/>
    <cellStyle name="Normal 5 3 4 2 7 2" xfId="6887" xr:uid="{00000000-0005-0000-0000-00003B1A0000}"/>
    <cellStyle name="Normal 5 3 4 2 7 2 2" xfId="16213" xr:uid="{B0C25F1E-56E7-4EB2-ADBF-949202788C38}"/>
    <cellStyle name="Normal 5 3 4 2 7 3" xfId="11996" xr:uid="{525F1426-A971-4524-A803-7D13870E98C8}"/>
    <cellStyle name="Normal 5 3 4 2 8" xfId="4822" xr:uid="{00000000-0005-0000-0000-00003C1A0000}"/>
    <cellStyle name="Normal 5 3 4 2 8 2" xfId="14148" xr:uid="{81B730DE-A76F-4684-9122-7D100458B256}"/>
    <cellStyle name="Normal 5 3 4 2 9" xfId="8934" xr:uid="{D16D0DF9-4576-4200-8972-8AAD50545E0D}"/>
    <cellStyle name="Normal 5 3 4 2 9 2" xfId="18258" xr:uid="{23F0F8DE-7F95-4545-BC43-4ED7714CD625}"/>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708" xr:uid="{655B67D6-392B-4EA2-AC6D-7EBE90E5E71B}"/>
    <cellStyle name="Normal 5 3 4 3 2 2 3" xfId="12491" xr:uid="{F3E37690-05BA-44DF-B103-7563D4561180}"/>
    <cellStyle name="Normal 5 3 4 3 2 3" xfId="5237" xr:uid="{00000000-0005-0000-0000-0000411A0000}"/>
    <cellStyle name="Normal 5 3 4 3 2 3 2" xfId="14563" xr:uid="{D798FA8C-2AEA-461E-9C99-5FC81AC3E15D}"/>
    <cellStyle name="Normal 5 3 4 3 2 4" xfId="9463" xr:uid="{1CC38E89-013B-404F-9F3E-11BABC37F656}"/>
    <cellStyle name="Normal 5 3 4 3 2 4 2" xfId="18778" xr:uid="{9201D2E1-41BE-41D5-B3B2-72435F7F1AE1}"/>
    <cellStyle name="Normal 5 3 4 3 2 5" xfId="10346" xr:uid="{08503CCE-17B4-4355-BF21-756171C60C75}"/>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121" xr:uid="{7D5345F5-329E-413F-9294-7902AB8CC621}"/>
    <cellStyle name="Normal 5 3 4 3 3 2 3" xfId="12904" xr:uid="{DBF76369-F1CA-49C0-931E-5BFC18B18C85}"/>
    <cellStyle name="Normal 5 3 4 3 3 3" xfId="5650" xr:uid="{00000000-0005-0000-0000-0000451A0000}"/>
    <cellStyle name="Normal 5 3 4 3 3 3 2" xfId="14976" xr:uid="{3EE17F9C-BDFF-49F0-8070-DAB640E0FA82}"/>
    <cellStyle name="Normal 5 3 4 3 3 4" xfId="10759" xr:uid="{7101B28A-E572-4745-A9CC-85057C59DD1A}"/>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534" xr:uid="{07EF790E-0C9A-442D-9023-84B20F07E0D9}"/>
    <cellStyle name="Normal 5 3 4 3 4 2 3" xfId="13317" xr:uid="{51452AA0-22FD-44F9-8240-7FDF856E5DE6}"/>
    <cellStyle name="Normal 5 3 4 3 4 3" xfId="6063" xr:uid="{00000000-0005-0000-0000-0000491A0000}"/>
    <cellStyle name="Normal 5 3 4 3 4 3 2" xfId="15389" xr:uid="{E1E244CA-940F-4C29-AD16-4E086DF47C58}"/>
    <cellStyle name="Normal 5 3 4 3 4 4" xfId="11172" xr:uid="{55D7C00C-907D-4F6E-AD6B-9BA5D4C4AAC5}"/>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47" xr:uid="{60CFA1BD-0767-41C5-9451-F17599F5A51C}"/>
    <cellStyle name="Normal 5 3 4 3 5 2 3" xfId="13730" xr:uid="{F4DB3553-91D5-4014-9681-843CEEA9FE55}"/>
    <cellStyle name="Normal 5 3 4 3 5 3" xfId="6476" xr:uid="{00000000-0005-0000-0000-00004D1A0000}"/>
    <cellStyle name="Normal 5 3 4 3 5 3 2" xfId="15802" xr:uid="{02723CC7-48C4-4788-ADC1-33169D7DAF22}"/>
    <cellStyle name="Normal 5 3 4 3 5 4" xfId="11585" xr:uid="{8D8A4AB8-62AD-4E0D-AD40-DE24FA165A86}"/>
    <cellStyle name="Normal 5 3 4 3 6" xfId="2606" xr:uid="{00000000-0005-0000-0000-00004E1A0000}"/>
    <cellStyle name="Normal 5 3 4 3 6 2" xfId="6889" xr:uid="{00000000-0005-0000-0000-00004F1A0000}"/>
    <cellStyle name="Normal 5 3 4 3 6 2 2" xfId="16215" xr:uid="{F797CFF5-E64D-4761-A8D9-E19ABAF0847F}"/>
    <cellStyle name="Normal 5 3 4 3 6 3" xfId="11998" xr:uid="{3DF7ADA3-E6A5-4298-8F16-D96619470B2B}"/>
    <cellStyle name="Normal 5 3 4 3 7" xfId="4824" xr:uid="{00000000-0005-0000-0000-0000501A0000}"/>
    <cellStyle name="Normal 5 3 4 3 7 2" xfId="14150" xr:uid="{1AB4B257-665F-4A9D-9463-457327A9B560}"/>
    <cellStyle name="Normal 5 3 4 3 8" xfId="9038" xr:uid="{15024032-E3C2-4FDD-B674-481D39A836C5}"/>
    <cellStyle name="Normal 5 3 4 3 8 2" xfId="18362" xr:uid="{70899A73-F0E9-4747-86DC-80B58AD19F9E}"/>
    <cellStyle name="Normal 5 3 4 3 9" xfId="9933" xr:uid="{0BD61152-094B-4A67-A369-5D223013C05A}"/>
    <cellStyle name="Normal 5 3 4 4" xfId="923" xr:uid="{00000000-0005-0000-0000-0000511A0000}"/>
    <cellStyle name="Normal 5 3 4 4 2" xfId="3157" xr:uid="{00000000-0005-0000-0000-0000521A0000}"/>
    <cellStyle name="Normal 5 3 4 4 2 2" xfId="7379" xr:uid="{00000000-0005-0000-0000-0000531A0000}"/>
    <cellStyle name="Normal 5 3 4 4 2 2 2" xfId="16705" xr:uid="{EB716C6B-0379-456C-8271-B6C2C5B28ED5}"/>
    <cellStyle name="Normal 5 3 4 4 2 3" xfId="12488" xr:uid="{38F601A2-1E97-4B7E-8BDE-EFDEE5BB59FE}"/>
    <cellStyle name="Normal 5 3 4 4 3" xfId="5234" xr:uid="{00000000-0005-0000-0000-0000541A0000}"/>
    <cellStyle name="Normal 5 3 4 4 3 2" xfId="14560" xr:uid="{A8183F17-DD5F-4F87-A122-753A76017EF0}"/>
    <cellStyle name="Normal 5 3 4 4 4" xfId="9256" xr:uid="{69A14F57-2B46-4294-8CA5-E21858516C25}"/>
    <cellStyle name="Normal 5 3 4 4 4 2" xfId="18571" xr:uid="{5A2C99D4-06C5-44CE-BE3F-D090A94D0A56}"/>
    <cellStyle name="Normal 5 3 4 4 5" xfId="10343" xr:uid="{3E1EAA46-1AB3-4359-B506-7FC77A22BEF6}"/>
    <cellStyle name="Normal 5 3 4 5" xfId="1340" xr:uid="{00000000-0005-0000-0000-0000551A0000}"/>
    <cellStyle name="Normal 5 3 4 5 2" xfId="3570" xr:uid="{00000000-0005-0000-0000-0000561A0000}"/>
    <cellStyle name="Normal 5 3 4 5 2 2" xfId="7792" xr:uid="{00000000-0005-0000-0000-0000571A0000}"/>
    <cellStyle name="Normal 5 3 4 5 2 2 2" xfId="17118" xr:uid="{B39B58FB-DD05-45CE-8993-CCF06FD3AF4F}"/>
    <cellStyle name="Normal 5 3 4 5 2 3" xfId="12901" xr:uid="{5E7D994C-D1AD-4DAF-AF54-98BD31B6CA0E}"/>
    <cellStyle name="Normal 5 3 4 5 3" xfId="5647" xr:uid="{00000000-0005-0000-0000-0000581A0000}"/>
    <cellStyle name="Normal 5 3 4 5 3 2" xfId="14973" xr:uid="{707C258C-B0EE-4E1D-AAF8-3D5815E7F3E2}"/>
    <cellStyle name="Normal 5 3 4 5 4" xfId="10756" xr:uid="{080958FB-59C2-4031-BB98-FD83DF7443D1}"/>
    <cellStyle name="Normal 5 3 4 6" xfId="1753" xr:uid="{00000000-0005-0000-0000-0000591A0000}"/>
    <cellStyle name="Normal 5 3 4 6 2" xfId="3983" xr:uid="{00000000-0005-0000-0000-00005A1A0000}"/>
    <cellStyle name="Normal 5 3 4 6 2 2" xfId="8205" xr:uid="{00000000-0005-0000-0000-00005B1A0000}"/>
    <cellStyle name="Normal 5 3 4 6 2 2 2" xfId="17531" xr:uid="{0AD97F9F-DC79-4210-B782-4DF3D63135A5}"/>
    <cellStyle name="Normal 5 3 4 6 2 3" xfId="13314" xr:uid="{A44C0A93-9721-4191-B1A8-750F434D9753}"/>
    <cellStyle name="Normal 5 3 4 6 3" xfId="6060" xr:uid="{00000000-0005-0000-0000-00005C1A0000}"/>
    <cellStyle name="Normal 5 3 4 6 3 2" xfId="15386" xr:uid="{DA6AFD05-DB9F-4B25-B6D2-60DD690755AB}"/>
    <cellStyle name="Normal 5 3 4 6 4" xfId="11169" xr:uid="{E82AA562-E20D-4BA2-8AC3-87B39BCDC087}"/>
    <cellStyle name="Normal 5 3 4 7" xfId="2167" xr:uid="{00000000-0005-0000-0000-00005D1A0000}"/>
    <cellStyle name="Normal 5 3 4 7 2" xfId="4396" xr:uid="{00000000-0005-0000-0000-00005E1A0000}"/>
    <cellStyle name="Normal 5 3 4 7 2 2" xfId="8618" xr:uid="{00000000-0005-0000-0000-00005F1A0000}"/>
    <cellStyle name="Normal 5 3 4 7 2 2 2" xfId="17944" xr:uid="{C4FA6414-86B8-4E33-BD64-F4E055B2D6E5}"/>
    <cellStyle name="Normal 5 3 4 7 2 3" xfId="13727" xr:uid="{47FB5828-C9C0-4378-B075-EF62803CBE61}"/>
    <cellStyle name="Normal 5 3 4 7 3" xfId="6473" xr:uid="{00000000-0005-0000-0000-0000601A0000}"/>
    <cellStyle name="Normal 5 3 4 7 3 2" xfId="15799" xr:uid="{E8B9FE30-23BD-43CB-8CA1-CBD4BC47C054}"/>
    <cellStyle name="Normal 5 3 4 7 4" xfId="11582" xr:uid="{D1FCB563-A8BB-41F9-9EFE-C02142C1F1C9}"/>
    <cellStyle name="Normal 5 3 4 8" xfId="2603" xr:uid="{00000000-0005-0000-0000-0000611A0000}"/>
    <cellStyle name="Normal 5 3 4 8 2" xfId="6886" xr:uid="{00000000-0005-0000-0000-0000621A0000}"/>
    <cellStyle name="Normal 5 3 4 8 2 2" xfId="16212" xr:uid="{0481C2FA-8C22-4D40-AEB7-F4749AA1A8FD}"/>
    <cellStyle name="Normal 5 3 4 8 3" xfId="11995" xr:uid="{BD28573B-F3BD-4CA0-8656-D01FEC6AFA41}"/>
    <cellStyle name="Normal 5 3 4 9" xfId="4821" xr:uid="{00000000-0005-0000-0000-0000631A0000}"/>
    <cellStyle name="Normal 5 3 4 9 2" xfId="14147" xr:uid="{EEE3F029-44FB-4F1E-A7B6-B768DA3C4295}"/>
    <cellStyle name="Normal 5 3 5" xfId="453" xr:uid="{00000000-0005-0000-0000-0000641A0000}"/>
    <cellStyle name="Normal 5 3 5 10" xfId="9934" xr:uid="{6E262880-F6E3-4276-9738-7929328D737C}"/>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710" xr:uid="{895B857B-7F4F-48C2-9F9C-2E148D3B781B}"/>
    <cellStyle name="Normal 5 3 5 2 2 2 3" xfId="12493" xr:uid="{438F9518-6B42-4F0A-8717-3E06F91F2497}"/>
    <cellStyle name="Normal 5 3 5 2 2 3" xfId="5239" xr:uid="{00000000-0005-0000-0000-0000691A0000}"/>
    <cellStyle name="Normal 5 3 5 2 2 3 2" xfId="14565" xr:uid="{63686061-3F1A-4867-852D-E6D310B095F2}"/>
    <cellStyle name="Normal 5 3 5 2 2 4" xfId="9485" xr:uid="{E88A0512-4544-44F7-B02F-696DEB177F8E}"/>
    <cellStyle name="Normal 5 3 5 2 2 4 2" xfId="18800" xr:uid="{D4FB9925-189F-426C-A0F6-106899FF2A3A}"/>
    <cellStyle name="Normal 5 3 5 2 2 5" xfId="10348" xr:uid="{6A17EF29-7B6D-4E50-8BA8-D4589771D4C0}"/>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123" xr:uid="{B7BA5B94-F3C3-4F1C-8E4E-42BF4E2FF5DF}"/>
    <cellStyle name="Normal 5 3 5 2 3 2 3" xfId="12906" xr:uid="{08209D7F-3127-4C62-8A91-AFC86D9BBA05}"/>
    <cellStyle name="Normal 5 3 5 2 3 3" xfId="5652" xr:uid="{00000000-0005-0000-0000-00006D1A0000}"/>
    <cellStyle name="Normal 5 3 5 2 3 3 2" xfId="14978" xr:uid="{C1EA146C-9F12-401B-B4C2-449F265303DB}"/>
    <cellStyle name="Normal 5 3 5 2 3 4" xfId="10761" xr:uid="{F302ABC5-DD02-418D-B578-EA1685400257}"/>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536" xr:uid="{A665449A-298B-4A20-AD4C-6092BCE801E0}"/>
    <cellStyle name="Normal 5 3 5 2 4 2 3" xfId="13319" xr:uid="{1FAF9B58-0EA1-415A-9970-B4710423F070}"/>
    <cellStyle name="Normal 5 3 5 2 4 3" xfId="6065" xr:uid="{00000000-0005-0000-0000-0000711A0000}"/>
    <cellStyle name="Normal 5 3 5 2 4 3 2" xfId="15391" xr:uid="{C7ED30E6-0F95-48E0-943D-405C6F165066}"/>
    <cellStyle name="Normal 5 3 5 2 4 4" xfId="11174" xr:uid="{1F0D2781-B20E-4362-846C-2346E6FDBDFC}"/>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49" xr:uid="{C2A23CF3-6D8D-4E72-8C9B-B846EB2BADA2}"/>
    <cellStyle name="Normal 5 3 5 2 5 2 3" xfId="13732" xr:uid="{0D34B2B9-25F8-4736-A64A-9C9A0219C3D6}"/>
    <cellStyle name="Normal 5 3 5 2 5 3" xfId="6478" xr:uid="{00000000-0005-0000-0000-0000751A0000}"/>
    <cellStyle name="Normal 5 3 5 2 5 3 2" xfId="15804" xr:uid="{A2C87A6F-CA0E-4376-BF8A-DC511FF47DAB}"/>
    <cellStyle name="Normal 5 3 5 2 5 4" xfId="11587" xr:uid="{877A02C7-D133-4915-858D-D59414EE3931}"/>
    <cellStyle name="Normal 5 3 5 2 6" xfId="2608" xr:uid="{00000000-0005-0000-0000-0000761A0000}"/>
    <cellStyle name="Normal 5 3 5 2 6 2" xfId="6891" xr:uid="{00000000-0005-0000-0000-0000771A0000}"/>
    <cellStyle name="Normal 5 3 5 2 6 2 2" xfId="16217" xr:uid="{38B75670-7631-4BFC-BFD7-EB58B7B4E796}"/>
    <cellStyle name="Normal 5 3 5 2 6 3" xfId="12000" xr:uid="{A9FD0E24-8989-420C-A25E-9812CF2E93C5}"/>
    <cellStyle name="Normal 5 3 5 2 7" xfId="4826" xr:uid="{00000000-0005-0000-0000-0000781A0000}"/>
    <cellStyle name="Normal 5 3 5 2 7 2" xfId="14152" xr:uid="{292E72A8-8942-464B-9EB4-FA7401C1DB7C}"/>
    <cellStyle name="Normal 5 3 5 2 8" xfId="9060" xr:uid="{D76124DC-5753-46E4-97E7-1D76E6E20EEE}"/>
    <cellStyle name="Normal 5 3 5 2 8 2" xfId="18384" xr:uid="{C039E48C-117E-4857-B6F1-EAFAF21ED3C6}"/>
    <cellStyle name="Normal 5 3 5 2 9" xfId="9935" xr:uid="{7B889A78-4AA1-4F1D-865D-BE4B5983DB50}"/>
    <cellStyle name="Normal 5 3 5 3" xfId="927" xr:uid="{00000000-0005-0000-0000-0000791A0000}"/>
    <cellStyle name="Normal 5 3 5 3 2" xfId="3161" xr:uid="{00000000-0005-0000-0000-00007A1A0000}"/>
    <cellStyle name="Normal 5 3 5 3 2 2" xfId="7383" xr:uid="{00000000-0005-0000-0000-00007B1A0000}"/>
    <cellStyle name="Normal 5 3 5 3 2 2 2" xfId="16709" xr:uid="{9010FAD7-2E8D-4705-9A89-AA7E8CB7AA78}"/>
    <cellStyle name="Normal 5 3 5 3 2 3" xfId="12492" xr:uid="{630B7995-D9F1-4260-82EE-C058AFC5BFDE}"/>
    <cellStyle name="Normal 5 3 5 3 3" xfId="5238" xr:uid="{00000000-0005-0000-0000-00007C1A0000}"/>
    <cellStyle name="Normal 5 3 5 3 3 2" xfId="14564" xr:uid="{C10ED186-7ED3-4804-A10D-60DB49C5D821}"/>
    <cellStyle name="Normal 5 3 5 3 4" xfId="9278" xr:uid="{6197750A-97CA-41EF-A67C-63E25EE58E9E}"/>
    <cellStyle name="Normal 5 3 5 3 4 2" xfId="18593" xr:uid="{6B6D3CA1-250D-4D5F-ACA1-5301EAC3ECF4}"/>
    <cellStyle name="Normal 5 3 5 3 5" xfId="10347" xr:uid="{0D75F144-F981-45B2-B599-C0B01A381043}"/>
    <cellStyle name="Normal 5 3 5 4" xfId="1344" xr:uid="{00000000-0005-0000-0000-00007D1A0000}"/>
    <cellStyle name="Normal 5 3 5 4 2" xfId="3574" xr:uid="{00000000-0005-0000-0000-00007E1A0000}"/>
    <cellStyle name="Normal 5 3 5 4 2 2" xfId="7796" xr:uid="{00000000-0005-0000-0000-00007F1A0000}"/>
    <cellStyle name="Normal 5 3 5 4 2 2 2" xfId="17122" xr:uid="{B61EA8C1-C386-479B-8CFA-1CCFD75F2681}"/>
    <cellStyle name="Normal 5 3 5 4 2 3" xfId="12905" xr:uid="{18FD6AD7-FB42-4BBC-83BF-F6002364EEB5}"/>
    <cellStyle name="Normal 5 3 5 4 3" xfId="5651" xr:uid="{00000000-0005-0000-0000-0000801A0000}"/>
    <cellStyle name="Normal 5 3 5 4 3 2" xfId="14977" xr:uid="{A75B20CC-1F07-4E20-94AC-A97011FA4BCD}"/>
    <cellStyle name="Normal 5 3 5 4 4" xfId="10760" xr:uid="{E547042F-67CA-4619-9300-43736ACAE542}"/>
    <cellStyle name="Normal 5 3 5 5" xfId="1757" xr:uid="{00000000-0005-0000-0000-0000811A0000}"/>
    <cellStyle name="Normal 5 3 5 5 2" xfId="3987" xr:uid="{00000000-0005-0000-0000-0000821A0000}"/>
    <cellStyle name="Normal 5 3 5 5 2 2" xfId="8209" xr:uid="{00000000-0005-0000-0000-0000831A0000}"/>
    <cellStyle name="Normal 5 3 5 5 2 2 2" xfId="17535" xr:uid="{77FB6361-550B-4E75-8020-0D07CFAE7E21}"/>
    <cellStyle name="Normal 5 3 5 5 2 3" xfId="13318" xr:uid="{9448DA1B-79D8-4795-AA43-3F23BCD54203}"/>
    <cellStyle name="Normal 5 3 5 5 3" xfId="6064" xr:uid="{00000000-0005-0000-0000-0000841A0000}"/>
    <cellStyle name="Normal 5 3 5 5 3 2" xfId="15390" xr:uid="{C772E2CC-570E-4FDF-A6AC-F51B24B52400}"/>
    <cellStyle name="Normal 5 3 5 5 4" xfId="11173" xr:uid="{38679E04-15D1-4E2F-B340-B781862B6F59}"/>
    <cellStyle name="Normal 5 3 5 6" xfId="2171" xr:uid="{00000000-0005-0000-0000-0000851A0000}"/>
    <cellStyle name="Normal 5 3 5 6 2" xfId="4400" xr:uid="{00000000-0005-0000-0000-0000861A0000}"/>
    <cellStyle name="Normal 5 3 5 6 2 2" xfId="8622" xr:uid="{00000000-0005-0000-0000-0000871A0000}"/>
    <cellStyle name="Normal 5 3 5 6 2 2 2" xfId="17948" xr:uid="{B757DF50-6C88-4B97-9A40-3A925BA701BC}"/>
    <cellStyle name="Normal 5 3 5 6 2 3" xfId="13731" xr:uid="{C301EA16-07CC-4092-841F-F6DA160DB116}"/>
    <cellStyle name="Normal 5 3 5 6 3" xfId="6477" xr:uid="{00000000-0005-0000-0000-0000881A0000}"/>
    <cellStyle name="Normal 5 3 5 6 3 2" xfId="15803" xr:uid="{0C24D0EF-9EB1-4CAF-A37A-6BC52426EC0F}"/>
    <cellStyle name="Normal 5 3 5 6 4" xfId="11586" xr:uid="{1F0BE30B-8000-4F8A-BC4E-60730DBCA7B1}"/>
    <cellStyle name="Normal 5 3 5 7" xfId="2607" xr:uid="{00000000-0005-0000-0000-0000891A0000}"/>
    <cellStyle name="Normal 5 3 5 7 2" xfId="6890" xr:uid="{00000000-0005-0000-0000-00008A1A0000}"/>
    <cellStyle name="Normal 5 3 5 7 2 2" xfId="16216" xr:uid="{10B84EBF-5878-46AB-8BA7-FF2CB77ED4BF}"/>
    <cellStyle name="Normal 5 3 5 7 3" xfId="11999" xr:uid="{AE28311D-17E5-497B-B1CB-1A536B7FAF03}"/>
    <cellStyle name="Normal 5 3 5 8" xfId="4825" xr:uid="{00000000-0005-0000-0000-00008B1A0000}"/>
    <cellStyle name="Normal 5 3 5 8 2" xfId="14151" xr:uid="{635E7148-3DF2-4BD1-9BC9-77AE3AA8DF93}"/>
    <cellStyle name="Normal 5 3 5 9" xfId="8853" xr:uid="{049FA2CE-003F-47C1-A264-645323886F35}"/>
    <cellStyle name="Normal 5 3 5 9 2" xfId="18177" xr:uid="{F8E5C4D8-422E-4F90-9149-B82560224B8C}"/>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6711" xr:uid="{EB4705FF-C016-4E36-8712-0F8B680B463B}"/>
    <cellStyle name="Normal 5 3 6 2 2 3" xfId="12494" xr:uid="{63F6D6AB-AEA1-41D6-B075-B6433490874B}"/>
    <cellStyle name="Normal 5 3 6 2 3" xfId="5240" xr:uid="{00000000-0005-0000-0000-0000901A0000}"/>
    <cellStyle name="Normal 5 3 6 2 3 2" xfId="14566" xr:uid="{2E5B1A8D-7A6D-42B8-AA17-7FE5A62BC6D1}"/>
    <cellStyle name="Normal 5 3 6 2 4" xfId="9394" xr:uid="{040FDD8C-10C9-4583-9A6E-8F76047ECA0C}"/>
    <cellStyle name="Normal 5 3 6 2 4 2" xfId="18709" xr:uid="{7D735F86-FFD6-4DEA-8C19-F83DDBE8DC06}"/>
    <cellStyle name="Normal 5 3 6 2 5" xfId="10349" xr:uid="{051299E8-2376-42E4-A258-98D1FCD5CECB}"/>
    <cellStyle name="Normal 5 3 6 3" xfId="1346" xr:uid="{00000000-0005-0000-0000-0000911A0000}"/>
    <cellStyle name="Normal 5 3 6 3 2" xfId="3576" xr:uid="{00000000-0005-0000-0000-0000921A0000}"/>
    <cellStyle name="Normal 5 3 6 3 2 2" xfId="7798" xr:uid="{00000000-0005-0000-0000-0000931A0000}"/>
    <cellStyle name="Normal 5 3 6 3 2 2 2" xfId="17124" xr:uid="{E75AD043-950E-4760-885A-B9BB01ABA4B3}"/>
    <cellStyle name="Normal 5 3 6 3 2 3" xfId="12907" xr:uid="{B98AA400-9B94-4E5F-9762-72C70A901EBB}"/>
    <cellStyle name="Normal 5 3 6 3 3" xfId="5653" xr:uid="{00000000-0005-0000-0000-0000941A0000}"/>
    <cellStyle name="Normal 5 3 6 3 3 2" xfId="14979" xr:uid="{1B552419-22FE-4B77-8513-878C8B80A1A5}"/>
    <cellStyle name="Normal 5 3 6 3 4" xfId="10762" xr:uid="{E86FD943-BF10-4D34-BC85-FAA54791211F}"/>
    <cellStyle name="Normal 5 3 6 4" xfId="1759" xr:uid="{00000000-0005-0000-0000-0000951A0000}"/>
    <cellStyle name="Normal 5 3 6 4 2" xfId="3989" xr:uid="{00000000-0005-0000-0000-0000961A0000}"/>
    <cellStyle name="Normal 5 3 6 4 2 2" xfId="8211" xr:uid="{00000000-0005-0000-0000-0000971A0000}"/>
    <cellStyle name="Normal 5 3 6 4 2 2 2" xfId="17537" xr:uid="{D809E7AB-5615-4E9C-AB46-EB1BD182A59E}"/>
    <cellStyle name="Normal 5 3 6 4 2 3" xfId="13320" xr:uid="{C7F33907-D4AF-430C-A3E6-0EDAC7FCE9D1}"/>
    <cellStyle name="Normal 5 3 6 4 3" xfId="6066" xr:uid="{00000000-0005-0000-0000-0000981A0000}"/>
    <cellStyle name="Normal 5 3 6 4 3 2" xfId="15392" xr:uid="{6142F33C-D1D9-4F1A-9801-97592E102657}"/>
    <cellStyle name="Normal 5 3 6 4 4" xfId="11175" xr:uid="{00A94CD9-F4A6-47CB-80C6-D857EC39C1D8}"/>
    <cellStyle name="Normal 5 3 6 5" xfId="2173" xr:uid="{00000000-0005-0000-0000-0000991A0000}"/>
    <cellStyle name="Normal 5 3 6 5 2" xfId="4402" xr:uid="{00000000-0005-0000-0000-00009A1A0000}"/>
    <cellStyle name="Normal 5 3 6 5 2 2" xfId="8624" xr:uid="{00000000-0005-0000-0000-00009B1A0000}"/>
    <cellStyle name="Normal 5 3 6 5 2 2 2" xfId="17950" xr:uid="{4231E49B-F15B-489A-8D0B-37AF01256F91}"/>
    <cellStyle name="Normal 5 3 6 5 2 3" xfId="13733" xr:uid="{B02DAC53-A4A8-4DB0-B4E1-09096B43441B}"/>
    <cellStyle name="Normal 5 3 6 5 3" xfId="6479" xr:uid="{00000000-0005-0000-0000-00009C1A0000}"/>
    <cellStyle name="Normal 5 3 6 5 3 2" xfId="15805" xr:uid="{E7DB9007-7250-4A91-9C3E-289A1FA9E609}"/>
    <cellStyle name="Normal 5 3 6 5 4" xfId="11588" xr:uid="{D14510C8-731E-4E6B-AFC5-193771B275CB}"/>
    <cellStyle name="Normal 5 3 6 6" xfId="2609" xr:uid="{00000000-0005-0000-0000-00009D1A0000}"/>
    <cellStyle name="Normal 5 3 6 6 2" xfId="6892" xr:uid="{00000000-0005-0000-0000-00009E1A0000}"/>
    <cellStyle name="Normal 5 3 6 6 2 2" xfId="16218" xr:uid="{A9556D09-9BE0-4CFF-B387-C8FFCA357566}"/>
    <cellStyle name="Normal 5 3 6 6 3" xfId="12001" xr:uid="{30CC0B1F-8602-457C-988F-69F87CD0AA4B}"/>
    <cellStyle name="Normal 5 3 6 7" xfId="4827" xr:uid="{00000000-0005-0000-0000-00009F1A0000}"/>
    <cellStyle name="Normal 5 3 6 7 2" xfId="14153" xr:uid="{A456B518-2071-41FE-B0E1-8A256613FA3B}"/>
    <cellStyle name="Normal 5 3 6 8" xfId="8969" xr:uid="{FA7ABEAF-BFEA-4D3E-A53B-E23F3117BFD8}"/>
    <cellStyle name="Normal 5 3 6 8 2" xfId="18293" xr:uid="{1B15B2DA-CCA4-4FFD-B498-EF798E2E9CBB}"/>
    <cellStyle name="Normal 5 3 6 9" xfId="9936" xr:uid="{8CBBBE63-9081-40AA-B883-A5B0EBC362A9}"/>
    <cellStyle name="Normal 5 3 7" xfId="913" xr:uid="{00000000-0005-0000-0000-0000A01A0000}"/>
    <cellStyle name="Normal 5 3 7 2" xfId="3148" xr:uid="{00000000-0005-0000-0000-0000A11A0000}"/>
    <cellStyle name="Normal 5 3 7 2 2" xfId="7370" xr:uid="{00000000-0005-0000-0000-0000A21A0000}"/>
    <cellStyle name="Normal 5 3 7 2 2 2" xfId="16696" xr:uid="{893FC53C-23C1-40D0-8682-C14F1767EBD7}"/>
    <cellStyle name="Normal 5 3 7 2 3" xfId="12479" xr:uid="{2E401752-2349-4572-B4EC-92DE061E01A3}"/>
    <cellStyle name="Normal 5 3 7 3" xfId="5225" xr:uid="{00000000-0005-0000-0000-0000A31A0000}"/>
    <cellStyle name="Normal 5 3 7 3 2" xfId="14551" xr:uid="{8E9DA404-75FE-4AD5-BB21-D705B5D7636F}"/>
    <cellStyle name="Normal 5 3 7 4" xfId="9172" xr:uid="{5609ABAF-B913-41DD-9CCE-B28C6A880815}"/>
    <cellStyle name="Normal 5 3 7 4 2" xfId="18490" xr:uid="{39F589E9-EC38-4733-833C-F8CBF01D07FA}"/>
    <cellStyle name="Normal 5 3 7 5" xfId="10334" xr:uid="{0020202D-E3F5-442C-8DA6-BA12AC5A4A47}"/>
    <cellStyle name="Normal 5 3 8" xfId="1331" xr:uid="{00000000-0005-0000-0000-0000A41A0000}"/>
    <cellStyle name="Normal 5 3 8 2" xfId="3561" xr:uid="{00000000-0005-0000-0000-0000A51A0000}"/>
    <cellStyle name="Normal 5 3 8 2 2" xfId="7783" xr:uid="{00000000-0005-0000-0000-0000A61A0000}"/>
    <cellStyle name="Normal 5 3 8 2 2 2" xfId="17109" xr:uid="{859816BF-C474-4A73-9AAF-97771C875A24}"/>
    <cellStyle name="Normal 5 3 8 2 3" xfId="12892" xr:uid="{5F5BFBDB-6DC7-4A8E-8408-F1179A3CC2F6}"/>
    <cellStyle name="Normal 5 3 8 3" xfId="5638" xr:uid="{00000000-0005-0000-0000-0000A71A0000}"/>
    <cellStyle name="Normal 5 3 8 3 2" xfId="14964" xr:uid="{2EECC593-E814-4C10-8B57-E54929A62C03}"/>
    <cellStyle name="Normal 5 3 8 4" xfId="10747" xr:uid="{88FB4E99-4B96-409C-ABC2-81CD9F27EB2D}"/>
    <cellStyle name="Normal 5 3 9" xfId="1744" xr:uid="{00000000-0005-0000-0000-0000A81A0000}"/>
    <cellStyle name="Normal 5 3 9 2" xfId="3974" xr:uid="{00000000-0005-0000-0000-0000A91A0000}"/>
    <cellStyle name="Normal 5 3 9 2 2" xfId="8196" xr:uid="{00000000-0005-0000-0000-0000AA1A0000}"/>
    <cellStyle name="Normal 5 3 9 2 2 2" xfId="17522" xr:uid="{F431F94B-DF0F-4BE2-9FDB-402842CAEDAA}"/>
    <cellStyle name="Normal 5 3 9 2 3" xfId="13305" xr:uid="{FA7C91F1-19A2-4293-93BA-5074460C81AC}"/>
    <cellStyle name="Normal 5 3 9 3" xfId="6051" xr:uid="{00000000-0005-0000-0000-0000AB1A0000}"/>
    <cellStyle name="Normal 5 3 9 3 2" xfId="15377" xr:uid="{0F20F0FC-60A0-4CB5-B380-E70CF648D11E}"/>
    <cellStyle name="Normal 5 3 9 4" xfId="11160" xr:uid="{58330599-E020-4471-89B6-5C82D50D6FD0}"/>
    <cellStyle name="Normal 5 4" xfId="456" xr:uid="{00000000-0005-0000-0000-0000AC1A0000}"/>
    <cellStyle name="Normal 5 4 10" xfId="4828" xr:uid="{00000000-0005-0000-0000-0000AD1A0000}"/>
    <cellStyle name="Normal 5 4 10 2" xfId="14154" xr:uid="{72B44964-0B22-4071-A00A-80D7AACC5590}"/>
    <cellStyle name="Normal 5 4 11" xfId="8773" xr:uid="{50472F80-32FD-428C-B078-8DE338D6CA16}"/>
    <cellStyle name="Normal 5 4 11 2" xfId="18097" xr:uid="{9FF2AE3A-A0BF-4B0F-9CEF-43AB5AECB6AA}"/>
    <cellStyle name="Normal 5 4 12" xfId="9937" xr:uid="{2B84D3D8-20C8-4544-9175-521809FCD249}"/>
    <cellStyle name="Normal 5 4 2" xfId="457" xr:uid="{00000000-0005-0000-0000-0000AE1A0000}"/>
    <cellStyle name="Normal 5 4 2 10" xfId="8833" xr:uid="{6EA55230-8E5B-4EF6-B83C-8DF4202F8C31}"/>
    <cellStyle name="Normal 5 4 2 10 2" xfId="18157" xr:uid="{246EE1A0-E4CC-4395-BC81-C980728D5BD0}"/>
    <cellStyle name="Normal 5 4 2 11" xfId="9938" xr:uid="{EEFD8D1D-14C9-406B-9C4F-CDC5F032094F}"/>
    <cellStyle name="Normal 5 4 2 2" xfId="458" xr:uid="{00000000-0005-0000-0000-0000AF1A0000}"/>
    <cellStyle name="Normal 5 4 2 2 10" xfId="9939" xr:uid="{5F6C982F-AC51-4301-819B-7E47BBFDD471}"/>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715" xr:uid="{F19121F0-76EE-4182-AC4F-44253A1297CA}"/>
    <cellStyle name="Normal 5 4 2 2 2 2 2 3" xfId="12498" xr:uid="{4D46BC32-07ED-44B7-9040-F14E7DD0F8FC}"/>
    <cellStyle name="Normal 5 4 2 2 2 2 3" xfId="5244" xr:uid="{00000000-0005-0000-0000-0000B41A0000}"/>
    <cellStyle name="Normal 5 4 2 2 2 2 3 2" xfId="14570" xr:uid="{5F630982-4E8C-43D7-A7EB-A40F666AEA50}"/>
    <cellStyle name="Normal 5 4 2 2 2 2 4" xfId="9568" xr:uid="{C9922021-D284-4633-BD4E-F2DB1197482A}"/>
    <cellStyle name="Normal 5 4 2 2 2 2 4 2" xfId="18883" xr:uid="{0A64BDD8-5BF1-4621-B0E9-F463F99049BA}"/>
    <cellStyle name="Normal 5 4 2 2 2 2 5" xfId="10353" xr:uid="{650926D5-E9D7-4E54-A0E8-AE809B84D6B4}"/>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128" xr:uid="{13EE3C60-FE9E-4179-A505-898E0F2BFDEA}"/>
    <cellStyle name="Normal 5 4 2 2 2 3 2 3" xfId="12911" xr:uid="{4F6303E9-8F9D-4DFB-A8B8-B45B5AA2A839}"/>
    <cellStyle name="Normal 5 4 2 2 2 3 3" xfId="5657" xr:uid="{00000000-0005-0000-0000-0000B81A0000}"/>
    <cellStyle name="Normal 5 4 2 2 2 3 3 2" xfId="14983" xr:uid="{F360A13E-78B4-48E9-9B04-A42710D965E9}"/>
    <cellStyle name="Normal 5 4 2 2 2 3 4" xfId="10766" xr:uid="{B72A4899-01D6-4591-A860-DCF9686376AA}"/>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541" xr:uid="{E1E4780B-C87F-4058-A40D-4459D6A1BBB4}"/>
    <cellStyle name="Normal 5 4 2 2 2 4 2 3" xfId="13324" xr:uid="{11B460C2-C391-4A98-BDFB-82443A704CCD}"/>
    <cellStyle name="Normal 5 4 2 2 2 4 3" xfId="6070" xr:uid="{00000000-0005-0000-0000-0000BC1A0000}"/>
    <cellStyle name="Normal 5 4 2 2 2 4 3 2" xfId="15396" xr:uid="{178070DB-9A2C-4EDE-96B7-A72C9E9D943C}"/>
    <cellStyle name="Normal 5 4 2 2 2 4 4" xfId="11179" xr:uid="{5F5BCE7D-CB13-4B49-AD0D-D2CE680CFB2A}"/>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54" xr:uid="{B2EDDEFA-8EBB-4B01-8B6B-86FAE799AFD7}"/>
    <cellStyle name="Normal 5 4 2 2 2 5 2 3" xfId="13737" xr:uid="{EAE4915F-4E5B-44F3-8016-D3C71104E120}"/>
    <cellStyle name="Normal 5 4 2 2 2 5 3" xfId="6483" xr:uid="{00000000-0005-0000-0000-0000C01A0000}"/>
    <cellStyle name="Normal 5 4 2 2 2 5 3 2" xfId="15809" xr:uid="{D1A7C31C-7B9A-4E8B-B17C-6A1A74E1D0FA}"/>
    <cellStyle name="Normal 5 4 2 2 2 5 4" xfId="11592" xr:uid="{A4B876E8-0C5B-4599-862B-F39DE383CCC9}"/>
    <cellStyle name="Normal 5 4 2 2 2 6" xfId="2613" xr:uid="{00000000-0005-0000-0000-0000C11A0000}"/>
    <cellStyle name="Normal 5 4 2 2 2 6 2" xfId="6896" xr:uid="{00000000-0005-0000-0000-0000C21A0000}"/>
    <cellStyle name="Normal 5 4 2 2 2 6 2 2" xfId="16222" xr:uid="{DA82AA3A-F0C4-40F1-B1B1-8EAEFAA50479}"/>
    <cellStyle name="Normal 5 4 2 2 2 6 3" xfId="12005" xr:uid="{4DB03BD0-4C21-4AC9-ACE0-EC6E0E72D8C7}"/>
    <cellStyle name="Normal 5 4 2 2 2 7" xfId="4831" xr:uid="{00000000-0005-0000-0000-0000C31A0000}"/>
    <cellStyle name="Normal 5 4 2 2 2 7 2" xfId="14157" xr:uid="{7C1E231D-3CD8-45D6-A696-012C2B6309E9}"/>
    <cellStyle name="Normal 5 4 2 2 2 8" xfId="9143" xr:uid="{C8F15FA9-FDFE-4358-95A8-17B14299B14C}"/>
    <cellStyle name="Normal 5 4 2 2 2 8 2" xfId="18467" xr:uid="{4579B63B-1DD1-451A-8220-C031D7E2C606}"/>
    <cellStyle name="Normal 5 4 2 2 2 9" xfId="9940" xr:uid="{2D3D6BDE-95E7-43C8-93B6-EB61AB206351}"/>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714" xr:uid="{2479ACF0-7007-4D8C-A135-F68659EDF6FA}"/>
    <cellStyle name="Normal 5 4 2 2 3 2 3" xfId="12497" xr:uid="{A8701A0A-6166-4B3C-ADD8-DB832F10F3B5}"/>
    <cellStyle name="Normal 5 4 2 2 3 3" xfId="5243" xr:uid="{00000000-0005-0000-0000-0000C71A0000}"/>
    <cellStyle name="Normal 5 4 2 2 3 3 2" xfId="14569" xr:uid="{78F3E242-C9A2-46D3-B42B-387FEF514D35}"/>
    <cellStyle name="Normal 5 4 2 2 3 4" xfId="9361" xr:uid="{421F0FC8-8E8F-498F-BD31-B00CB58D5B43}"/>
    <cellStyle name="Normal 5 4 2 2 3 4 2" xfId="18676" xr:uid="{B214B80C-0B6E-4F75-A380-1DDA8DCA2349}"/>
    <cellStyle name="Normal 5 4 2 2 3 5" xfId="10352" xr:uid="{261281B1-DFAA-4C92-B518-C6F9C48AC8AB}"/>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127" xr:uid="{727608E3-09C5-4A60-8B9E-D3CAB2EBD95E}"/>
    <cellStyle name="Normal 5 4 2 2 4 2 3" xfId="12910" xr:uid="{D3BEE157-1625-429C-B9E4-FA22FAD6E33E}"/>
    <cellStyle name="Normal 5 4 2 2 4 3" xfId="5656" xr:uid="{00000000-0005-0000-0000-0000CB1A0000}"/>
    <cellStyle name="Normal 5 4 2 2 4 3 2" xfId="14982" xr:uid="{59D379EF-9E2A-4FDC-ACD1-173FE1D3050B}"/>
    <cellStyle name="Normal 5 4 2 2 4 4" xfId="10765" xr:uid="{FAD95725-A6A4-4F84-9018-CDD797F1FD63}"/>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540" xr:uid="{0DB4B3BF-5A54-47B2-B228-7EA72D8441B2}"/>
    <cellStyle name="Normal 5 4 2 2 5 2 3" xfId="13323" xr:uid="{284A8F68-2250-43D2-A696-DB2A368CD14A}"/>
    <cellStyle name="Normal 5 4 2 2 5 3" xfId="6069" xr:uid="{00000000-0005-0000-0000-0000CF1A0000}"/>
    <cellStyle name="Normal 5 4 2 2 5 3 2" xfId="15395" xr:uid="{153DF22D-AB44-485E-96F3-CD37DC74F74C}"/>
    <cellStyle name="Normal 5 4 2 2 5 4" xfId="11178" xr:uid="{09258B20-1FF4-47A8-9999-A29E526FA56B}"/>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53" xr:uid="{E19F195B-2D1D-4F73-B9B9-8693A7F4B1F9}"/>
    <cellStyle name="Normal 5 4 2 2 6 2 3" xfId="13736" xr:uid="{48A728BA-85BC-4AAB-BABC-1FC22D1CB1AF}"/>
    <cellStyle name="Normal 5 4 2 2 6 3" xfId="6482" xr:uid="{00000000-0005-0000-0000-0000D31A0000}"/>
    <cellStyle name="Normal 5 4 2 2 6 3 2" xfId="15808" xr:uid="{8761F6FE-3C41-492A-B2BD-389AE61B55DF}"/>
    <cellStyle name="Normal 5 4 2 2 6 4" xfId="11591" xr:uid="{478464CC-D817-468D-8277-17474E69791E}"/>
    <cellStyle name="Normal 5 4 2 2 7" xfId="2612" xr:uid="{00000000-0005-0000-0000-0000D41A0000}"/>
    <cellStyle name="Normal 5 4 2 2 7 2" xfId="6895" xr:uid="{00000000-0005-0000-0000-0000D51A0000}"/>
    <cellStyle name="Normal 5 4 2 2 7 2 2" xfId="16221" xr:uid="{1B326F87-5923-41F1-A2E1-1ADA4C865202}"/>
    <cellStyle name="Normal 5 4 2 2 7 3" xfId="12004" xr:uid="{4EEB868B-DAC1-42F3-99EE-2CB13E180B4C}"/>
    <cellStyle name="Normal 5 4 2 2 8" xfId="4830" xr:uid="{00000000-0005-0000-0000-0000D61A0000}"/>
    <cellStyle name="Normal 5 4 2 2 8 2" xfId="14156" xr:uid="{51115C23-6E5F-483C-96B8-880CBFCACDF0}"/>
    <cellStyle name="Normal 5 4 2 2 9" xfId="8936" xr:uid="{31CF7A09-919D-40D2-B5FD-098CEA44D314}"/>
    <cellStyle name="Normal 5 4 2 2 9 2" xfId="18260" xr:uid="{F8E8581D-AFF4-4FC2-912A-C68BF290CD6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716" xr:uid="{25D761BC-F74D-4F63-97BA-759E6103360C}"/>
    <cellStyle name="Normal 5 4 2 3 2 2 3" xfId="12499" xr:uid="{45CA5366-ED6D-4DC5-8FED-B9F3EC65B07C}"/>
    <cellStyle name="Normal 5 4 2 3 2 3" xfId="5245" xr:uid="{00000000-0005-0000-0000-0000DB1A0000}"/>
    <cellStyle name="Normal 5 4 2 3 2 3 2" xfId="14571" xr:uid="{E8C34860-203B-4D1C-91C3-6A56E45D2DB9}"/>
    <cellStyle name="Normal 5 4 2 3 2 4" xfId="9465" xr:uid="{B8459C73-266B-467B-A163-FFDFF015A460}"/>
    <cellStyle name="Normal 5 4 2 3 2 4 2" xfId="18780" xr:uid="{13EDBABF-3B24-45D1-8887-306DC63E466D}"/>
    <cellStyle name="Normal 5 4 2 3 2 5" xfId="10354" xr:uid="{81EFDB9F-0CC5-41C1-9800-1AF69B72F88F}"/>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129" xr:uid="{1D88EAD1-229F-4271-86CD-1F61CAC52FF7}"/>
    <cellStyle name="Normal 5 4 2 3 3 2 3" xfId="12912" xr:uid="{40511C69-1B40-441C-A0F2-096B92AB4A55}"/>
    <cellStyle name="Normal 5 4 2 3 3 3" xfId="5658" xr:uid="{00000000-0005-0000-0000-0000DF1A0000}"/>
    <cellStyle name="Normal 5 4 2 3 3 3 2" xfId="14984" xr:uid="{ECF77830-EA20-4A2D-83E5-807F3D35583B}"/>
    <cellStyle name="Normal 5 4 2 3 3 4" xfId="10767" xr:uid="{82BD8871-D8E2-4AF1-991A-AE512202AF4D}"/>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542" xr:uid="{D802895B-FFAA-4B12-B46C-5CA06675486C}"/>
    <cellStyle name="Normal 5 4 2 3 4 2 3" xfId="13325" xr:uid="{B04F43E2-6833-42E8-A779-D143A4966D7E}"/>
    <cellStyle name="Normal 5 4 2 3 4 3" xfId="6071" xr:uid="{00000000-0005-0000-0000-0000E31A0000}"/>
    <cellStyle name="Normal 5 4 2 3 4 3 2" xfId="15397" xr:uid="{A54FE205-F7D0-4BE8-857A-FA1727C3891D}"/>
    <cellStyle name="Normal 5 4 2 3 4 4" xfId="11180" xr:uid="{A3C32C5B-155A-4F15-89E8-5C9E348EE2B7}"/>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55" xr:uid="{497AA9E2-6883-4A5B-8EEC-0F22DF1F6651}"/>
    <cellStyle name="Normal 5 4 2 3 5 2 3" xfId="13738" xr:uid="{073FAE34-5FB3-47E6-A144-6000348441DD}"/>
    <cellStyle name="Normal 5 4 2 3 5 3" xfId="6484" xr:uid="{00000000-0005-0000-0000-0000E71A0000}"/>
    <cellStyle name="Normal 5 4 2 3 5 3 2" xfId="15810" xr:uid="{197CB91C-E621-401C-AAB5-1D190E60C6F2}"/>
    <cellStyle name="Normal 5 4 2 3 5 4" xfId="11593" xr:uid="{15F48481-F99D-45AF-8CA1-841A3ED1614F}"/>
    <cellStyle name="Normal 5 4 2 3 6" xfId="2614" xr:uid="{00000000-0005-0000-0000-0000E81A0000}"/>
    <cellStyle name="Normal 5 4 2 3 6 2" xfId="6897" xr:uid="{00000000-0005-0000-0000-0000E91A0000}"/>
    <cellStyle name="Normal 5 4 2 3 6 2 2" xfId="16223" xr:uid="{92D4C397-3950-4285-BD85-CE857D1B0DCC}"/>
    <cellStyle name="Normal 5 4 2 3 6 3" xfId="12006" xr:uid="{C03958C1-40F5-4569-AB90-F461C54BDBDD}"/>
    <cellStyle name="Normal 5 4 2 3 7" xfId="4832" xr:uid="{00000000-0005-0000-0000-0000EA1A0000}"/>
    <cellStyle name="Normal 5 4 2 3 7 2" xfId="14158" xr:uid="{C4F65DCA-E73A-408C-942E-C213420157E6}"/>
    <cellStyle name="Normal 5 4 2 3 8" xfId="9040" xr:uid="{D68CAB17-BB41-4D9B-AA76-76FE511392DC}"/>
    <cellStyle name="Normal 5 4 2 3 8 2" xfId="18364" xr:uid="{5B97C4A6-FC68-47FA-9B5F-A4E4D0A9AE27}"/>
    <cellStyle name="Normal 5 4 2 3 9" xfId="9941" xr:uid="{D5EE8D08-CFCC-4188-836A-860DB559F88B}"/>
    <cellStyle name="Normal 5 4 2 4" xfId="931" xr:uid="{00000000-0005-0000-0000-0000EB1A0000}"/>
    <cellStyle name="Normal 5 4 2 4 2" xfId="3165" xr:uid="{00000000-0005-0000-0000-0000EC1A0000}"/>
    <cellStyle name="Normal 5 4 2 4 2 2" xfId="7387" xr:uid="{00000000-0005-0000-0000-0000ED1A0000}"/>
    <cellStyle name="Normal 5 4 2 4 2 2 2" xfId="16713" xr:uid="{102D8414-EC69-42A8-9195-9835B5CEC0B7}"/>
    <cellStyle name="Normal 5 4 2 4 2 3" xfId="12496" xr:uid="{B4CF0BB4-889E-453C-BFD4-4D2730FF52EA}"/>
    <cellStyle name="Normal 5 4 2 4 3" xfId="5242" xr:uid="{00000000-0005-0000-0000-0000EE1A0000}"/>
    <cellStyle name="Normal 5 4 2 4 3 2" xfId="14568" xr:uid="{397EABFB-58EB-405B-9547-09DC52F76C04}"/>
    <cellStyle name="Normal 5 4 2 4 4" xfId="9258" xr:uid="{971C48A9-8200-405B-A9BE-B3AFD2CDDA76}"/>
    <cellStyle name="Normal 5 4 2 4 4 2" xfId="18573" xr:uid="{0D0F5C45-951F-48EB-A4F9-E39814B08D97}"/>
    <cellStyle name="Normal 5 4 2 4 5" xfId="10351" xr:uid="{05264A1A-A326-4E6A-98C2-F94D011480AC}"/>
    <cellStyle name="Normal 5 4 2 5" xfId="1348" xr:uid="{00000000-0005-0000-0000-0000EF1A0000}"/>
    <cellStyle name="Normal 5 4 2 5 2" xfId="3578" xr:uid="{00000000-0005-0000-0000-0000F01A0000}"/>
    <cellStyle name="Normal 5 4 2 5 2 2" xfId="7800" xr:uid="{00000000-0005-0000-0000-0000F11A0000}"/>
    <cellStyle name="Normal 5 4 2 5 2 2 2" xfId="17126" xr:uid="{99353645-6EA3-493E-B2E4-A16F83E08D4C}"/>
    <cellStyle name="Normal 5 4 2 5 2 3" xfId="12909" xr:uid="{F9C7CA29-352A-424F-BDC4-3057A2375D68}"/>
    <cellStyle name="Normal 5 4 2 5 3" xfId="5655" xr:uid="{00000000-0005-0000-0000-0000F21A0000}"/>
    <cellStyle name="Normal 5 4 2 5 3 2" xfId="14981" xr:uid="{AE53DB44-C6E8-4FDB-ABBD-A0030BB22126}"/>
    <cellStyle name="Normal 5 4 2 5 4" xfId="10764" xr:uid="{A7DD65FF-9433-42D8-896A-22B34FEBFAF0}"/>
    <cellStyle name="Normal 5 4 2 6" xfId="1761" xr:uid="{00000000-0005-0000-0000-0000F31A0000}"/>
    <cellStyle name="Normal 5 4 2 6 2" xfId="3991" xr:uid="{00000000-0005-0000-0000-0000F41A0000}"/>
    <cellStyle name="Normal 5 4 2 6 2 2" xfId="8213" xr:uid="{00000000-0005-0000-0000-0000F51A0000}"/>
    <cellStyle name="Normal 5 4 2 6 2 2 2" xfId="17539" xr:uid="{B507CC13-446B-437B-82F2-1C950BD19898}"/>
    <cellStyle name="Normal 5 4 2 6 2 3" xfId="13322" xr:uid="{A5C8FBF7-BF8D-40BB-9B55-EE9152B96845}"/>
    <cellStyle name="Normal 5 4 2 6 3" xfId="6068" xr:uid="{00000000-0005-0000-0000-0000F61A0000}"/>
    <cellStyle name="Normal 5 4 2 6 3 2" xfId="15394" xr:uid="{FAC7BA61-1735-4235-832E-C7F37E02817F}"/>
    <cellStyle name="Normal 5 4 2 6 4" xfId="11177" xr:uid="{A0039FF9-B381-4BDA-8012-33C9C74F2DF2}"/>
    <cellStyle name="Normal 5 4 2 7" xfId="2175" xr:uid="{00000000-0005-0000-0000-0000F71A0000}"/>
    <cellStyle name="Normal 5 4 2 7 2" xfId="4404" xr:uid="{00000000-0005-0000-0000-0000F81A0000}"/>
    <cellStyle name="Normal 5 4 2 7 2 2" xfId="8626" xr:uid="{00000000-0005-0000-0000-0000F91A0000}"/>
    <cellStyle name="Normal 5 4 2 7 2 2 2" xfId="17952" xr:uid="{D8C4E054-8F42-4DF1-82A6-149214B4E0B3}"/>
    <cellStyle name="Normal 5 4 2 7 2 3" xfId="13735" xr:uid="{521A91C4-0B6B-47D1-9D2D-3336B13C6F3F}"/>
    <cellStyle name="Normal 5 4 2 7 3" xfId="6481" xr:uid="{00000000-0005-0000-0000-0000FA1A0000}"/>
    <cellStyle name="Normal 5 4 2 7 3 2" xfId="15807" xr:uid="{AF64A17E-9501-4322-83EB-4437CD874A88}"/>
    <cellStyle name="Normal 5 4 2 7 4" xfId="11590" xr:uid="{5CF14600-88AA-4C1C-9929-6343BED2CF2F}"/>
    <cellStyle name="Normal 5 4 2 8" xfId="2611" xr:uid="{00000000-0005-0000-0000-0000FB1A0000}"/>
    <cellStyle name="Normal 5 4 2 8 2" xfId="6894" xr:uid="{00000000-0005-0000-0000-0000FC1A0000}"/>
    <cellStyle name="Normal 5 4 2 8 2 2" xfId="16220" xr:uid="{144D7A35-53FC-4994-A644-F27CC1A2B729}"/>
    <cellStyle name="Normal 5 4 2 8 3" xfId="12003" xr:uid="{A4A943E5-17E8-42B1-924B-63B044676CB7}"/>
    <cellStyle name="Normal 5 4 2 9" xfId="4829" xr:uid="{00000000-0005-0000-0000-0000FD1A0000}"/>
    <cellStyle name="Normal 5 4 2 9 2" xfId="14155" xr:uid="{623F82DA-1760-4D08-847E-241BC85AC5CB}"/>
    <cellStyle name="Normal 5 4 3" xfId="461" xr:uid="{00000000-0005-0000-0000-0000FE1A0000}"/>
    <cellStyle name="Normal 5 4 3 10" xfId="9942" xr:uid="{7C93E2B8-B9BE-4ABB-90AE-23358B4C43C2}"/>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718" xr:uid="{2E8A1DB1-DE5F-41C1-BA4D-08ED06BB24FF}"/>
    <cellStyle name="Normal 5 4 3 2 2 2 3" xfId="12501" xr:uid="{B8E91C9F-26B9-4C44-8E8C-2A774978F679}"/>
    <cellStyle name="Normal 5 4 3 2 2 3" xfId="5247" xr:uid="{00000000-0005-0000-0000-0000031B0000}"/>
    <cellStyle name="Normal 5 4 3 2 2 3 2" xfId="14573" xr:uid="{1AAF99CC-21B2-4DBF-91C3-948D65C54498}"/>
    <cellStyle name="Normal 5 4 3 2 2 4" xfId="9508" xr:uid="{1F9B5A8F-2A45-43C5-9422-E8BC84424A55}"/>
    <cellStyle name="Normal 5 4 3 2 2 4 2" xfId="18823" xr:uid="{016D276B-02EE-43CD-B5B6-89C0FBDB46D5}"/>
    <cellStyle name="Normal 5 4 3 2 2 5" xfId="10356" xr:uid="{1E20A530-4A10-454D-BC47-69FD0F247125}"/>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131" xr:uid="{87DAC8C4-C604-4B5D-BBB4-992CBA9779F3}"/>
    <cellStyle name="Normal 5 4 3 2 3 2 3" xfId="12914" xr:uid="{B4991C1D-9D76-47F5-A750-18C4AA11CD76}"/>
    <cellStyle name="Normal 5 4 3 2 3 3" xfId="5660" xr:uid="{00000000-0005-0000-0000-0000071B0000}"/>
    <cellStyle name="Normal 5 4 3 2 3 3 2" xfId="14986" xr:uid="{C6A42774-3BB1-4493-BF49-BDFF31718476}"/>
    <cellStyle name="Normal 5 4 3 2 3 4" xfId="10769" xr:uid="{970D70A6-905A-4C10-BCB5-2BCAA3E04A4B}"/>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44" xr:uid="{E594EB84-9A38-4D5F-BF0C-55B0F27173E6}"/>
    <cellStyle name="Normal 5 4 3 2 4 2 3" xfId="13327" xr:uid="{457EC234-E075-463B-88EC-0D69740EF648}"/>
    <cellStyle name="Normal 5 4 3 2 4 3" xfId="6073" xr:uid="{00000000-0005-0000-0000-00000B1B0000}"/>
    <cellStyle name="Normal 5 4 3 2 4 3 2" xfId="15399" xr:uid="{1847AA8F-2908-4120-9BFD-C87D7C366291}"/>
    <cellStyle name="Normal 5 4 3 2 4 4" xfId="11182" xr:uid="{466B8826-AE79-453E-A3FC-57EB7CAB329D}"/>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57" xr:uid="{E043B8A6-34A2-4C87-805E-605AD6AD7D8E}"/>
    <cellStyle name="Normal 5 4 3 2 5 2 3" xfId="13740" xr:uid="{BB782CE9-BD74-4C9F-A470-522184B2C396}"/>
    <cellStyle name="Normal 5 4 3 2 5 3" xfId="6486" xr:uid="{00000000-0005-0000-0000-00000F1B0000}"/>
    <cellStyle name="Normal 5 4 3 2 5 3 2" xfId="15812" xr:uid="{4B3090A2-BFD4-4772-82C1-12572DD8F927}"/>
    <cellStyle name="Normal 5 4 3 2 5 4" xfId="11595" xr:uid="{2B1C0120-C899-409D-AE98-CA3C546C9462}"/>
    <cellStyle name="Normal 5 4 3 2 6" xfId="2616" xr:uid="{00000000-0005-0000-0000-0000101B0000}"/>
    <cellStyle name="Normal 5 4 3 2 6 2" xfId="6899" xr:uid="{00000000-0005-0000-0000-0000111B0000}"/>
    <cellStyle name="Normal 5 4 3 2 6 2 2" xfId="16225" xr:uid="{B491F29D-0725-496D-9453-F76F4B5C55FA}"/>
    <cellStyle name="Normal 5 4 3 2 6 3" xfId="12008" xr:uid="{B7BB5CFE-D664-4701-8937-00ABBFCB16AE}"/>
    <cellStyle name="Normal 5 4 3 2 7" xfId="4834" xr:uid="{00000000-0005-0000-0000-0000121B0000}"/>
    <cellStyle name="Normal 5 4 3 2 7 2" xfId="14160" xr:uid="{E3B56B43-6BFD-4092-A96E-3AA204DEE5A5}"/>
    <cellStyle name="Normal 5 4 3 2 8" xfId="9083" xr:uid="{206384C8-6AD8-4D28-8F99-3033A80D68FC}"/>
    <cellStyle name="Normal 5 4 3 2 8 2" xfId="18407" xr:uid="{D7CF71E1-CC83-4058-B5EE-0F2E230ED3A3}"/>
    <cellStyle name="Normal 5 4 3 2 9" xfId="9943" xr:uid="{6E357B29-A02A-48BF-B5AB-4B7DF6F57633}"/>
    <cellStyle name="Normal 5 4 3 3" xfId="935" xr:uid="{00000000-0005-0000-0000-0000131B0000}"/>
    <cellStyle name="Normal 5 4 3 3 2" xfId="3169" xr:uid="{00000000-0005-0000-0000-0000141B0000}"/>
    <cellStyle name="Normal 5 4 3 3 2 2" xfId="7391" xr:uid="{00000000-0005-0000-0000-0000151B0000}"/>
    <cellStyle name="Normal 5 4 3 3 2 2 2" xfId="16717" xr:uid="{0A0CA14B-DA9D-4ACC-8971-8D06440647EC}"/>
    <cellStyle name="Normal 5 4 3 3 2 3" xfId="12500" xr:uid="{02E70E0A-1F3A-4293-8678-C644D2218F09}"/>
    <cellStyle name="Normal 5 4 3 3 3" xfId="5246" xr:uid="{00000000-0005-0000-0000-0000161B0000}"/>
    <cellStyle name="Normal 5 4 3 3 3 2" xfId="14572" xr:uid="{86F6A14E-E080-44E3-B2FE-687A2884B708}"/>
    <cellStyle name="Normal 5 4 3 3 4" xfId="9301" xr:uid="{CB02BBE7-2E3D-4C67-A62E-BA84DE882039}"/>
    <cellStyle name="Normal 5 4 3 3 4 2" xfId="18616" xr:uid="{F187A877-ADF8-496F-8043-967A4993047E}"/>
    <cellStyle name="Normal 5 4 3 3 5" xfId="10355" xr:uid="{FA0158A0-EA87-4F4B-A960-7404B9D61ADF}"/>
    <cellStyle name="Normal 5 4 3 4" xfId="1352" xr:uid="{00000000-0005-0000-0000-0000171B0000}"/>
    <cellStyle name="Normal 5 4 3 4 2" xfId="3582" xr:uid="{00000000-0005-0000-0000-0000181B0000}"/>
    <cellStyle name="Normal 5 4 3 4 2 2" xfId="7804" xr:uid="{00000000-0005-0000-0000-0000191B0000}"/>
    <cellStyle name="Normal 5 4 3 4 2 2 2" xfId="17130" xr:uid="{812BFC3B-1B8D-4D27-B47B-D2E055F44377}"/>
    <cellStyle name="Normal 5 4 3 4 2 3" xfId="12913" xr:uid="{67261C56-DBC5-409A-B2C6-7CEEDD5B5B80}"/>
    <cellStyle name="Normal 5 4 3 4 3" xfId="5659" xr:uid="{00000000-0005-0000-0000-00001A1B0000}"/>
    <cellStyle name="Normal 5 4 3 4 3 2" xfId="14985" xr:uid="{D46EA3CA-E685-417A-8426-D312999F7A05}"/>
    <cellStyle name="Normal 5 4 3 4 4" xfId="10768" xr:uid="{5EE03585-5C89-426D-9FDF-87232167E2AC}"/>
    <cellStyle name="Normal 5 4 3 5" xfId="1765" xr:uid="{00000000-0005-0000-0000-00001B1B0000}"/>
    <cellStyle name="Normal 5 4 3 5 2" xfId="3995" xr:uid="{00000000-0005-0000-0000-00001C1B0000}"/>
    <cellStyle name="Normal 5 4 3 5 2 2" xfId="8217" xr:uid="{00000000-0005-0000-0000-00001D1B0000}"/>
    <cellStyle name="Normal 5 4 3 5 2 2 2" xfId="17543" xr:uid="{A5CAF9AC-B9DE-48D3-B55E-45DCE4286654}"/>
    <cellStyle name="Normal 5 4 3 5 2 3" xfId="13326" xr:uid="{C23F99D7-AA38-4646-B218-0AF0C7B5BD11}"/>
    <cellStyle name="Normal 5 4 3 5 3" xfId="6072" xr:uid="{00000000-0005-0000-0000-00001E1B0000}"/>
    <cellStyle name="Normal 5 4 3 5 3 2" xfId="15398" xr:uid="{71A91AC2-9294-4567-A315-455B475A4634}"/>
    <cellStyle name="Normal 5 4 3 5 4" xfId="11181" xr:uid="{86BC9134-936D-438B-A957-12DD9B0312BD}"/>
    <cellStyle name="Normal 5 4 3 6" xfId="2179" xr:uid="{00000000-0005-0000-0000-00001F1B0000}"/>
    <cellStyle name="Normal 5 4 3 6 2" xfId="4408" xr:uid="{00000000-0005-0000-0000-0000201B0000}"/>
    <cellStyle name="Normal 5 4 3 6 2 2" xfId="8630" xr:uid="{00000000-0005-0000-0000-0000211B0000}"/>
    <cellStyle name="Normal 5 4 3 6 2 2 2" xfId="17956" xr:uid="{1D389DBA-A3E5-4790-A123-2B050D95F0C3}"/>
    <cellStyle name="Normal 5 4 3 6 2 3" xfId="13739" xr:uid="{0C97D054-FA65-4997-8D57-891C2604D615}"/>
    <cellStyle name="Normal 5 4 3 6 3" xfId="6485" xr:uid="{00000000-0005-0000-0000-0000221B0000}"/>
    <cellStyle name="Normal 5 4 3 6 3 2" xfId="15811" xr:uid="{98E8D077-4094-4C65-B16E-69A06796DB23}"/>
    <cellStyle name="Normal 5 4 3 6 4" xfId="11594" xr:uid="{CC13AA9D-3533-4FC2-BAEF-B5BE5D5CCF72}"/>
    <cellStyle name="Normal 5 4 3 7" xfId="2615" xr:uid="{00000000-0005-0000-0000-0000231B0000}"/>
    <cellStyle name="Normal 5 4 3 7 2" xfId="6898" xr:uid="{00000000-0005-0000-0000-0000241B0000}"/>
    <cellStyle name="Normal 5 4 3 7 2 2" xfId="16224" xr:uid="{EFA427FC-8E01-4CFD-980C-7D26CE5108D4}"/>
    <cellStyle name="Normal 5 4 3 7 3" xfId="12007" xr:uid="{B553DEBA-7D56-4662-8BB6-678A6E9DE0D7}"/>
    <cellStyle name="Normal 5 4 3 8" xfId="4833" xr:uid="{00000000-0005-0000-0000-0000251B0000}"/>
    <cellStyle name="Normal 5 4 3 8 2" xfId="14159" xr:uid="{164EC483-4EE2-476E-A43F-B9A54820E0F6}"/>
    <cellStyle name="Normal 5 4 3 9" xfId="8876" xr:uid="{D636A598-175F-46A4-8005-1A20EC6CCEC9}"/>
    <cellStyle name="Normal 5 4 3 9 2" xfId="18200" xr:uid="{E79FEE80-83AC-4EF6-AD69-192137EBC675}"/>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6719" xr:uid="{F764ECB1-CC46-48CE-9F0D-1CB0689C7028}"/>
    <cellStyle name="Normal 5 4 4 2 2 3" xfId="12502" xr:uid="{76C793E2-D6BE-4871-93E8-5282686E3A49}"/>
    <cellStyle name="Normal 5 4 4 2 3" xfId="5248" xr:uid="{00000000-0005-0000-0000-00002A1B0000}"/>
    <cellStyle name="Normal 5 4 4 2 3 2" xfId="14574" xr:uid="{7ABD1D0C-3330-4A46-B0EE-8D5201D757EE}"/>
    <cellStyle name="Normal 5 4 4 2 4" xfId="9405" xr:uid="{F05DE0DC-A0AA-4CEB-9ABC-0D70F781B819}"/>
    <cellStyle name="Normal 5 4 4 2 4 2" xfId="18720" xr:uid="{E1A15C69-F64F-4992-B214-90AD0183EB85}"/>
    <cellStyle name="Normal 5 4 4 2 5" xfId="10357" xr:uid="{D6A9EA45-82F1-4AD3-8383-DD6CD554AB8B}"/>
    <cellStyle name="Normal 5 4 4 3" xfId="1354" xr:uid="{00000000-0005-0000-0000-00002B1B0000}"/>
    <cellStyle name="Normal 5 4 4 3 2" xfId="3584" xr:uid="{00000000-0005-0000-0000-00002C1B0000}"/>
    <cellStyle name="Normal 5 4 4 3 2 2" xfId="7806" xr:uid="{00000000-0005-0000-0000-00002D1B0000}"/>
    <cellStyle name="Normal 5 4 4 3 2 2 2" xfId="17132" xr:uid="{DCF1CFBF-3D28-4B41-A505-CCE24455E34E}"/>
    <cellStyle name="Normal 5 4 4 3 2 3" xfId="12915" xr:uid="{87ADFF2D-79CF-4BCE-B950-C5653F5EB3FB}"/>
    <cellStyle name="Normal 5 4 4 3 3" xfId="5661" xr:uid="{00000000-0005-0000-0000-00002E1B0000}"/>
    <cellStyle name="Normal 5 4 4 3 3 2" xfId="14987" xr:uid="{82B41EED-F6ED-4CA8-9896-57CD46CFC56F}"/>
    <cellStyle name="Normal 5 4 4 3 4" xfId="10770" xr:uid="{0667D052-1EC9-4B09-B6ED-96F3E43C675D}"/>
    <cellStyle name="Normal 5 4 4 4" xfId="1767" xr:uid="{00000000-0005-0000-0000-00002F1B0000}"/>
    <cellStyle name="Normal 5 4 4 4 2" xfId="3997" xr:uid="{00000000-0005-0000-0000-0000301B0000}"/>
    <cellStyle name="Normal 5 4 4 4 2 2" xfId="8219" xr:uid="{00000000-0005-0000-0000-0000311B0000}"/>
    <cellStyle name="Normal 5 4 4 4 2 2 2" xfId="17545" xr:uid="{5B4D768A-3073-479A-AC8F-2E30164D9BCC}"/>
    <cellStyle name="Normal 5 4 4 4 2 3" xfId="13328" xr:uid="{36F26CD5-8E30-49A1-B5D2-E499D91C9D5A}"/>
    <cellStyle name="Normal 5 4 4 4 3" xfId="6074" xr:uid="{00000000-0005-0000-0000-0000321B0000}"/>
    <cellStyle name="Normal 5 4 4 4 3 2" xfId="15400" xr:uid="{E4AA8BAD-5869-4CA8-933D-14C11EF15E34}"/>
    <cellStyle name="Normal 5 4 4 4 4" xfId="11183" xr:uid="{2E0AEC84-698D-4F7B-895F-0A1A441864EC}"/>
    <cellStyle name="Normal 5 4 4 5" xfId="2181" xr:uid="{00000000-0005-0000-0000-0000331B0000}"/>
    <cellStyle name="Normal 5 4 4 5 2" xfId="4410" xr:uid="{00000000-0005-0000-0000-0000341B0000}"/>
    <cellStyle name="Normal 5 4 4 5 2 2" xfId="8632" xr:uid="{00000000-0005-0000-0000-0000351B0000}"/>
    <cellStyle name="Normal 5 4 4 5 2 2 2" xfId="17958" xr:uid="{2BF41572-2815-49B6-BA77-EC4FFDBF0BC9}"/>
    <cellStyle name="Normal 5 4 4 5 2 3" xfId="13741" xr:uid="{82291FC0-D962-4ED2-BE15-A320F4AD6F40}"/>
    <cellStyle name="Normal 5 4 4 5 3" xfId="6487" xr:uid="{00000000-0005-0000-0000-0000361B0000}"/>
    <cellStyle name="Normal 5 4 4 5 3 2" xfId="15813" xr:uid="{E3979808-1ACC-4678-9EFE-894B4B71DEE8}"/>
    <cellStyle name="Normal 5 4 4 5 4" xfId="11596" xr:uid="{52CB3A31-FF17-405E-94CE-7DEEBAED1F09}"/>
    <cellStyle name="Normal 5 4 4 6" xfId="2617" xr:uid="{00000000-0005-0000-0000-0000371B0000}"/>
    <cellStyle name="Normal 5 4 4 6 2" xfId="6900" xr:uid="{00000000-0005-0000-0000-0000381B0000}"/>
    <cellStyle name="Normal 5 4 4 6 2 2" xfId="16226" xr:uid="{1DB0836E-165B-4BE0-B10D-14165003A598}"/>
    <cellStyle name="Normal 5 4 4 6 3" xfId="12009" xr:uid="{95DC48F0-3B48-4E8A-A40D-BB482B62194F}"/>
    <cellStyle name="Normal 5 4 4 7" xfId="4835" xr:uid="{00000000-0005-0000-0000-0000391B0000}"/>
    <cellStyle name="Normal 5 4 4 7 2" xfId="14161" xr:uid="{EE1C163A-479F-4312-A190-9026FF212C73}"/>
    <cellStyle name="Normal 5 4 4 8" xfId="8980" xr:uid="{B1DB48A4-94CB-4CC2-8D4B-8FD478363D48}"/>
    <cellStyle name="Normal 5 4 4 8 2" xfId="18304" xr:uid="{850B3E91-16B9-4AA4-B6E7-29B74C5652E2}"/>
    <cellStyle name="Normal 5 4 4 9" xfId="9944" xr:uid="{2F4D4D12-DBDF-4075-A061-9E7D08F9473F}"/>
    <cellStyle name="Normal 5 4 5" xfId="930" xr:uid="{00000000-0005-0000-0000-00003A1B0000}"/>
    <cellStyle name="Normal 5 4 5 2" xfId="3164" xr:uid="{00000000-0005-0000-0000-00003B1B0000}"/>
    <cellStyle name="Normal 5 4 5 2 2" xfId="7386" xr:uid="{00000000-0005-0000-0000-00003C1B0000}"/>
    <cellStyle name="Normal 5 4 5 2 2 2" xfId="16712" xr:uid="{D10E0A33-54FC-4BE4-8787-9B44261873AF}"/>
    <cellStyle name="Normal 5 4 5 2 3" xfId="12495" xr:uid="{6A943092-1050-4263-B110-A01C84E9F5BB}"/>
    <cellStyle name="Normal 5 4 5 3" xfId="5241" xr:uid="{00000000-0005-0000-0000-00003D1B0000}"/>
    <cellStyle name="Normal 5 4 5 3 2" xfId="14567" xr:uid="{D6045A9D-EFBF-481C-BF5E-6C294FD5E865}"/>
    <cellStyle name="Normal 5 4 5 4" xfId="9197" xr:uid="{44FF0EFB-444B-4C40-B695-8C256ADB5563}"/>
    <cellStyle name="Normal 5 4 5 4 2" xfId="18513" xr:uid="{F6FAB7F2-8127-4D51-842D-EC915685983F}"/>
    <cellStyle name="Normal 5 4 5 5" xfId="10350" xr:uid="{E385468B-067B-48C7-BA16-99130967DA89}"/>
    <cellStyle name="Normal 5 4 6" xfId="1347" xr:uid="{00000000-0005-0000-0000-00003E1B0000}"/>
    <cellStyle name="Normal 5 4 6 2" xfId="3577" xr:uid="{00000000-0005-0000-0000-00003F1B0000}"/>
    <cellStyle name="Normal 5 4 6 2 2" xfId="7799" xr:uid="{00000000-0005-0000-0000-0000401B0000}"/>
    <cellStyle name="Normal 5 4 6 2 2 2" xfId="17125" xr:uid="{CA32B442-C1EE-42EF-9D0A-D60FD5044DD7}"/>
    <cellStyle name="Normal 5 4 6 2 3" xfId="12908" xr:uid="{BE80E77D-024D-4F57-846A-19771352BEDF}"/>
    <cellStyle name="Normal 5 4 6 3" xfId="5654" xr:uid="{00000000-0005-0000-0000-0000411B0000}"/>
    <cellStyle name="Normal 5 4 6 3 2" xfId="14980" xr:uid="{74BBA029-3323-4AB0-894F-940B535CCA38}"/>
    <cellStyle name="Normal 5 4 6 4" xfId="10763" xr:uid="{EB830F95-D932-4EF5-B8D5-527D1FADB98B}"/>
    <cellStyle name="Normal 5 4 7" xfId="1760" xr:uid="{00000000-0005-0000-0000-0000421B0000}"/>
    <cellStyle name="Normal 5 4 7 2" xfId="3990" xr:uid="{00000000-0005-0000-0000-0000431B0000}"/>
    <cellStyle name="Normal 5 4 7 2 2" xfId="8212" xr:uid="{00000000-0005-0000-0000-0000441B0000}"/>
    <cellStyle name="Normal 5 4 7 2 2 2" xfId="17538" xr:uid="{05985A84-84D0-44D8-B0A3-C19DD6B0C10C}"/>
    <cellStyle name="Normal 5 4 7 2 3" xfId="13321" xr:uid="{546F6DF8-15BB-4201-ADA1-8BF830F37DD9}"/>
    <cellStyle name="Normal 5 4 7 3" xfId="6067" xr:uid="{00000000-0005-0000-0000-0000451B0000}"/>
    <cellStyle name="Normal 5 4 7 3 2" xfId="15393" xr:uid="{CFF84CD1-60D2-4C94-8DEA-CE44E5E0B17A}"/>
    <cellStyle name="Normal 5 4 7 4" xfId="11176" xr:uid="{8B56ADAC-68DE-485C-94EE-360D0941AB41}"/>
    <cellStyle name="Normal 5 4 8" xfId="2174" xr:uid="{00000000-0005-0000-0000-0000461B0000}"/>
    <cellStyle name="Normal 5 4 8 2" xfId="4403" xr:uid="{00000000-0005-0000-0000-0000471B0000}"/>
    <cellStyle name="Normal 5 4 8 2 2" xfId="8625" xr:uid="{00000000-0005-0000-0000-0000481B0000}"/>
    <cellStyle name="Normal 5 4 8 2 2 2" xfId="17951" xr:uid="{A2D7FAF0-40A8-4BDF-BAE1-3E21DA7B288E}"/>
    <cellStyle name="Normal 5 4 8 2 3" xfId="13734" xr:uid="{B9DF7258-0C7D-475C-B319-A33C5BA4465C}"/>
    <cellStyle name="Normal 5 4 8 3" xfId="6480" xr:uid="{00000000-0005-0000-0000-0000491B0000}"/>
    <cellStyle name="Normal 5 4 8 3 2" xfId="15806" xr:uid="{B192D99F-FFA1-4E15-A1BF-713995F972C0}"/>
    <cellStyle name="Normal 5 4 8 4" xfId="11589" xr:uid="{2C825E94-C062-4CAF-BADB-95466C6B5033}"/>
    <cellStyle name="Normal 5 4 9" xfId="2610" xr:uid="{00000000-0005-0000-0000-00004A1B0000}"/>
    <cellStyle name="Normal 5 4 9 2" xfId="6893" xr:uid="{00000000-0005-0000-0000-00004B1B0000}"/>
    <cellStyle name="Normal 5 4 9 2 2" xfId="16219" xr:uid="{6D6A5A43-6A25-4F1F-8B82-9EE8951F9AE6}"/>
    <cellStyle name="Normal 5 4 9 3" xfId="12002" xr:uid="{1D33B9B9-980E-4A61-823F-5E8F6F48726C}"/>
    <cellStyle name="Normal 5 5" xfId="464" xr:uid="{00000000-0005-0000-0000-00004C1B0000}"/>
    <cellStyle name="Normal 5 5 10" xfId="8826" xr:uid="{5746674A-546A-44BF-97FB-6D298BF3AD61}"/>
    <cellStyle name="Normal 5 5 10 2" xfId="18150" xr:uid="{9D78AEE9-5C5D-4DA0-AFFA-44A9E4B17A22}"/>
    <cellStyle name="Normal 5 5 11" xfId="9945" xr:uid="{869B2F50-B4FC-4BD8-9B27-E5C480CE6EEC}"/>
    <cellStyle name="Normal 5 5 2" xfId="465" xr:uid="{00000000-0005-0000-0000-00004D1B0000}"/>
    <cellStyle name="Normal 5 5 2 10" xfId="9946" xr:uid="{4D8970EC-D5FB-4266-9CF8-FD7D27F90C62}"/>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722" xr:uid="{54187475-99E9-4A1A-8E5D-2A6E057397BA}"/>
    <cellStyle name="Normal 5 5 2 2 2 2 3" xfId="12505" xr:uid="{E8DD7FD2-5916-4930-B1CC-F7C6CFE4F85A}"/>
    <cellStyle name="Normal 5 5 2 2 2 3" xfId="5251" xr:uid="{00000000-0005-0000-0000-0000521B0000}"/>
    <cellStyle name="Normal 5 5 2 2 2 3 2" xfId="14577" xr:uid="{543DD9C1-4944-475E-83AD-08B2E02022C1}"/>
    <cellStyle name="Normal 5 5 2 2 2 4" xfId="9561" xr:uid="{FF1EB4DD-E23E-4228-816B-D59B021F724D}"/>
    <cellStyle name="Normal 5 5 2 2 2 4 2" xfId="18876" xr:uid="{0331DC96-290D-4B8F-9BCD-0F74014BD0D0}"/>
    <cellStyle name="Normal 5 5 2 2 2 5" xfId="10360" xr:uid="{51279CF4-9D64-49F6-B0B2-E98C63778E01}"/>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135" xr:uid="{987CADFD-79C7-4E43-95C8-99D690279C29}"/>
    <cellStyle name="Normal 5 5 2 2 3 2 3" xfId="12918" xr:uid="{1EE2E923-1515-4696-8602-994B57BF6412}"/>
    <cellStyle name="Normal 5 5 2 2 3 3" xfId="5664" xr:uid="{00000000-0005-0000-0000-0000561B0000}"/>
    <cellStyle name="Normal 5 5 2 2 3 3 2" xfId="14990" xr:uid="{E4B3210E-0F79-4148-9BD0-A1473038079D}"/>
    <cellStyle name="Normal 5 5 2 2 3 4" xfId="10773" xr:uid="{B7170D38-777E-4705-9403-A76F98620211}"/>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48" xr:uid="{14AAE371-AA99-47DB-82EF-4F245D7F1FDC}"/>
    <cellStyle name="Normal 5 5 2 2 4 2 3" xfId="13331" xr:uid="{C9CE2BF1-B972-4B58-B499-B998005F9DF6}"/>
    <cellStyle name="Normal 5 5 2 2 4 3" xfId="6077" xr:uid="{00000000-0005-0000-0000-00005A1B0000}"/>
    <cellStyle name="Normal 5 5 2 2 4 3 2" xfId="15403" xr:uid="{1BF739CD-0A2E-493B-90CA-5CB7CCE28BD5}"/>
    <cellStyle name="Normal 5 5 2 2 4 4" xfId="11186" xr:uid="{CA706AD9-F140-4020-B55A-34A9527B0CA9}"/>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61" xr:uid="{DF94D9FB-DF10-469A-B162-35E07C3BC09C}"/>
    <cellStyle name="Normal 5 5 2 2 5 2 3" xfId="13744" xr:uid="{4358E4CC-4EF8-47A6-91FD-C33F510EE834}"/>
    <cellStyle name="Normal 5 5 2 2 5 3" xfId="6490" xr:uid="{00000000-0005-0000-0000-00005E1B0000}"/>
    <cellStyle name="Normal 5 5 2 2 5 3 2" xfId="15816" xr:uid="{2FCD7785-05B5-4168-BDF7-2CEA8147DD13}"/>
    <cellStyle name="Normal 5 5 2 2 5 4" xfId="11599" xr:uid="{CCCE6870-1D2E-45B9-AAB0-15B5C54CB67D}"/>
    <cellStyle name="Normal 5 5 2 2 6" xfId="2620" xr:uid="{00000000-0005-0000-0000-00005F1B0000}"/>
    <cellStyle name="Normal 5 5 2 2 6 2" xfId="6903" xr:uid="{00000000-0005-0000-0000-0000601B0000}"/>
    <cellStyle name="Normal 5 5 2 2 6 2 2" xfId="16229" xr:uid="{F091D7BE-750F-4B2A-B562-F8BC8DEA1C29}"/>
    <cellStyle name="Normal 5 5 2 2 6 3" xfId="12012" xr:uid="{FF3E4BF5-5F17-4CD8-BE1B-8C9A2EB277ED}"/>
    <cellStyle name="Normal 5 5 2 2 7" xfId="4838" xr:uid="{00000000-0005-0000-0000-0000611B0000}"/>
    <cellStyle name="Normal 5 5 2 2 7 2" xfId="14164" xr:uid="{D2F99BE5-1FBA-4F0F-9662-A7CB6B6C85FA}"/>
    <cellStyle name="Normal 5 5 2 2 8" xfId="9136" xr:uid="{D41453B5-3BE6-4F01-B336-45A274529844}"/>
    <cellStyle name="Normal 5 5 2 2 8 2" xfId="18460" xr:uid="{751B0C23-C10F-451A-9D40-E58002FBB14C}"/>
    <cellStyle name="Normal 5 5 2 2 9" xfId="9947" xr:uid="{124F0143-FD00-4632-B6B2-9DEBEBDD2190}"/>
    <cellStyle name="Normal 5 5 2 3" xfId="939" xr:uid="{00000000-0005-0000-0000-0000621B0000}"/>
    <cellStyle name="Normal 5 5 2 3 2" xfId="3173" xr:uid="{00000000-0005-0000-0000-0000631B0000}"/>
    <cellStyle name="Normal 5 5 2 3 2 2" xfId="7395" xr:uid="{00000000-0005-0000-0000-0000641B0000}"/>
    <cellStyle name="Normal 5 5 2 3 2 2 2" xfId="16721" xr:uid="{85352BD5-6C98-463F-B544-0E63A50E810C}"/>
    <cellStyle name="Normal 5 5 2 3 2 3" xfId="12504" xr:uid="{CC1D5DE0-D946-428E-BFA5-9B55973F89DB}"/>
    <cellStyle name="Normal 5 5 2 3 3" xfId="5250" xr:uid="{00000000-0005-0000-0000-0000651B0000}"/>
    <cellStyle name="Normal 5 5 2 3 3 2" xfId="14576" xr:uid="{36885886-C7B8-495B-A490-B41E59894EF4}"/>
    <cellStyle name="Normal 5 5 2 3 4" xfId="9354" xr:uid="{3251F49D-E700-469D-9840-28045D408641}"/>
    <cellStyle name="Normal 5 5 2 3 4 2" xfId="18669" xr:uid="{38CD5AD4-B8A2-454D-A478-E17F40556148}"/>
    <cellStyle name="Normal 5 5 2 3 5" xfId="10359" xr:uid="{10C6232C-19EE-4FB1-86EE-6E6937FDC003}"/>
    <cellStyle name="Normal 5 5 2 4" xfId="1356" xr:uid="{00000000-0005-0000-0000-0000661B0000}"/>
    <cellStyle name="Normal 5 5 2 4 2" xfId="3586" xr:uid="{00000000-0005-0000-0000-0000671B0000}"/>
    <cellStyle name="Normal 5 5 2 4 2 2" xfId="7808" xr:uid="{00000000-0005-0000-0000-0000681B0000}"/>
    <cellStyle name="Normal 5 5 2 4 2 2 2" xfId="17134" xr:uid="{DDDDAD02-3B3E-48D8-913F-1BC980609AC5}"/>
    <cellStyle name="Normal 5 5 2 4 2 3" xfId="12917" xr:uid="{76BCEE5F-1965-46D1-8DCF-ABD8C4ADA912}"/>
    <cellStyle name="Normal 5 5 2 4 3" xfId="5663" xr:uid="{00000000-0005-0000-0000-0000691B0000}"/>
    <cellStyle name="Normal 5 5 2 4 3 2" xfId="14989" xr:uid="{0EC6B6F1-CC6C-46DA-885B-B9C2E53D1404}"/>
    <cellStyle name="Normal 5 5 2 4 4" xfId="10772" xr:uid="{A5E0AD51-539B-4568-82E5-CF4309FC7FA4}"/>
    <cellStyle name="Normal 5 5 2 5" xfId="1769" xr:uid="{00000000-0005-0000-0000-00006A1B0000}"/>
    <cellStyle name="Normal 5 5 2 5 2" xfId="3999" xr:uid="{00000000-0005-0000-0000-00006B1B0000}"/>
    <cellStyle name="Normal 5 5 2 5 2 2" xfId="8221" xr:uid="{00000000-0005-0000-0000-00006C1B0000}"/>
    <cellStyle name="Normal 5 5 2 5 2 2 2" xfId="17547" xr:uid="{38CEC944-29D6-40A5-ACCC-4B18E591213C}"/>
    <cellStyle name="Normal 5 5 2 5 2 3" xfId="13330" xr:uid="{C29F47D7-8C54-4BA1-BF32-293039A523FB}"/>
    <cellStyle name="Normal 5 5 2 5 3" xfId="6076" xr:uid="{00000000-0005-0000-0000-00006D1B0000}"/>
    <cellStyle name="Normal 5 5 2 5 3 2" xfId="15402" xr:uid="{2FFB73D2-99F1-4CDE-90A4-56C1EA046B03}"/>
    <cellStyle name="Normal 5 5 2 5 4" xfId="11185" xr:uid="{654218B2-A83F-445E-9EF2-EFAAFA69BB58}"/>
    <cellStyle name="Normal 5 5 2 6" xfId="2183" xr:uid="{00000000-0005-0000-0000-00006E1B0000}"/>
    <cellStyle name="Normal 5 5 2 6 2" xfId="4412" xr:uid="{00000000-0005-0000-0000-00006F1B0000}"/>
    <cellStyle name="Normal 5 5 2 6 2 2" xfId="8634" xr:uid="{00000000-0005-0000-0000-0000701B0000}"/>
    <cellStyle name="Normal 5 5 2 6 2 2 2" xfId="17960" xr:uid="{F23B585D-881E-4EC9-8AE7-09EB7BEB39C6}"/>
    <cellStyle name="Normal 5 5 2 6 2 3" xfId="13743" xr:uid="{C8EB7A98-6640-4309-97DB-F9895F89E3B3}"/>
    <cellStyle name="Normal 5 5 2 6 3" xfId="6489" xr:uid="{00000000-0005-0000-0000-0000711B0000}"/>
    <cellStyle name="Normal 5 5 2 6 3 2" xfId="15815" xr:uid="{8F2D0229-9E89-4358-A93F-E887A2BCC62D}"/>
    <cellStyle name="Normal 5 5 2 6 4" xfId="11598" xr:uid="{FE2CF2FA-FEB5-4C1B-BEF8-587C48D1291B}"/>
    <cellStyle name="Normal 5 5 2 7" xfId="2619" xr:uid="{00000000-0005-0000-0000-0000721B0000}"/>
    <cellStyle name="Normal 5 5 2 7 2" xfId="6902" xr:uid="{00000000-0005-0000-0000-0000731B0000}"/>
    <cellStyle name="Normal 5 5 2 7 2 2" xfId="16228" xr:uid="{377D94D8-5EDF-4D2F-9AD9-265293EAD71C}"/>
    <cellStyle name="Normal 5 5 2 7 3" xfId="12011" xr:uid="{12AD92D7-BDB3-420F-B403-0CDDB4676F66}"/>
    <cellStyle name="Normal 5 5 2 8" xfId="4837" xr:uid="{00000000-0005-0000-0000-0000741B0000}"/>
    <cellStyle name="Normal 5 5 2 8 2" xfId="14163" xr:uid="{7A3827EA-9312-4646-B3D1-BA97730E0813}"/>
    <cellStyle name="Normal 5 5 2 9" xfId="8929" xr:uid="{918246BA-1946-46D4-8BAF-6DC0C4DC8AC3}"/>
    <cellStyle name="Normal 5 5 2 9 2" xfId="18253" xr:uid="{D9EED3F5-47B8-413D-A126-A334934FE93B}"/>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6723" xr:uid="{57CE8A79-5C8A-4BDB-BCF1-ACAFDF004860}"/>
    <cellStyle name="Normal 5 5 3 2 2 3" xfId="12506" xr:uid="{8FB05C49-EF17-4B11-802D-6C9775AC5AEE}"/>
    <cellStyle name="Normal 5 5 3 2 3" xfId="5252" xr:uid="{00000000-0005-0000-0000-0000791B0000}"/>
    <cellStyle name="Normal 5 5 3 2 3 2" xfId="14578" xr:uid="{CF3131C3-CDD2-4952-81F0-85DF1894CBE7}"/>
    <cellStyle name="Normal 5 5 3 2 4" xfId="9458" xr:uid="{8AD16727-CFBF-4DB5-B58F-04D48E2B564D}"/>
    <cellStyle name="Normal 5 5 3 2 4 2" xfId="18773" xr:uid="{D612FA3E-5E2F-4A22-A1B3-4CDA50966F60}"/>
    <cellStyle name="Normal 5 5 3 2 5" xfId="10361" xr:uid="{E3E89F2B-1692-40EC-A83A-35C2A3B32E0B}"/>
    <cellStyle name="Normal 5 5 3 3" xfId="1358" xr:uid="{00000000-0005-0000-0000-00007A1B0000}"/>
    <cellStyle name="Normal 5 5 3 3 2" xfId="3588" xr:uid="{00000000-0005-0000-0000-00007B1B0000}"/>
    <cellStyle name="Normal 5 5 3 3 2 2" xfId="7810" xr:uid="{00000000-0005-0000-0000-00007C1B0000}"/>
    <cellStyle name="Normal 5 5 3 3 2 2 2" xfId="17136" xr:uid="{96E92774-5E5D-4EFE-AAC1-78946427D776}"/>
    <cellStyle name="Normal 5 5 3 3 2 3" xfId="12919" xr:uid="{979AE385-1C40-4325-9537-160414BB4303}"/>
    <cellStyle name="Normal 5 5 3 3 3" xfId="5665" xr:uid="{00000000-0005-0000-0000-00007D1B0000}"/>
    <cellStyle name="Normal 5 5 3 3 3 2" xfId="14991" xr:uid="{974EE98D-C72E-4880-A967-2190BA82B3F5}"/>
    <cellStyle name="Normal 5 5 3 3 4" xfId="10774" xr:uid="{F39D87A5-4700-405E-A30A-9501B6537234}"/>
    <cellStyle name="Normal 5 5 3 4" xfId="1771" xr:uid="{00000000-0005-0000-0000-00007E1B0000}"/>
    <cellStyle name="Normal 5 5 3 4 2" xfId="4001" xr:uid="{00000000-0005-0000-0000-00007F1B0000}"/>
    <cellStyle name="Normal 5 5 3 4 2 2" xfId="8223" xr:uid="{00000000-0005-0000-0000-0000801B0000}"/>
    <cellStyle name="Normal 5 5 3 4 2 2 2" xfId="17549" xr:uid="{D5617C0F-2A62-4CC2-BB06-AADB57FD930F}"/>
    <cellStyle name="Normal 5 5 3 4 2 3" xfId="13332" xr:uid="{8157404A-2A8F-4E2D-A746-63960D59C240}"/>
    <cellStyle name="Normal 5 5 3 4 3" xfId="6078" xr:uid="{00000000-0005-0000-0000-0000811B0000}"/>
    <cellStyle name="Normal 5 5 3 4 3 2" xfId="15404" xr:uid="{F2860F9F-E3C8-40A6-A23A-A623D9037E73}"/>
    <cellStyle name="Normal 5 5 3 4 4" xfId="11187" xr:uid="{AB790D99-F679-4C51-97F9-B8EBFE9F39BB}"/>
    <cellStyle name="Normal 5 5 3 5" xfId="2185" xr:uid="{00000000-0005-0000-0000-0000821B0000}"/>
    <cellStyle name="Normal 5 5 3 5 2" xfId="4414" xr:uid="{00000000-0005-0000-0000-0000831B0000}"/>
    <cellStyle name="Normal 5 5 3 5 2 2" xfId="8636" xr:uid="{00000000-0005-0000-0000-0000841B0000}"/>
    <cellStyle name="Normal 5 5 3 5 2 2 2" xfId="17962" xr:uid="{DF2E7B31-0A0C-4BFD-BD7A-1FB3C7995C20}"/>
    <cellStyle name="Normal 5 5 3 5 2 3" xfId="13745" xr:uid="{47069402-5AD8-412B-8F60-926B7DD1589A}"/>
    <cellStyle name="Normal 5 5 3 5 3" xfId="6491" xr:uid="{00000000-0005-0000-0000-0000851B0000}"/>
    <cellStyle name="Normal 5 5 3 5 3 2" xfId="15817" xr:uid="{9311600B-B48D-42A1-84A8-D175DB41E711}"/>
    <cellStyle name="Normal 5 5 3 5 4" xfId="11600" xr:uid="{D495711F-0754-47E6-94E3-EB210134B8CE}"/>
    <cellStyle name="Normal 5 5 3 6" xfId="2621" xr:uid="{00000000-0005-0000-0000-0000861B0000}"/>
    <cellStyle name="Normal 5 5 3 6 2" xfId="6904" xr:uid="{00000000-0005-0000-0000-0000871B0000}"/>
    <cellStyle name="Normal 5 5 3 6 2 2" xfId="16230" xr:uid="{EAD793B9-4BFE-416E-ACCA-429A02466777}"/>
    <cellStyle name="Normal 5 5 3 6 3" xfId="12013" xr:uid="{EBC56788-2CBE-48B6-9E01-E620F555F768}"/>
    <cellStyle name="Normal 5 5 3 7" xfId="4839" xr:uid="{00000000-0005-0000-0000-0000881B0000}"/>
    <cellStyle name="Normal 5 5 3 7 2" xfId="14165" xr:uid="{BB478741-6951-4C79-A44C-C57CF9209CE6}"/>
    <cellStyle name="Normal 5 5 3 8" xfId="9033" xr:uid="{08F77EF7-8D03-42D9-B538-FE3582C4B971}"/>
    <cellStyle name="Normal 5 5 3 8 2" xfId="18357" xr:uid="{23C8D5AB-49D0-4C4E-B6E5-C66AD3FB4642}"/>
    <cellStyle name="Normal 5 5 3 9" xfId="9948" xr:uid="{566E215D-908B-43ED-8475-2AE8186E6408}"/>
    <cellStyle name="Normal 5 5 4" xfId="938" xr:uid="{00000000-0005-0000-0000-0000891B0000}"/>
    <cellStyle name="Normal 5 5 4 2" xfId="3172" xr:uid="{00000000-0005-0000-0000-00008A1B0000}"/>
    <cellStyle name="Normal 5 5 4 2 2" xfId="7394" xr:uid="{00000000-0005-0000-0000-00008B1B0000}"/>
    <cellStyle name="Normal 5 5 4 2 2 2" xfId="16720" xr:uid="{B550FA69-821A-4B75-A780-14268FCBB92C}"/>
    <cellStyle name="Normal 5 5 4 2 3" xfId="12503" xr:uid="{357AA972-3DF6-4EB6-B750-FBD09C75C79F}"/>
    <cellStyle name="Normal 5 5 4 3" xfId="5249" xr:uid="{00000000-0005-0000-0000-00008C1B0000}"/>
    <cellStyle name="Normal 5 5 4 3 2" xfId="14575" xr:uid="{69903532-2B83-4927-85A3-AE30E79244AF}"/>
    <cellStyle name="Normal 5 5 4 4" xfId="9251" xr:uid="{4EAD9E35-D3C9-46BE-AE4D-29A1C6D5A6F7}"/>
    <cellStyle name="Normal 5 5 4 4 2" xfId="18566" xr:uid="{7B5ED2FA-73CB-424A-B38A-4E1B7EFA9A56}"/>
    <cellStyle name="Normal 5 5 4 5" xfId="10358" xr:uid="{6B868B05-E5E5-46F2-9F2D-307E06CA5171}"/>
    <cellStyle name="Normal 5 5 5" xfId="1355" xr:uid="{00000000-0005-0000-0000-00008D1B0000}"/>
    <cellStyle name="Normal 5 5 5 2" xfId="3585" xr:uid="{00000000-0005-0000-0000-00008E1B0000}"/>
    <cellStyle name="Normal 5 5 5 2 2" xfId="7807" xr:uid="{00000000-0005-0000-0000-00008F1B0000}"/>
    <cellStyle name="Normal 5 5 5 2 2 2" xfId="17133" xr:uid="{9B3BB7E0-50AA-4CC9-B4AD-C88355D72061}"/>
    <cellStyle name="Normal 5 5 5 2 3" xfId="12916" xr:uid="{3FAE2F74-2A98-4799-9F59-5E583787925A}"/>
    <cellStyle name="Normal 5 5 5 3" xfId="5662" xr:uid="{00000000-0005-0000-0000-0000901B0000}"/>
    <cellStyle name="Normal 5 5 5 3 2" xfId="14988" xr:uid="{8EA0D3B6-406A-4E64-B25A-4B5BB58363BE}"/>
    <cellStyle name="Normal 5 5 5 4" xfId="10771" xr:uid="{429E61E3-B8A8-4893-BAF1-2D681F96D227}"/>
    <cellStyle name="Normal 5 5 6" xfId="1768" xr:uid="{00000000-0005-0000-0000-0000911B0000}"/>
    <cellStyle name="Normal 5 5 6 2" xfId="3998" xr:uid="{00000000-0005-0000-0000-0000921B0000}"/>
    <cellStyle name="Normal 5 5 6 2 2" xfId="8220" xr:uid="{00000000-0005-0000-0000-0000931B0000}"/>
    <cellStyle name="Normal 5 5 6 2 2 2" xfId="17546" xr:uid="{8DAB8ECE-3509-48A7-97DA-ED84F7306885}"/>
    <cellStyle name="Normal 5 5 6 2 3" xfId="13329" xr:uid="{4E206FAA-D6DC-4554-AAAF-4450A839D5A2}"/>
    <cellStyle name="Normal 5 5 6 3" xfId="6075" xr:uid="{00000000-0005-0000-0000-0000941B0000}"/>
    <cellStyle name="Normal 5 5 6 3 2" xfId="15401" xr:uid="{6784244A-DD37-4667-B93E-7833F84C8F7A}"/>
    <cellStyle name="Normal 5 5 6 4" xfId="11184" xr:uid="{A5D626CE-9E1D-44D9-A6A5-56C3C8E81C95}"/>
    <cellStyle name="Normal 5 5 7" xfId="2182" xr:uid="{00000000-0005-0000-0000-0000951B0000}"/>
    <cellStyle name="Normal 5 5 7 2" xfId="4411" xr:uid="{00000000-0005-0000-0000-0000961B0000}"/>
    <cellStyle name="Normal 5 5 7 2 2" xfId="8633" xr:uid="{00000000-0005-0000-0000-0000971B0000}"/>
    <cellStyle name="Normal 5 5 7 2 2 2" xfId="17959" xr:uid="{9795914B-6624-404E-B813-DE6B7E671360}"/>
    <cellStyle name="Normal 5 5 7 2 3" xfId="13742" xr:uid="{222CE5D8-1077-4367-A911-ABDF44D9B01C}"/>
    <cellStyle name="Normal 5 5 7 3" xfId="6488" xr:uid="{00000000-0005-0000-0000-0000981B0000}"/>
    <cellStyle name="Normal 5 5 7 3 2" xfId="15814" xr:uid="{DE0AF9DA-4E62-4D43-A957-FA3CEB376752}"/>
    <cellStyle name="Normal 5 5 7 4" xfId="11597" xr:uid="{8CB7BBAD-5336-4034-9284-2A1D4E1AC8D0}"/>
    <cellStyle name="Normal 5 5 8" xfId="2618" xr:uid="{00000000-0005-0000-0000-0000991B0000}"/>
    <cellStyle name="Normal 5 5 8 2" xfId="6901" xr:uid="{00000000-0005-0000-0000-00009A1B0000}"/>
    <cellStyle name="Normal 5 5 8 2 2" xfId="16227" xr:uid="{8E8BD321-EA55-4F5E-9784-602B83D38513}"/>
    <cellStyle name="Normal 5 5 8 3" xfId="12010" xr:uid="{C72D4B24-8E39-47A3-BF8A-5C1CF6136F20}"/>
    <cellStyle name="Normal 5 5 9" xfId="4836" xr:uid="{00000000-0005-0000-0000-00009B1B0000}"/>
    <cellStyle name="Normal 5 5 9 2" xfId="14162" xr:uid="{CC723813-7A1A-4112-A422-352AC8BF6653}"/>
    <cellStyle name="Normal 5 6" xfId="468" xr:uid="{00000000-0005-0000-0000-00009C1B0000}"/>
    <cellStyle name="Normal 5 6 10" xfId="9949" xr:uid="{A0CD2B88-DC6E-4875-9A4E-10727027572C}"/>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6725" xr:uid="{BEABEAB6-9D85-4241-B5EA-2DEA07D9260D}"/>
    <cellStyle name="Normal 5 6 2 2 2 3" xfId="12508" xr:uid="{956C8BF7-52A8-41BC-AE5D-06E1E41399E7}"/>
    <cellStyle name="Normal 5 6 2 2 3" xfId="5254" xr:uid="{00000000-0005-0000-0000-0000A11B0000}"/>
    <cellStyle name="Normal 5 6 2 2 3 2" xfId="14580" xr:uid="{90B5AF6F-9802-417E-9492-3568C746458F}"/>
    <cellStyle name="Normal 5 6 2 2 4" xfId="9476" xr:uid="{3B3E6CA1-4D97-4B11-99D5-4F82314AA0E0}"/>
    <cellStyle name="Normal 5 6 2 2 4 2" xfId="18791" xr:uid="{1CDD2A61-AC30-43A2-B76E-81DFE5926BF6}"/>
    <cellStyle name="Normal 5 6 2 2 5" xfId="10363" xr:uid="{CCEFD6F6-C619-467D-8218-01F1381A79C4}"/>
    <cellStyle name="Normal 5 6 2 3" xfId="1360" xr:uid="{00000000-0005-0000-0000-0000A21B0000}"/>
    <cellStyle name="Normal 5 6 2 3 2" xfId="3590" xr:uid="{00000000-0005-0000-0000-0000A31B0000}"/>
    <cellStyle name="Normal 5 6 2 3 2 2" xfId="7812" xr:uid="{00000000-0005-0000-0000-0000A41B0000}"/>
    <cellStyle name="Normal 5 6 2 3 2 2 2" xfId="17138" xr:uid="{C14D6E36-6F14-4F34-AAB4-E258C3959DEA}"/>
    <cellStyle name="Normal 5 6 2 3 2 3" xfId="12921" xr:uid="{B6CCA515-D20E-48D4-84C7-E3DD99106859}"/>
    <cellStyle name="Normal 5 6 2 3 3" xfId="5667" xr:uid="{00000000-0005-0000-0000-0000A51B0000}"/>
    <cellStyle name="Normal 5 6 2 3 3 2" xfId="14993" xr:uid="{E24BAE73-DE28-4857-8C41-4F36E0107098}"/>
    <cellStyle name="Normal 5 6 2 3 4" xfId="10776" xr:uid="{2558176E-D51D-465C-8C35-6E1351075447}"/>
    <cellStyle name="Normal 5 6 2 4" xfId="1773" xr:uid="{00000000-0005-0000-0000-0000A61B0000}"/>
    <cellStyle name="Normal 5 6 2 4 2" xfId="4003" xr:uid="{00000000-0005-0000-0000-0000A71B0000}"/>
    <cellStyle name="Normal 5 6 2 4 2 2" xfId="8225" xr:uid="{00000000-0005-0000-0000-0000A81B0000}"/>
    <cellStyle name="Normal 5 6 2 4 2 2 2" xfId="17551" xr:uid="{C55EF9C0-C9AD-48FF-A3EB-2BA1CD8D82F0}"/>
    <cellStyle name="Normal 5 6 2 4 2 3" xfId="13334" xr:uid="{AB3E634B-E16E-4955-9E5B-405CA43A8FDC}"/>
    <cellStyle name="Normal 5 6 2 4 3" xfId="6080" xr:uid="{00000000-0005-0000-0000-0000A91B0000}"/>
    <cellStyle name="Normal 5 6 2 4 3 2" xfId="15406" xr:uid="{6BAFD162-D19C-4ADF-B0DB-48C07C192F2C}"/>
    <cellStyle name="Normal 5 6 2 4 4" xfId="11189" xr:uid="{CAE55846-C3BD-4AE8-817F-0A8B60A11838}"/>
    <cellStyle name="Normal 5 6 2 5" xfId="2187" xr:uid="{00000000-0005-0000-0000-0000AA1B0000}"/>
    <cellStyle name="Normal 5 6 2 5 2" xfId="4416" xr:uid="{00000000-0005-0000-0000-0000AB1B0000}"/>
    <cellStyle name="Normal 5 6 2 5 2 2" xfId="8638" xr:uid="{00000000-0005-0000-0000-0000AC1B0000}"/>
    <cellStyle name="Normal 5 6 2 5 2 2 2" xfId="17964" xr:uid="{B172DD76-894D-480E-9C2C-D114767EA2A2}"/>
    <cellStyle name="Normal 5 6 2 5 2 3" xfId="13747" xr:uid="{95F7E034-A1FB-455F-9025-1D9C86814BBD}"/>
    <cellStyle name="Normal 5 6 2 5 3" xfId="6493" xr:uid="{00000000-0005-0000-0000-0000AD1B0000}"/>
    <cellStyle name="Normal 5 6 2 5 3 2" xfId="15819" xr:uid="{4670571C-5C58-4A53-9134-7AE482304149}"/>
    <cellStyle name="Normal 5 6 2 5 4" xfId="11602" xr:uid="{3DB50E61-9A9C-4F0F-A3E7-6B0237AFD52E}"/>
    <cellStyle name="Normal 5 6 2 6" xfId="2623" xr:uid="{00000000-0005-0000-0000-0000AE1B0000}"/>
    <cellStyle name="Normal 5 6 2 6 2" xfId="6906" xr:uid="{00000000-0005-0000-0000-0000AF1B0000}"/>
    <cellStyle name="Normal 5 6 2 6 2 2" xfId="16232" xr:uid="{54114446-7152-4A0A-B972-F466A9C3C445}"/>
    <cellStyle name="Normal 5 6 2 6 3" xfId="12015" xr:uid="{37C8F3AD-5E72-4CAD-B1B7-E6A339B02A67}"/>
    <cellStyle name="Normal 5 6 2 7" xfId="4841" xr:uid="{00000000-0005-0000-0000-0000B01B0000}"/>
    <cellStyle name="Normal 5 6 2 7 2" xfId="14167" xr:uid="{EB97AD09-24ED-4EE2-A165-6DB35DE9BD30}"/>
    <cellStyle name="Normal 5 6 2 8" xfId="9051" xr:uid="{97C72229-9AC1-4DA9-8A0B-8B4B6D970DE8}"/>
    <cellStyle name="Normal 5 6 2 8 2" xfId="18375" xr:uid="{068AA050-18A8-4274-8896-BC16ADA42CE3}"/>
    <cellStyle name="Normal 5 6 2 9" xfId="9950" xr:uid="{54CCA8BF-9A7B-408E-AB36-4D460D96B56C}"/>
    <cellStyle name="Normal 5 6 3" xfId="942" xr:uid="{00000000-0005-0000-0000-0000B11B0000}"/>
    <cellStyle name="Normal 5 6 3 2" xfId="3176" xr:uid="{00000000-0005-0000-0000-0000B21B0000}"/>
    <cellStyle name="Normal 5 6 3 2 2" xfId="7398" xr:uid="{00000000-0005-0000-0000-0000B31B0000}"/>
    <cellStyle name="Normal 5 6 3 2 2 2" xfId="16724" xr:uid="{6CF277D0-6029-4303-BD45-C095CF2FE356}"/>
    <cellStyle name="Normal 5 6 3 2 3" xfId="12507" xr:uid="{B39A468C-DC4C-42BA-95E0-CE105C24CAC7}"/>
    <cellStyle name="Normal 5 6 3 3" xfId="5253" xr:uid="{00000000-0005-0000-0000-0000B41B0000}"/>
    <cellStyle name="Normal 5 6 3 3 2" xfId="14579" xr:uid="{046A6747-CDF3-4844-9FB6-251F8A8B25E3}"/>
    <cellStyle name="Normal 5 6 3 4" xfId="9269" xr:uid="{7D6728A0-C210-4F3F-8114-143B9AE0BFB4}"/>
    <cellStyle name="Normal 5 6 3 4 2" xfId="18584" xr:uid="{47D2921C-80A1-4BCD-AC88-8134BF8C8C69}"/>
    <cellStyle name="Normal 5 6 3 5" xfId="10362" xr:uid="{454BF933-D42B-4FA1-AD45-FA0BB1EC4DB7}"/>
    <cellStyle name="Normal 5 6 4" xfId="1359" xr:uid="{00000000-0005-0000-0000-0000B51B0000}"/>
    <cellStyle name="Normal 5 6 4 2" xfId="3589" xr:uid="{00000000-0005-0000-0000-0000B61B0000}"/>
    <cellStyle name="Normal 5 6 4 2 2" xfId="7811" xr:uid="{00000000-0005-0000-0000-0000B71B0000}"/>
    <cellStyle name="Normal 5 6 4 2 2 2" xfId="17137" xr:uid="{29AD3EF2-0893-4722-AB71-45467A19B7A2}"/>
    <cellStyle name="Normal 5 6 4 2 3" xfId="12920" xr:uid="{3FE6DF7E-061E-4926-BBE9-4B99BEC92A29}"/>
    <cellStyle name="Normal 5 6 4 3" xfId="5666" xr:uid="{00000000-0005-0000-0000-0000B81B0000}"/>
    <cellStyle name="Normal 5 6 4 3 2" xfId="14992" xr:uid="{02035C8B-63A4-4983-8535-624B99DD91CF}"/>
    <cellStyle name="Normal 5 6 4 4" xfId="10775" xr:uid="{419FFAC6-0DE4-44C3-BFC5-372EF2FBCCA1}"/>
    <cellStyle name="Normal 5 6 5" xfId="1772" xr:uid="{00000000-0005-0000-0000-0000B91B0000}"/>
    <cellStyle name="Normal 5 6 5 2" xfId="4002" xr:uid="{00000000-0005-0000-0000-0000BA1B0000}"/>
    <cellStyle name="Normal 5 6 5 2 2" xfId="8224" xr:uid="{00000000-0005-0000-0000-0000BB1B0000}"/>
    <cellStyle name="Normal 5 6 5 2 2 2" xfId="17550" xr:uid="{6F04B80C-95BC-481D-94F8-54959C3F2A34}"/>
    <cellStyle name="Normal 5 6 5 2 3" xfId="13333" xr:uid="{03D85867-1CC4-4A7A-8CB8-CB0A86D0FA34}"/>
    <cellStyle name="Normal 5 6 5 3" xfId="6079" xr:uid="{00000000-0005-0000-0000-0000BC1B0000}"/>
    <cellStyle name="Normal 5 6 5 3 2" xfId="15405" xr:uid="{EE15E075-DE80-4C1C-A4C7-09E45FE15938}"/>
    <cellStyle name="Normal 5 6 5 4" xfId="11188" xr:uid="{4FB0DF93-E374-421C-9914-727FE0D72DED}"/>
    <cellStyle name="Normal 5 6 6" xfId="2186" xr:uid="{00000000-0005-0000-0000-0000BD1B0000}"/>
    <cellStyle name="Normal 5 6 6 2" xfId="4415" xr:uid="{00000000-0005-0000-0000-0000BE1B0000}"/>
    <cellStyle name="Normal 5 6 6 2 2" xfId="8637" xr:uid="{00000000-0005-0000-0000-0000BF1B0000}"/>
    <cellStyle name="Normal 5 6 6 2 2 2" xfId="17963" xr:uid="{050FEC4E-651C-4381-860C-3BE344C73A05}"/>
    <cellStyle name="Normal 5 6 6 2 3" xfId="13746" xr:uid="{F952F031-D004-4B77-862C-B4E31A9D6746}"/>
    <cellStyle name="Normal 5 6 6 3" xfId="6492" xr:uid="{00000000-0005-0000-0000-0000C01B0000}"/>
    <cellStyle name="Normal 5 6 6 3 2" xfId="15818" xr:uid="{44083B35-7359-478C-A492-DBD686E2D736}"/>
    <cellStyle name="Normal 5 6 6 4" xfId="11601" xr:uid="{FA42DA2A-F7FC-4363-ACC0-D541B17B3CA9}"/>
    <cellStyle name="Normal 5 6 7" xfId="2622" xr:uid="{00000000-0005-0000-0000-0000C11B0000}"/>
    <cellStyle name="Normal 5 6 7 2" xfId="6905" xr:uid="{00000000-0005-0000-0000-0000C21B0000}"/>
    <cellStyle name="Normal 5 6 7 2 2" xfId="16231" xr:uid="{068ABBF1-2AD1-4A43-B5A1-1DA01D841B91}"/>
    <cellStyle name="Normal 5 6 7 3" xfId="12014" xr:uid="{3196907E-7D9F-4811-84BC-E49D5965670A}"/>
    <cellStyle name="Normal 5 6 8" xfId="4840" xr:uid="{00000000-0005-0000-0000-0000C31B0000}"/>
    <cellStyle name="Normal 5 6 8 2" xfId="14166" xr:uid="{81681B2B-9911-41CC-9B9D-8FA71F85B117}"/>
    <cellStyle name="Normal 5 6 9" xfId="8844" xr:uid="{91B947E4-8FF0-409F-B157-688724766D9F}"/>
    <cellStyle name="Normal 5 6 9 2" xfId="18168" xr:uid="{CC1E5233-19F8-4902-A057-11BD28998808}"/>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6726" xr:uid="{CD856208-147A-4B9F-B23E-65F289FEE3C3}"/>
    <cellStyle name="Normal 5 7 2 2 3" xfId="12509" xr:uid="{0DA8778D-CDF7-4426-98F5-7EBB54228BE7}"/>
    <cellStyle name="Normal 5 7 2 3" xfId="5255" xr:uid="{00000000-0005-0000-0000-0000C81B0000}"/>
    <cellStyle name="Normal 5 7 2 3 2" xfId="14581" xr:uid="{B384CE3F-D0E0-486A-810C-B242127B375B}"/>
    <cellStyle name="Normal 5 7 2 4" xfId="9385" xr:uid="{2E4A3B0A-2E42-41AC-9564-09D1598995A2}"/>
    <cellStyle name="Normal 5 7 2 4 2" xfId="18700" xr:uid="{B630EB78-43CF-4D37-84B1-3FB032342C45}"/>
    <cellStyle name="Normal 5 7 2 5" xfId="10364" xr:uid="{4A9CCAB9-CCCA-4655-A019-E1ABEB9A4C08}"/>
    <cellStyle name="Normal 5 7 3" xfId="1361" xr:uid="{00000000-0005-0000-0000-0000C91B0000}"/>
    <cellStyle name="Normal 5 7 3 2" xfId="3591" xr:uid="{00000000-0005-0000-0000-0000CA1B0000}"/>
    <cellStyle name="Normal 5 7 3 2 2" xfId="7813" xr:uid="{00000000-0005-0000-0000-0000CB1B0000}"/>
    <cellStyle name="Normal 5 7 3 2 2 2" xfId="17139" xr:uid="{8C3F3AE4-05F8-4B8A-8667-2FE9351A3423}"/>
    <cellStyle name="Normal 5 7 3 2 3" xfId="12922" xr:uid="{F8988AE1-05CA-4889-9F26-AC2D7E13154F}"/>
    <cellStyle name="Normal 5 7 3 3" xfId="5668" xr:uid="{00000000-0005-0000-0000-0000CC1B0000}"/>
    <cellStyle name="Normal 5 7 3 3 2" xfId="14994" xr:uid="{A5C27674-6B56-46CC-B04A-376DF4C5CFFC}"/>
    <cellStyle name="Normal 5 7 3 4" xfId="10777" xr:uid="{47C9CCB6-D16A-4501-A5EF-9177D6CE68DC}"/>
    <cellStyle name="Normal 5 7 4" xfId="1774" xr:uid="{00000000-0005-0000-0000-0000CD1B0000}"/>
    <cellStyle name="Normal 5 7 4 2" xfId="4004" xr:uid="{00000000-0005-0000-0000-0000CE1B0000}"/>
    <cellStyle name="Normal 5 7 4 2 2" xfId="8226" xr:uid="{00000000-0005-0000-0000-0000CF1B0000}"/>
    <cellStyle name="Normal 5 7 4 2 2 2" xfId="17552" xr:uid="{783B5B13-F9BF-4F85-82C8-AF3336C086C6}"/>
    <cellStyle name="Normal 5 7 4 2 3" xfId="13335" xr:uid="{90B25229-A155-4631-9313-AE03DB6F3494}"/>
    <cellStyle name="Normal 5 7 4 3" xfId="6081" xr:uid="{00000000-0005-0000-0000-0000D01B0000}"/>
    <cellStyle name="Normal 5 7 4 3 2" xfId="15407" xr:uid="{D5664F9E-3514-4051-9113-DA994E6F4082}"/>
    <cellStyle name="Normal 5 7 4 4" xfId="11190" xr:uid="{376FE771-DD1C-4595-A79F-6E3D9E3FB46F}"/>
    <cellStyle name="Normal 5 7 5" xfId="2188" xr:uid="{00000000-0005-0000-0000-0000D11B0000}"/>
    <cellStyle name="Normal 5 7 5 2" xfId="4417" xr:uid="{00000000-0005-0000-0000-0000D21B0000}"/>
    <cellStyle name="Normal 5 7 5 2 2" xfId="8639" xr:uid="{00000000-0005-0000-0000-0000D31B0000}"/>
    <cellStyle name="Normal 5 7 5 2 2 2" xfId="17965" xr:uid="{1677BCEF-D9DF-45AE-862C-3A0F807E8684}"/>
    <cellStyle name="Normal 5 7 5 2 3" xfId="13748" xr:uid="{BF655A78-B4C4-4E10-8224-9B97CDE355F1}"/>
    <cellStyle name="Normal 5 7 5 3" xfId="6494" xr:uid="{00000000-0005-0000-0000-0000D41B0000}"/>
    <cellStyle name="Normal 5 7 5 3 2" xfId="15820" xr:uid="{CDBF321B-C6CE-4BDB-9F5F-7C3B39CB4BC0}"/>
    <cellStyle name="Normal 5 7 5 4" xfId="11603" xr:uid="{DA3139D0-D442-47A0-AD29-40987B224D33}"/>
    <cellStyle name="Normal 5 7 6" xfId="2624" xr:uid="{00000000-0005-0000-0000-0000D51B0000}"/>
    <cellStyle name="Normal 5 7 6 2" xfId="6907" xr:uid="{00000000-0005-0000-0000-0000D61B0000}"/>
    <cellStyle name="Normal 5 7 6 2 2" xfId="16233" xr:uid="{2952D9D9-2BAC-4B59-B4E3-07A8FB0282B5}"/>
    <cellStyle name="Normal 5 7 6 3" xfId="12016" xr:uid="{313D117B-B371-4703-9C6B-34C5EEE1E4B1}"/>
    <cellStyle name="Normal 5 7 7" xfId="4842" xr:uid="{00000000-0005-0000-0000-0000D71B0000}"/>
    <cellStyle name="Normal 5 7 7 2" xfId="14168" xr:uid="{CD69510A-E99B-42CE-8E8D-9D756297D829}"/>
    <cellStyle name="Normal 5 7 8" xfId="8960" xr:uid="{F4BEC964-53C9-4393-B7F1-69B47FC1FF25}"/>
    <cellStyle name="Normal 5 7 8 2" xfId="18284" xr:uid="{6CF5595E-A748-480E-AC5D-BF13642FEA47}"/>
    <cellStyle name="Normal 5 7 9" xfId="9951" xr:uid="{6410CB14-5F98-456E-B4A8-8BAAC175E3C2}"/>
    <cellStyle name="Normal 5 8" xfId="880" xr:uid="{00000000-0005-0000-0000-0000D81B0000}"/>
    <cellStyle name="Normal 5 8 2" xfId="3115" xr:uid="{00000000-0005-0000-0000-0000D91B0000}"/>
    <cellStyle name="Normal 5 8 2 2" xfId="7337" xr:uid="{00000000-0005-0000-0000-0000DA1B0000}"/>
    <cellStyle name="Normal 5 8 2 2 2" xfId="16663" xr:uid="{71C07CA1-0053-45A1-BF01-0C86376CA08B}"/>
    <cellStyle name="Normal 5 8 2 3" xfId="12446" xr:uid="{A218D28A-85AD-485A-A2EE-2B929351072C}"/>
    <cellStyle name="Normal 5 8 3" xfId="5192" xr:uid="{00000000-0005-0000-0000-0000DB1B0000}"/>
    <cellStyle name="Normal 5 8 3 2" xfId="14518" xr:uid="{77B62908-8BF9-4EA5-AFA0-EEC4BCA4BC78}"/>
    <cellStyle name="Normal 5 8 4" xfId="9163" xr:uid="{44C7CAD4-DD7C-48E0-9142-8ED22123C662}"/>
    <cellStyle name="Normal 5 8 4 2" xfId="18481" xr:uid="{60B99BDD-9CD4-4924-BFC1-546C4DEE1C80}"/>
    <cellStyle name="Normal 5 8 5" xfId="10301" xr:uid="{8F2BD2A2-F0A9-4DB4-9242-33AF90B629A7}"/>
    <cellStyle name="Normal 5 9" xfId="1298" xr:uid="{00000000-0005-0000-0000-0000DC1B0000}"/>
    <cellStyle name="Normal 5 9 2" xfId="3528" xr:uid="{00000000-0005-0000-0000-0000DD1B0000}"/>
    <cellStyle name="Normal 5 9 2 2" xfId="7750" xr:uid="{00000000-0005-0000-0000-0000DE1B0000}"/>
    <cellStyle name="Normal 5 9 2 2 2" xfId="17076" xr:uid="{73E3D8AE-9A9C-4006-AD12-3E1403944D27}"/>
    <cellStyle name="Normal 5 9 2 3" xfId="12859" xr:uid="{7D247F36-441E-409B-8E6F-A8E60AC7B9AF}"/>
    <cellStyle name="Normal 5 9 3" xfId="5605" xr:uid="{00000000-0005-0000-0000-0000DF1B0000}"/>
    <cellStyle name="Normal 5 9 3 2" xfId="14931" xr:uid="{B9F3B3D8-CD97-4E4C-85D0-CDE06034BAF8}"/>
    <cellStyle name="Normal 5 9 4" xfId="10714" xr:uid="{93E134C9-05F9-4CD8-A27B-0B58B007F99D}"/>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66" xr:uid="{7A693A16-A3C6-419E-9A0A-76A9EE2A4C3F}"/>
    <cellStyle name="Normal 8 10 2 3" xfId="13749" xr:uid="{1D5E0347-E510-4611-B94A-B359578BBDD5}"/>
    <cellStyle name="Normal 8 10 3" xfId="6495" xr:uid="{00000000-0005-0000-0000-0000EB1B0000}"/>
    <cellStyle name="Normal 8 10 3 2" xfId="15821" xr:uid="{9DAA16FA-960F-4109-ADDD-0C4D59C34366}"/>
    <cellStyle name="Normal 8 10 4" xfId="11604" xr:uid="{CE568BCD-C47A-4E80-9202-AD52E040EDBD}"/>
    <cellStyle name="Normal 8 11" xfId="2625" xr:uid="{00000000-0005-0000-0000-0000EC1B0000}"/>
    <cellStyle name="Normal 8 11 2" xfId="6908" xr:uid="{00000000-0005-0000-0000-0000ED1B0000}"/>
    <cellStyle name="Normal 8 11 2 2" xfId="16234" xr:uid="{578022AF-821B-4F58-88BF-774A71B512EE}"/>
    <cellStyle name="Normal 8 11 3" xfId="12017" xr:uid="{F5046E4A-0331-49B2-A9EB-F9410671A906}"/>
    <cellStyle name="Normal 8 12" xfId="4843" xr:uid="{00000000-0005-0000-0000-0000EE1B0000}"/>
    <cellStyle name="Normal 8 12 2" xfId="14169" xr:uid="{C54E766D-1EF8-473D-B417-1E058F78FABF}"/>
    <cellStyle name="Normal 8 13" xfId="8742" xr:uid="{AF36CBBC-3EEB-4AC8-923B-65C7C2418AB0}"/>
    <cellStyle name="Normal 8 13 2" xfId="18066" xr:uid="{8A0CDFB9-E9FA-4981-8AEE-BAA39DD31330}"/>
    <cellStyle name="Normal 8 14" xfId="9952" xr:uid="{B33AF353-159D-4798-86EA-B6EEA832392B}"/>
    <cellStyle name="Normal 8 2" xfId="479" xr:uid="{00000000-0005-0000-0000-0000EF1B0000}"/>
    <cellStyle name="Normal 8 2 10" xfId="2626" xr:uid="{00000000-0005-0000-0000-0000F01B0000}"/>
    <cellStyle name="Normal 8 2 10 2" xfId="6909" xr:uid="{00000000-0005-0000-0000-0000F11B0000}"/>
    <cellStyle name="Normal 8 2 10 2 2" xfId="16235" xr:uid="{C5168061-A434-4229-87F3-4791416FE41E}"/>
    <cellStyle name="Normal 8 2 10 3" xfId="12018" xr:uid="{96229A9B-B442-4F2B-8EF7-76855BBC9A5D}"/>
    <cellStyle name="Normal 8 2 11" xfId="4844" xr:uid="{00000000-0005-0000-0000-0000F21B0000}"/>
    <cellStyle name="Normal 8 2 11 2" xfId="14170" xr:uid="{D71F90C0-8245-41EE-9ACE-D0EFFDC19C8E}"/>
    <cellStyle name="Normal 8 2 12" xfId="8751" xr:uid="{476D0553-3387-4D9F-B05B-56EC7A36F7A1}"/>
    <cellStyle name="Normal 8 2 12 2" xfId="18075" xr:uid="{D2135C36-4139-45C0-ACC2-FDF45D20E92F}"/>
    <cellStyle name="Normal 8 2 13" xfId="9953" xr:uid="{7567E96E-50AF-42C5-A669-5124D78DDF6A}"/>
    <cellStyle name="Normal 8 2 2" xfId="480" xr:uid="{00000000-0005-0000-0000-0000F31B0000}"/>
    <cellStyle name="Normal 8 2 2 10" xfId="4845" xr:uid="{00000000-0005-0000-0000-0000F41B0000}"/>
    <cellStyle name="Normal 8 2 2 10 2" xfId="14171" xr:uid="{8ACDF0FC-76EE-46C2-B205-81D9A4B53855}"/>
    <cellStyle name="Normal 8 2 2 11" xfId="8783" xr:uid="{3C426022-C415-47DA-A8EF-1D6CE72527BD}"/>
    <cellStyle name="Normal 8 2 2 11 2" xfId="18107" xr:uid="{3ACF56EE-F40A-4B8F-BD4C-26CC13D5B42A}"/>
    <cellStyle name="Normal 8 2 2 12" xfId="9954" xr:uid="{96DC215B-9BE5-4436-852F-D87BD23CEE82}"/>
    <cellStyle name="Normal 8 2 2 2" xfId="481" xr:uid="{00000000-0005-0000-0000-0000F51B0000}"/>
    <cellStyle name="Normal 8 2 2 2 10" xfId="8836" xr:uid="{870E50AF-610D-4E0C-BDE0-389D6B32A0FA}"/>
    <cellStyle name="Normal 8 2 2 2 10 2" xfId="18160" xr:uid="{9D3CFF04-AC43-4E5A-83C3-E55FB0ACC8AE}"/>
    <cellStyle name="Normal 8 2 2 2 11" xfId="9955" xr:uid="{695BAF92-7E0B-4D8A-B9DE-4487593677E7}"/>
    <cellStyle name="Normal 8 2 2 2 2" xfId="482" xr:uid="{00000000-0005-0000-0000-0000F61B0000}"/>
    <cellStyle name="Normal 8 2 2 2 2 10" xfId="9956" xr:uid="{52429408-B699-46C1-B6E8-2E6C77CB716B}"/>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732" xr:uid="{7FB92ED7-B0F8-4368-9AFD-5B27EFF32489}"/>
    <cellStyle name="Normal 8 2 2 2 2 2 2 2 3" xfId="12515" xr:uid="{97243A4B-B6CD-43DE-92B4-C13EB6B1E209}"/>
    <cellStyle name="Normal 8 2 2 2 2 2 2 3" xfId="5261" xr:uid="{00000000-0005-0000-0000-0000FB1B0000}"/>
    <cellStyle name="Normal 8 2 2 2 2 2 2 3 2" xfId="14587" xr:uid="{8BE813B9-D60F-4367-BA6F-81487884008C}"/>
    <cellStyle name="Normal 8 2 2 2 2 2 2 4" xfId="9571" xr:uid="{B467C179-FE08-45F9-B1E6-E66379D80EBC}"/>
    <cellStyle name="Normal 8 2 2 2 2 2 2 4 2" xfId="18886" xr:uid="{AFC1BB67-0CD6-4B6D-B8D2-7EBE22D6A7C0}"/>
    <cellStyle name="Normal 8 2 2 2 2 2 2 5" xfId="10370" xr:uid="{ACD1D970-F6D5-4B26-987A-A6866EA3419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45" xr:uid="{58FAB1EE-C1FC-4B8A-951B-188C8C4BD988}"/>
    <cellStyle name="Normal 8 2 2 2 2 2 3 2 3" xfId="12928" xr:uid="{8C5CCE81-6AA1-4624-A49E-BDA533A1BBC3}"/>
    <cellStyle name="Normal 8 2 2 2 2 2 3 3" xfId="5674" xr:uid="{00000000-0005-0000-0000-0000FF1B0000}"/>
    <cellStyle name="Normal 8 2 2 2 2 2 3 3 2" xfId="15000" xr:uid="{EC756D6B-532E-434D-B4DD-1EFE5CE5F4DA}"/>
    <cellStyle name="Normal 8 2 2 2 2 2 3 4" xfId="10783" xr:uid="{AF9C929C-E8EE-419E-820F-8A58FD7A7E93}"/>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58" xr:uid="{DF960FE5-5E38-450E-A88F-051CB8D66AD1}"/>
    <cellStyle name="Normal 8 2 2 2 2 2 4 2 3" xfId="13341" xr:uid="{CE094CFE-0F6C-45AE-8867-90E44E0E843F}"/>
    <cellStyle name="Normal 8 2 2 2 2 2 4 3" xfId="6087" xr:uid="{00000000-0005-0000-0000-0000031C0000}"/>
    <cellStyle name="Normal 8 2 2 2 2 2 4 3 2" xfId="15413" xr:uid="{F658F179-BFBF-4543-A5FC-7B025B3C3BBD}"/>
    <cellStyle name="Normal 8 2 2 2 2 2 4 4" xfId="11196" xr:uid="{8105B64E-BDB0-4898-B2CA-D92B95B00805}"/>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71" xr:uid="{F226C785-8F5C-4C06-8273-FD03D375FA49}"/>
    <cellStyle name="Normal 8 2 2 2 2 2 5 2 3" xfId="13754" xr:uid="{2C4D0991-A119-44FF-8789-324CF72C21EE}"/>
    <cellStyle name="Normal 8 2 2 2 2 2 5 3" xfId="6500" xr:uid="{00000000-0005-0000-0000-0000071C0000}"/>
    <cellStyle name="Normal 8 2 2 2 2 2 5 3 2" xfId="15826" xr:uid="{747C82C5-855E-4F66-B441-88492F2C6404}"/>
    <cellStyle name="Normal 8 2 2 2 2 2 5 4" xfId="11609" xr:uid="{F521108C-3B6B-4B52-9FFF-B3A08EAEE1B6}"/>
    <cellStyle name="Normal 8 2 2 2 2 2 6" xfId="2630" xr:uid="{00000000-0005-0000-0000-0000081C0000}"/>
    <cellStyle name="Normal 8 2 2 2 2 2 6 2" xfId="6913" xr:uid="{00000000-0005-0000-0000-0000091C0000}"/>
    <cellStyle name="Normal 8 2 2 2 2 2 6 2 2" xfId="16239" xr:uid="{B4D6F3CB-99BD-46BF-82E5-3E47543FA42B}"/>
    <cellStyle name="Normal 8 2 2 2 2 2 6 3" xfId="12022" xr:uid="{63EE6093-38A5-42B7-87A9-E07B1189CFE4}"/>
    <cellStyle name="Normal 8 2 2 2 2 2 7" xfId="4848" xr:uid="{00000000-0005-0000-0000-00000A1C0000}"/>
    <cellStyle name="Normal 8 2 2 2 2 2 7 2" xfId="14174" xr:uid="{8937E168-F909-46DB-87FF-C493196E0F55}"/>
    <cellStyle name="Normal 8 2 2 2 2 2 8" xfId="9146" xr:uid="{0E570703-055D-406D-8BD9-575AF6037A75}"/>
    <cellStyle name="Normal 8 2 2 2 2 2 8 2" xfId="18470" xr:uid="{88577C74-F4F7-48FD-821E-8BBBABF625D9}"/>
    <cellStyle name="Normal 8 2 2 2 2 2 9" xfId="9957" xr:uid="{114834A3-EECC-4D83-BBC6-8480381D9141}"/>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731" xr:uid="{60E90B68-7CC2-42DE-B792-ED0E97D3838D}"/>
    <cellStyle name="Normal 8 2 2 2 2 3 2 3" xfId="12514" xr:uid="{D7E3FB96-8997-4A4E-A1B8-FDF3C9190FF7}"/>
    <cellStyle name="Normal 8 2 2 2 2 3 3" xfId="5260" xr:uid="{00000000-0005-0000-0000-00000E1C0000}"/>
    <cellStyle name="Normal 8 2 2 2 2 3 3 2" xfId="14586" xr:uid="{E881F39A-F9F9-47F7-9E98-95BA070295BC}"/>
    <cellStyle name="Normal 8 2 2 2 2 3 4" xfId="9364" xr:uid="{21426B7C-FC96-483C-B560-AC4767107497}"/>
    <cellStyle name="Normal 8 2 2 2 2 3 4 2" xfId="18679" xr:uid="{8F59CFE3-E8EF-4C2B-BAE9-F348A912C447}"/>
    <cellStyle name="Normal 8 2 2 2 2 3 5" xfId="10369" xr:uid="{ACC2A8A9-B12D-4144-9E09-42B10CDD0435}"/>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44" xr:uid="{D912A945-4E49-4BC1-B7E2-161FB54B9366}"/>
    <cellStyle name="Normal 8 2 2 2 2 4 2 3" xfId="12927" xr:uid="{84D8E0A8-CE20-4761-96B6-B1B42C1E9B61}"/>
    <cellStyle name="Normal 8 2 2 2 2 4 3" xfId="5673" xr:uid="{00000000-0005-0000-0000-0000121C0000}"/>
    <cellStyle name="Normal 8 2 2 2 2 4 3 2" xfId="14999" xr:uid="{64C40D2C-7F38-4E6D-94DC-5A900B5A1399}"/>
    <cellStyle name="Normal 8 2 2 2 2 4 4" xfId="10782" xr:uid="{8BCEDDA0-1648-43C1-AC43-2B136069094A}"/>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57" xr:uid="{DA8C368F-AD42-4579-B34E-43F8D8F14CD1}"/>
    <cellStyle name="Normal 8 2 2 2 2 5 2 3" xfId="13340" xr:uid="{4A56931B-BC96-4489-BC51-FD88AC8C339E}"/>
    <cellStyle name="Normal 8 2 2 2 2 5 3" xfId="6086" xr:uid="{00000000-0005-0000-0000-0000161C0000}"/>
    <cellStyle name="Normal 8 2 2 2 2 5 3 2" xfId="15412" xr:uid="{D6338A08-61B2-4514-A66B-ABEF58D4EE91}"/>
    <cellStyle name="Normal 8 2 2 2 2 5 4" xfId="11195" xr:uid="{4BB902DC-F5A9-49B7-A6A1-B03C397AE7C7}"/>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70" xr:uid="{F08FE80F-5419-4B33-BD4B-70C962EEF5A9}"/>
    <cellStyle name="Normal 8 2 2 2 2 6 2 3" xfId="13753" xr:uid="{E19FA4FD-C985-4A79-B68D-7D0CE857708D}"/>
    <cellStyle name="Normal 8 2 2 2 2 6 3" xfId="6499" xr:uid="{00000000-0005-0000-0000-00001A1C0000}"/>
    <cellStyle name="Normal 8 2 2 2 2 6 3 2" xfId="15825" xr:uid="{F24758ED-E337-4EE3-BD11-DE06757D0F92}"/>
    <cellStyle name="Normal 8 2 2 2 2 6 4" xfId="11608" xr:uid="{F793A166-3A96-4A2E-908C-32D5CB7D7762}"/>
    <cellStyle name="Normal 8 2 2 2 2 7" xfId="2629" xr:uid="{00000000-0005-0000-0000-00001B1C0000}"/>
    <cellStyle name="Normal 8 2 2 2 2 7 2" xfId="6912" xr:uid="{00000000-0005-0000-0000-00001C1C0000}"/>
    <cellStyle name="Normal 8 2 2 2 2 7 2 2" xfId="16238" xr:uid="{67548689-EF03-4D12-B039-C8FEA28C38D6}"/>
    <cellStyle name="Normal 8 2 2 2 2 7 3" xfId="12021" xr:uid="{D09C70ED-96A6-4C6B-8ACF-7D75503F5489}"/>
    <cellStyle name="Normal 8 2 2 2 2 8" xfId="4847" xr:uid="{00000000-0005-0000-0000-00001D1C0000}"/>
    <cellStyle name="Normal 8 2 2 2 2 8 2" xfId="14173" xr:uid="{C78CE889-BEE8-4CDB-A715-05ACBC201F77}"/>
    <cellStyle name="Normal 8 2 2 2 2 9" xfId="8939" xr:uid="{385BAC75-25D1-414A-8E33-9B6DCCA130DE}"/>
    <cellStyle name="Normal 8 2 2 2 2 9 2" xfId="18263" xr:uid="{5E5DA5C7-0B5D-4C11-93DD-F08EFFD2C928}"/>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733" xr:uid="{325D139A-8624-4149-A4FD-4A9120E89A4D}"/>
    <cellStyle name="Normal 8 2 2 2 3 2 2 3" xfId="12516" xr:uid="{5071C841-52F8-4A6F-B47B-8854A2C9DBDB}"/>
    <cellStyle name="Normal 8 2 2 2 3 2 3" xfId="5262" xr:uid="{00000000-0005-0000-0000-0000221C0000}"/>
    <cellStyle name="Normal 8 2 2 2 3 2 3 2" xfId="14588" xr:uid="{A2A72BBC-7502-4F9C-B2A3-4DFB8AF6D9DA}"/>
    <cellStyle name="Normal 8 2 2 2 3 2 4" xfId="9468" xr:uid="{8CC4AD0E-72B4-4935-8967-B171D7B5EF8D}"/>
    <cellStyle name="Normal 8 2 2 2 3 2 4 2" xfId="18783" xr:uid="{32894B05-FFAF-4A27-A2A8-6805C71AB3A9}"/>
    <cellStyle name="Normal 8 2 2 2 3 2 5" xfId="10371" xr:uid="{B6BE729A-D6BA-4EE8-A956-E1C2D455AF86}"/>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46" xr:uid="{4F2645A6-364B-45C8-B37E-7C1F342E5DD3}"/>
    <cellStyle name="Normal 8 2 2 2 3 3 2 3" xfId="12929" xr:uid="{A34EB2F8-F3F3-443B-BF83-765ABE535A92}"/>
    <cellStyle name="Normal 8 2 2 2 3 3 3" xfId="5675" xr:uid="{00000000-0005-0000-0000-0000261C0000}"/>
    <cellStyle name="Normal 8 2 2 2 3 3 3 2" xfId="15001" xr:uid="{32B859C3-381D-4D9F-AA70-0B354E2E0EFE}"/>
    <cellStyle name="Normal 8 2 2 2 3 3 4" xfId="10784" xr:uid="{86E0F794-0DED-4063-92BA-1A59D78E02CC}"/>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59" xr:uid="{2757355A-0978-457A-B039-4DB71B3CEE4A}"/>
    <cellStyle name="Normal 8 2 2 2 3 4 2 3" xfId="13342" xr:uid="{F3FB6F7C-B845-4E1A-ABD2-9AD28C405A10}"/>
    <cellStyle name="Normal 8 2 2 2 3 4 3" xfId="6088" xr:uid="{00000000-0005-0000-0000-00002A1C0000}"/>
    <cellStyle name="Normal 8 2 2 2 3 4 3 2" xfId="15414" xr:uid="{63A44F7C-71AA-4721-B8A7-17B67BF504EC}"/>
    <cellStyle name="Normal 8 2 2 2 3 4 4" xfId="11197" xr:uid="{F2DEA42E-892D-4FD5-B3B7-160B1D39ACDF}"/>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72" xr:uid="{55282F5B-9A13-43FB-A75E-C901B8E6712A}"/>
    <cellStyle name="Normal 8 2 2 2 3 5 2 3" xfId="13755" xr:uid="{174A8657-4704-4001-B774-E828C7AE57CD}"/>
    <cellStyle name="Normal 8 2 2 2 3 5 3" xfId="6501" xr:uid="{00000000-0005-0000-0000-00002E1C0000}"/>
    <cellStyle name="Normal 8 2 2 2 3 5 3 2" xfId="15827" xr:uid="{E8CC7019-6DBE-4241-9B46-872125A4D980}"/>
    <cellStyle name="Normal 8 2 2 2 3 5 4" xfId="11610" xr:uid="{83D6B987-F5B7-4C8F-8C9E-0DD1BD1CAD80}"/>
    <cellStyle name="Normal 8 2 2 2 3 6" xfId="2631" xr:uid="{00000000-0005-0000-0000-00002F1C0000}"/>
    <cellStyle name="Normal 8 2 2 2 3 6 2" xfId="6914" xr:uid="{00000000-0005-0000-0000-0000301C0000}"/>
    <cellStyle name="Normal 8 2 2 2 3 6 2 2" xfId="16240" xr:uid="{4C03C04A-6D80-4666-A6A3-15BAEA7EC82A}"/>
    <cellStyle name="Normal 8 2 2 2 3 6 3" xfId="12023" xr:uid="{5F3179D5-895D-4639-939D-3797AAECDDAB}"/>
    <cellStyle name="Normal 8 2 2 2 3 7" xfId="4849" xr:uid="{00000000-0005-0000-0000-0000311C0000}"/>
    <cellStyle name="Normal 8 2 2 2 3 7 2" xfId="14175" xr:uid="{A22D8763-EB31-4181-BD9C-B9130269AE9A}"/>
    <cellStyle name="Normal 8 2 2 2 3 8" xfId="9043" xr:uid="{BAC463DF-40A7-4F07-ADD3-7274E57F505C}"/>
    <cellStyle name="Normal 8 2 2 2 3 8 2" xfId="18367" xr:uid="{E3011F9E-EF09-4AB2-AF2D-5AA613C66DD3}"/>
    <cellStyle name="Normal 8 2 2 2 3 9" xfId="9958" xr:uid="{D0E9E91E-3C11-483E-8E63-46AB36965A1D}"/>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730" xr:uid="{4A1ABC44-CD6A-4B1E-99F3-2E90C61A6C03}"/>
    <cellStyle name="Normal 8 2 2 2 4 2 3" xfId="12513" xr:uid="{2E44C732-3D4C-479E-BEDB-D6C94861CE2F}"/>
    <cellStyle name="Normal 8 2 2 2 4 3" xfId="5259" xr:uid="{00000000-0005-0000-0000-0000351C0000}"/>
    <cellStyle name="Normal 8 2 2 2 4 3 2" xfId="14585" xr:uid="{12257E1B-416C-428B-8B2B-39923F9D5F5D}"/>
    <cellStyle name="Normal 8 2 2 2 4 4" xfId="9261" xr:uid="{70C29865-A6DE-4682-9EB1-83E4E07FD0A7}"/>
    <cellStyle name="Normal 8 2 2 2 4 4 2" xfId="18576" xr:uid="{8ED000FD-DF01-435D-9ABC-1D082035F242}"/>
    <cellStyle name="Normal 8 2 2 2 4 5" xfId="10368" xr:uid="{D47304C2-1D60-4671-9FAB-09D7C1D55D01}"/>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143" xr:uid="{AB844D3E-54D5-469F-94CD-6DE9A2FFD7BC}"/>
    <cellStyle name="Normal 8 2 2 2 5 2 3" xfId="12926" xr:uid="{726A146D-998A-4943-BA4D-4C4CF31CCA83}"/>
    <cellStyle name="Normal 8 2 2 2 5 3" xfId="5672" xr:uid="{00000000-0005-0000-0000-0000391C0000}"/>
    <cellStyle name="Normal 8 2 2 2 5 3 2" xfId="14998" xr:uid="{78B58F2C-70DF-4C1B-AE9F-D888C082A472}"/>
    <cellStyle name="Normal 8 2 2 2 5 4" xfId="10781" xr:uid="{24AB111E-6E9A-4FA2-9423-6453B4C4BAA4}"/>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56" xr:uid="{C92E24A9-153D-4087-9E4B-6433D47E7483}"/>
    <cellStyle name="Normal 8 2 2 2 6 2 3" xfId="13339" xr:uid="{E605DA8D-6D68-4F2C-9F2C-FEBDB8FFE7A1}"/>
    <cellStyle name="Normal 8 2 2 2 6 3" xfId="6085" xr:uid="{00000000-0005-0000-0000-00003D1C0000}"/>
    <cellStyle name="Normal 8 2 2 2 6 3 2" xfId="15411" xr:uid="{8822CEBD-DD35-4A7F-AA9B-7308694CBDF1}"/>
    <cellStyle name="Normal 8 2 2 2 6 4" xfId="11194" xr:uid="{FA534B55-E64F-4E24-85D4-9F40DC767DF3}"/>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69" xr:uid="{3286AE6B-EE9B-49C7-AB65-37D60CDBB4EA}"/>
    <cellStyle name="Normal 8 2 2 2 7 2 3" xfId="13752" xr:uid="{CDD76567-0AC3-46C7-A265-5D9CF0C2DD19}"/>
    <cellStyle name="Normal 8 2 2 2 7 3" xfId="6498" xr:uid="{00000000-0005-0000-0000-0000411C0000}"/>
    <cellStyle name="Normal 8 2 2 2 7 3 2" xfId="15824" xr:uid="{F1A2D2FD-F460-41B9-AA38-DB1B57172B71}"/>
    <cellStyle name="Normal 8 2 2 2 7 4" xfId="11607" xr:uid="{D15ABD34-456A-4FF0-8CDE-DA0F4336D3FC}"/>
    <cellStyle name="Normal 8 2 2 2 8" xfId="2628" xr:uid="{00000000-0005-0000-0000-0000421C0000}"/>
    <cellStyle name="Normal 8 2 2 2 8 2" xfId="6911" xr:uid="{00000000-0005-0000-0000-0000431C0000}"/>
    <cellStyle name="Normal 8 2 2 2 8 2 2" xfId="16237" xr:uid="{28547455-0FB6-41C9-8A7B-DCCE49D68E22}"/>
    <cellStyle name="Normal 8 2 2 2 8 3" xfId="12020" xr:uid="{8458DE79-AF6F-424D-8DFB-E78B92D1D686}"/>
    <cellStyle name="Normal 8 2 2 2 9" xfId="4846" xr:uid="{00000000-0005-0000-0000-0000441C0000}"/>
    <cellStyle name="Normal 8 2 2 2 9 2" xfId="14172" xr:uid="{9EB03DD7-9D6B-45A3-8433-36FE4B4DD61A}"/>
    <cellStyle name="Normal 8 2 2 3" xfId="485" xr:uid="{00000000-0005-0000-0000-0000451C0000}"/>
    <cellStyle name="Normal 8 2 2 3 10" xfId="9959" xr:uid="{31CDC200-BFC0-4968-851D-1C2C825772F4}"/>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735" xr:uid="{F8579078-E681-4DFC-BE04-2568C2A8E853}"/>
    <cellStyle name="Normal 8 2 2 3 2 2 2 3" xfId="12518" xr:uid="{29144267-1D34-48A5-A3F5-ADABA269FB8A}"/>
    <cellStyle name="Normal 8 2 2 3 2 2 3" xfId="5264" xr:uid="{00000000-0005-0000-0000-00004A1C0000}"/>
    <cellStyle name="Normal 8 2 2 3 2 2 3 2" xfId="14590" xr:uid="{7B374D71-5EFA-42E3-B0C2-D64739C6259E}"/>
    <cellStyle name="Normal 8 2 2 3 2 2 4" xfId="9518" xr:uid="{FDE93D5E-A6D1-456B-8726-FC2AB8FD16A4}"/>
    <cellStyle name="Normal 8 2 2 3 2 2 4 2" xfId="18833" xr:uid="{DACFF654-B8A4-4BAC-BA43-0A2AF03D2AB4}"/>
    <cellStyle name="Normal 8 2 2 3 2 2 5" xfId="10373" xr:uid="{779671DD-12F8-4F37-BCB2-3CF9DF3E1F4C}"/>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48" xr:uid="{7A610312-54D3-4141-AFE3-54594FA613DB}"/>
    <cellStyle name="Normal 8 2 2 3 2 3 2 3" xfId="12931" xr:uid="{53EA0E22-3193-488F-A29A-BE4C71985688}"/>
    <cellStyle name="Normal 8 2 2 3 2 3 3" xfId="5677" xr:uid="{00000000-0005-0000-0000-00004E1C0000}"/>
    <cellStyle name="Normal 8 2 2 3 2 3 3 2" xfId="15003" xr:uid="{6742A385-DDCF-4BCA-A3C6-A5A729282832}"/>
    <cellStyle name="Normal 8 2 2 3 2 3 4" xfId="10786" xr:uid="{F703B5E8-1C60-46F5-816E-6E054585E8BF}"/>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61" xr:uid="{FE9E4D26-89A3-426D-8A25-F5BA1A5CEAE5}"/>
    <cellStyle name="Normal 8 2 2 3 2 4 2 3" xfId="13344" xr:uid="{9D2C14C6-39BC-44FE-B986-1E3B54FF29D2}"/>
    <cellStyle name="Normal 8 2 2 3 2 4 3" xfId="6090" xr:uid="{00000000-0005-0000-0000-0000521C0000}"/>
    <cellStyle name="Normal 8 2 2 3 2 4 3 2" xfId="15416" xr:uid="{DCC0F2C9-3ACE-4CA4-B221-BB86C5C23159}"/>
    <cellStyle name="Normal 8 2 2 3 2 4 4" xfId="11199" xr:uid="{A6F08A29-410C-45A2-AF39-11B2377B7923}"/>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74" xr:uid="{6E48A355-69E2-41BA-912D-54B6AD07C807}"/>
    <cellStyle name="Normal 8 2 2 3 2 5 2 3" xfId="13757" xr:uid="{F335E762-E7F9-4481-ABA2-2ADEF5D86BD5}"/>
    <cellStyle name="Normal 8 2 2 3 2 5 3" xfId="6503" xr:uid="{00000000-0005-0000-0000-0000561C0000}"/>
    <cellStyle name="Normal 8 2 2 3 2 5 3 2" xfId="15829" xr:uid="{C41E1FBC-2AE9-454E-AFDF-0D0DB1AC1DD0}"/>
    <cellStyle name="Normal 8 2 2 3 2 5 4" xfId="11612" xr:uid="{1739C65D-9570-43A5-87EB-0F97137EA90B}"/>
    <cellStyle name="Normal 8 2 2 3 2 6" xfId="2633" xr:uid="{00000000-0005-0000-0000-0000571C0000}"/>
    <cellStyle name="Normal 8 2 2 3 2 6 2" xfId="6916" xr:uid="{00000000-0005-0000-0000-0000581C0000}"/>
    <cellStyle name="Normal 8 2 2 3 2 6 2 2" xfId="16242" xr:uid="{C08D7A12-D30C-4D70-89DD-DF55621AE13A}"/>
    <cellStyle name="Normal 8 2 2 3 2 6 3" xfId="12025" xr:uid="{656B22BD-F634-4A1C-AD3F-6924F0D3AB17}"/>
    <cellStyle name="Normal 8 2 2 3 2 7" xfId="4851" xr:uid="{00000000-0005-0000-0000-0000591C0000}"/>
    <cellStyle name="Normal 8 2 2 3 2 7 2" xfId="14177" xr:uid="{662DF0E5-B3A1-4C83-BEB2-65725F115D67}"/>
    <cellStyle name="Normal 8 2 2 3 2 8" xfId="9093" xr:uid="{ADE34C72-BCCB-477C-B66A-BE7159CEB281}"/>
    <cellStyle name="Normal 8 2 2 3 2 8 2" xfId="18417" xr:uid="{7349E147-FFDC-4BB5-958D-9A0379A9FAFB}"/>
    <cellStyle name="Normal 8 2 2 3 2 9" xfId="9960" xr:uid="{85F24098-A9F0-4CC5-8A26-282DCF807FE6}"/>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734" xr:uid="{5A4AC647-1A05-4325-961F-A9DC7305F18B}"/>
    <cellStyle name="Normal 8 2 2 3 3 2 3" xfId="12517" xr:uid="{49FB33AD-F4AA-4E77-AF27-38F937B93137}"/>
    <cellStyle name="Normal 8 2 2 3 3 3" xfId="5263" xr:uid="{00000000-0005-0000-0000-00005D1C0000}"/>
    <cellStyle name="Normal 8 2 2 3 3 3 2" xfId="14589" xr:uid="{C6B037DD-05FE-4912-865D-89109E087531}"/>
    <cellStyle name="Normal 8 2 2 3 3 4" xfId="9311" xr:uid="{F4618F1E-1235-4269-B5C6-B09BE5034F6C}"/>
    <cellStyle name="Normal 8 2 2 3 3 4 2" xfId="18626" xr:uid="{90E755E3-55AC-4507-A717-C01E2ECF283B}"/>
    <cellStyle name="Normal 8 2 2 3 3 5" xfId="10372" xr:uid="{14059BB8-AA5B-4893-A3A3-B95FBAE10671}"/>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47" xr:uid="{F71D10D2-AEE3-433B-AAE1-5EC4A8B8E0DF}"/>
    <cellStyle name="Normal 8 2 2 3 4 2 3" xfId="12930" xr:uid="{43C10E91-98E1-4C61-AEBE-613DF8255B6A}"/>
    <cellStyle name="Normal 8 2 2 3 4 3" xfId="5676" xr:uid="{00000000-0005-0000-0000-0000611C0000}"/>
    <cellStyle name="Normal 8 2 2 3 4 3 2" xfId="15002" xr:uid="{E04642B9-AE4D-417D-8C33-AFC2794DF9C7}"/>
    <cellStyle name="Normal 8 2 2 3 4 4" xfId="10785" xr:uid="{810DEFF5-1A75-4271-9413-82719165AB8A}"/>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60" xr:uid="{FD9A9F66-1169-41ED-92D5-FE7FEB1477E4}"/>
    <cellStyle name="Normal 8 2 2 3 5 2 3" xfId="13343" xr:uid="{A5777F6B-55E4-4FC3-9B9C-F7B4383852FB}"/>
    <cellStyle name="Normal 8 2 2 3 5 3" xfId="6089" xr:uid="{00000000-0005-0000-0000-0000651C0000}"/>
    <cellStyle name="Normal 8 2 2 3 5 3 2" xfId="15415" xr:uid="{D49E71EC-A962-4067-BCA5-AB975B6543EE}"/>
    <cellStyle name="Normal 8 2 2 3 5 4" xfId="11198" xr:uid="{4F91391D-6EF0-412D-9172-F81A286D39CC}"/>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73" xr:uid="{FC36C413-AE61-4B9B-92A6-921A483B4881}"/>
    <cellStyle name="Normal 8 2 2 3 6 2 3" xfId="13756" xr:uid="{ED74FF13-256C-467A-8B47-F70D754A889F}"/>
    <cellStyle name="Normal 8 2 2 3 6 3" xfId="6502" xr:uid="{00000000-0005-0000-0000-0000691C0000}"/>
    <cellStyle name="Normal 8 2 2 3 6 3 2" xfId="15828" xr:uid="{606CFDBC-8F18-4FA5-9C9D-F04A248821AA}"/>
    <cellStyle name="Normal 8 2 2 3 6 4" xfId="11611" xr:uid="{CB4CE0F2-DEFB-4E09-B4FA-33A5ED5E63AF}"/>
    <cellStyle name="Normal 8 2 2 3 7" xfId="2632" xr:uid="{00000000-0005-0000-0000-00006A1C0000}"/>
    <cellStyle name="Normal 8 2 2 3 7 2" xfId="6915" xr:uid="{00000000-0005-0000-0000-00006B1C0000}"/>
    <cellStyle name="Normal 8 2 2 3 7 2 2" xfId="16241" xr:uid="{3A181CD7-FCE3-486E-9F6B-2BE451E4520A}"/>
    <cellStyle name="Normal 8 2 2 3 7 3" xfId="12024" xr:uid="{8F3A7132-4D4C-4481-851F-7E2F6C6908D1}"/>
    <cellStyle name="Normal 8 2 2 3 8" xfId="4850" xr:uid="{00000000-0005-0000-0000-00006C1C0000}"/>
    <cellStyle name="Normal 8 2 2 3 8 2" xfId="14176" xr:uid="{6BB770C6-7396-45E5-9DDD-A21F869E2B0C}"/>
    <cellStyle name="Normal 8 2 2 3 9" xfId="8886" xr:uid="{B2A45ACA-2377-4A40-A818-E7106AD46E30}"/>
    <cellStyle name="Normal 8 2 2 3 9 2" xfId="18210" xr:uid="{839AFD49-8933-4843-BA27-28E613EE8571}"/>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736" xr:uid="{B9E2A713-7958-4011-AF03-1AE908ABF647}"/>
    <cellStyle name="Normal 8 2 2 4 2 2 3" xfId="12519" xr:uid="{AAD48339-FDC2-41C4-AFC1-53028AE0A533}"/>
    <cellStyle name="Normal 8 2 2 4 2 3" xfId="5265" xr:uid="{00000000-0005-0000-0000-0000711C0000}"/>
    <cellStyle name="Normal 8 2 2 4 2 3 2" xfId="14591" xr:uid="{779582B7-71DA-4E53-A97B-CF6D90246EFA}"/>
    <cellStyle name="Normal 8 2 2 4 2 4" xfId="9415" xr:uid="{88D7FF95-DEA9-4369-BE01-487FC7B2B7E8}"/>
    <cellStyle name="Normal 8 2 2 4 2 4 2" xfId="18730" xr:uid="{214F4D63-2885-4FAE-9A87-D90EF9DA3410}"/>
    <cellStyle name="Normal 8 2 2 4 2 5" xfId="10374" xr:uid="{0FBB98CB-9F0E-460A-8BB4-7F4237CFD38A}"/>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49" xr:uid="{A0F34677-21DF-4CB2-8DF0-CFCDCD5B2387}"/>
    <cellStyle name="Normal 8 2 2 4 3 2 3" xfId="12932" xr:uid="{C793A392-6192-4397-8DA3-F673F7D0CF73}"/>
    <cellStyle name="Normal 8 2 2 4 3 3" xfId="5678" xr:uid="{00000000-0005-0000-0000-0000751C0000}"/>
    <cellStyle name="Normal 8 2 2 4 3 3 2" xfId="15004" xr:uid="{BA7BBC34-BDC0-41FC-8DB2-26F6E9A0B553}"/>
    <cellStyle name="Normal 8 2 2 4 3 4" xfId="10787" xr:uid="{C26138E5-2893-4716-A883-DDCF37B7446F}"/>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62" xr:uid="{41420883-0B92-4B18-9F1F-1A58D889E05C}"/>
    <cellStyle name="Normal 8 2 2 4 4 2 3" xfId="13345" xr:uid="{3DE51521-8D34-4963-87DB-391F4023788E}"/>
    <cellStyle name="Normal 8 2 2 4 4 3" xfId="6091" xr:uid="{00000000-0005-0000-0000-0000791C0000}"/>
    <cellStyle name="Normal 8 2 2 4 4 3 2" xfId="15417" xr:uid="{0126564F-3854-432B-8089-0432E8CA353E}"/>
    <cellStyle name="Normal 8 2 2 4 4 4" xfId="11200" xr:uid="{5F9C2735-AA39-407E-B090-0BFBDB737EEA}"/>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75" xr:uid="{903630ED-3E4F-4CF6-9B49-E4CCDAE131D5}"/>
    <cellStyle name="Normal 8 2 2 4 5 2 3" xfId="13758" xr:uid="{09BA87B7-2BBF-401F-A155-DAACD4CC7957}"/>
    <cellStyle name="Normal 8 2 2 4 5 3" xfId="6504" xr:uid="{00000000-0005-0000-0000-00007D1C0000}"/>
    <cellStyle name="Normal 8 2 2 4 5 3 2" xfId="15830" xr:uid="{AC96ADD3-D149-4C90-8505-B083CD1CF715}"/>
    <cellStyle name="Normal 8 2 2 4 5 4" xfId="11613" xr:uid="{9B9B5175-EF3E-405F-BA00-D64C33D6A723}"/>
    <cellStyle name="Normal 8 2 2 4 6" xfId="2634" xr:uid="{00000000-0005-0000-0000-00007E1C0000}"/>
    <cellStyle name="Normal 8 2 2 4 6 2" xfId="6917" xr:uid="{00000000-0005-0000-0000-00007F1C0000}"/>
    <cellStyle name="Normal 8 2 2 4 6 2 2" xfId="16243" xr:uid="{8C19F223-E5C4-45F7-9DC3-75F6EB817857}"/>
    <cellStyle name="Normal 8 2 2 4 6 3" xfId="12026" xr:uid="{EB13BB82-10AC-487B-84F1-78891AE88AF4}"/>
    <cellStyle name="Normal 8 2 2 4 7" xfId="4852" xr:uid="{00000000-0005-0000-0000-0000801C0000}"/>
    <cellStyle name="Normal 8 2 2 4 7 2" xfId="14178" xr:uid="{B554755A-2DD6-412A-9553-F8C50D622274}"/>
    <cellStyle name="Normal 8 2 2 4 8" xfId="8990" xr:uid="{F08D85C9-EB04-4227-BEA0-1B51DDB63DFA}"/>
    <cellStyle name="Normal 8 2 2 4 8 2" xfId="18314" xr:uid="{5C6B5A5A-EEAF-4EC0-B7B8-9B030C1961FB}"/>
    <cellStyle name="Normal 8 2 2 4 9" xfId="9961" xr:uid="{993366FA-1D13-4213-BA60-6A7580389F7B}"/>
    <cellStyle name="Normal 8 2 2 5" xfId="947" xr:uid="{00000000-0005-0000-0000-0000811C0000}"/>
    <cellStyle name="Normal 8 2 2 5 2" xfId="3181" xr:uid="{00000000-0005-0000-0000-0000821C0000}"/>
    <cellStyle name="Normal 8 2 2 5 2 2" xfId="7403" xr:uid="{00000000-0005-0000-0000-0000831C0000}"/>
    <cellStyle name="Normal 8 2 2 5 2 2 2" xfId="16729" xr:uid="{8F87A51F-37E0-4709-B8C7-C72B1957BC07}"/>
    <cellStyle name="Normal 8 2 2 5 2 3" xfId="12512" xr:uid="{AFD7DB64-AF4C-4094-BB01-87C276FC841B}"/>
    <cellStyle name="Normal 8 2 2 5 3" xfId="5258" xr:uid="{00000000-0005-0000-0000-0000841C0000}"/>
    <cellStyle name="Normal 8 2 2 5 3 2" xfId="14584" xr:uid="{2006886E-CCF1-448C-AAEC-1AB33273C877}"/>
    <cellStyle name="Normal 8 2 2 5 4" xfId="9207" xr:uid="{D4CDC4D2-5794-400F-B850-1B259D26C1FE}"/>
    <cellStyle name="Normal 8 2 2 5 4 2" xfId="18523" xr:uid="{AD4EC4AD-9745-426E-BB8E-655F30C00EEC}"/>
    <cellStyle name="Normal 8 2 2 5 5" xfId="10367" xr:uid="{78F14098-F582-4096-9A06-BA6DCA91DA04}"/>
    <cellStyle name="Normal 8 2 2 6" xfId="1364" xr:uid="{00000000-0005-0000-0000-0000851C0000}"/>
    <cellStyle name="Normal 8 2 2 6 2" xfId="3594" xr:uid="{00000000-0005-0000-0000-0000861C0000}"/>
    <cellStyle name="Normal 8 2 2 6 2 2" xfId="7816" xr:uid="{00000000-0005-0000-0000-0000871C0000}"/>
    <cellStyle name="Normal 8 2 2 6 2 2 2" xfId="17142" xr:uid="{78708FF9-E20A-4C0C-9A2C-01D765F010C9}"/>
    <cellStyle name="Normal 8 2 2 6 2 3" xfId="12925" xr:uid="{3B96A403-75A3-4959-88C8-D9C3F5FF7CE1}"/>
    <cellStyle name="Normal 8 2 2 6 3" xfId="5671" xr:uid="{00000000-0005-0000-0000-0000881C0000}"/>
    <cellStyle name="Normal 8 2 2 6 3 2" xfId="14997" xr:uid="{3FE9241E-856B-435C-AC85-EB7F377F714C}"/>
    <cellStyle name="Normal 8 2 2 6 4" xfId="10780" xr:uid="{215F99B2-9534-4106-8979-74B53B3EB427}"/>
    <cellStyle name="Normal 8 2 2 7" xfId="1777" xr:uid="{00000000-0005-0000-0000-0000891C0000}"/>
    <cellStyle name="Normal 8 2 2 7 2" xfId="4007" xr:uid="{00000000-0005-0000-0000-00008A1C0000}"/>
    <cellStyle name="Normal 8 2 2 7 2 2" xfId="8229" xr:uid="{00000000-0005-0000-0000-00008B1C0000}"/>
    <cellStyle name="Normal 8 2 2 7 2 2 2" xfId="17555" xr:uid="{29EB0DE7-7CDE-4B14-A9BD-997A6E668DEC}"/>
    <cellStyle name="Normal 8 2 2 7 2 3" xfId="13338" xr:uid="{6BAB3C92-4153-4558-A15A-D49D6FB6DAC1}"/>
    <cellStyle name="Normal 8 2 2 7 3" xfId="6084" xr:uid="{00000000-0005-0000-0000-00008C1C0000}"/>
    <cellStyle name="Normal 8 2 2 7 3 2" xfId="15410" xr:uid="{ECC29E3B-B069-404D-AD5B-3F27039DB0C5}"/>
    <cellStyle name="Normal 8 2 2 7 4" xfId="11193" xr:uid="{A851BD8C-0799-44DF-8954-431604E11ABB}"/>
    <cellStyle name="Normal 8 2 2 8" xfId="2191" xr:uid="{00000000-0005-0000-0000-00008D1C0000}"/>
    <cellStyle name="Normal 8 2 2 8 2" xfId="4420" xr:uid="{00000000-0005-0000-0000-00008E1C0000}"/>
    <cellStyle name="Normal 8 2 2 8 2 2" xfId="8642" xr:uid="{00000000-0005-0000-0000-00008F1C0000}"/>
    <cellStyle name="Normal 8 2 2 8 2 2 2" xfId="17968" xr:uid="{A1FFDABE-A2B6-4AAA-A4C4-653FCD7E8417}"/>
    <cellStyle name="Normal 8 2 2 8 2 3" xfId="13751" xr:uid="{F8ADC7E7-76B6-4103-B4D8-4DC2B0A21EF8}"/>
    <cellStyle name="Normal 8 2 2 8 3" xfId="6497" xr:uid="{00000000-0005-0000-0000-0000901C0000}"/>
    <cellStyle name="Normal 8 2 2 8 3 2" xfId="15823" xr:uid="{7E7873B3-BA67-4DAC-BE91-7A0C8C52F579}"/>
    <cellStyle name="Normal 8 2 2 8 4" xfId="11606" xr:uid="{CCA59E0B-01EE-479C-A670-6D9CC3AC5361}"/>
    <cellStyle name="Normal 8 2 2 9" xfId="2627" xr:uid="{00000000-0005-0000-0000-0000911C0000}"/>
    <cellStyle name="Normal 8 2 2 9 2" xfId="6910" xr:uid="{00000000-0005-0000-0000-0000921C0000}"/>
    <cellStyle name="Normal 8 2 2 9 2 2" xfId="16236" xr:uid="{23A0B53D-92A6-45E1-A64E-8945C06A0C2D}"/>
    <cellStyle name="Normal 8 2 2 9 3" xfId="12019" xr:uid="{65A2DA24-AA03-4904-9BDF-18385069BD7A}"/>
    <cellStyle name="Normal 8 2 3" xfId="488" xr:uid="{00000000-0005-0000-0000-0000931C0000}"/>
    <cellStyle name="Normal 8 2 3 10" xfId="8835" xr:uid="{2F0FB8B3-D08B-41EB-93AB-2D83A1BD6036}"/>
    <cellStyle name="Normal 8 2 3 10 2" xfId="18159" xr:uid="{F81AC68B-FE89-47EA-B5C8-71F8454AD813}"/>
    <cellStyle name="Normal 8 2 3 11" xfId="9962" xr:uid="{C988BDC4-339C-41F0-A9F2-3037FBB24EFC}"/>
    <cellStyle name="Normal 8 2 3 2" xfId="489" xr:uid="{00000000-0005-0000-0000-0000941C0000}"/>
    <cellStyle name="Normal 8 2 3 2 10" xfId="9963" xr:uid="{1687FBFB-4588-46B5-9501-410AF04DB41E}"/>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739" xr:uid="{6658E5BA-2FCE-4B45-B6D8-3BDA3B077497}"/>
    <cellStyle name="Normal 8 2 3 2 2 2 2 3" xfId="12522" xr:uid="{A87E56B0-D2D7-49D6-B635-F62A2CEB2769}"/>
    <cellStyle name="Normal 8 2 3 2 2 2 3" xfId="5268" xr:uid="{00000000-0005-0000-0000-0000991C0000}"/>
    <cellStyle name="Normal 8 2 3 2 2 2 3 2" xfId="14594" xr:uid="{0EFB7A61-B986-45BF-AB8E-2025B9CF2FFE}"/>
    <cellStyle name="Normal 8 2 3 2 2 2 4" xfId="9570" xr:uid="{BA9732E0-D9E4-47DB-882D-D871A821FA55}"/>
    <cellStyle name="Normal 8 2 3 2 2 2 4 2" xfId="18885" xr:uid="{EB18E8A2-9ADF-471E-8F36-9417F07EC946}"/>
    <cellStyle name="Normal 8 2 3 2 2 2 5" xfId="10377" xr:uid="{8A1467FA-10BD-4DCD-8AF0-AB63461C3221}"/>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52" xr:uid="{FD118533-661E-450F-BF44-819612068859}"/>
    <cellStyle name="Normal 8 2 3 2 2 3 2 3" xfId="12935" xr:uid="{069D457E-0882-4657-81AE-C064E3A042CE}"/>
    <cellStyle name="Normal 8 2 3 2 2 3 3" xfId="5681" xr:uid="{00000000-0005-0000-0000-00009D1C0000}"/>
    <cellStyle name="Normal 8 2 3 2 2 3 3 2" xfId="15007" xr:uid="{9349A51F-B826-4EAF-8053-0F79869FFEB3}"/>
    <cellStyle name="Normal 8 2 3 2 2 3 4" xfId="10790" xr:uid="{8C415671-C321-4A67-B2AE-CA7CBC6694DC}"/>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65" xr:uid="{6377BF40-5167-4A24-B812-513C95633DD4}"/>
    <cellStyle name="Normal 8 2 3 2 2 4 2 3" xfId="13348" xr:uid="{6021BD72-6993-4720-A858-1CBA7266DE07}"/>
    <cellStyle name="Normal 8 2 3 2 2 4 3" xfId="6094" xr:uid="{00000000-0005-0000-0000-0000A11C0000}"/>
    <cellStyle name="Normal 8 2 3 2 2 4 3 2" xfId="15420" xr:uid="{3D589B80-67E2-4C70-84CE-9F6E9BA71974}"/>
    <cellStyle name="Normal 8 2 3 2 2 4 4" xfId="11203" xr:uid="{59993549-AB9F-4293-8664-87D3661FA5BA}"/>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78" xr:uid="{C044E726-F826-48A8-B10A-814C1E530014}"/>
    <cellStyle name="Normal 8 2 3 2 2 5 2 3" xfId="13761" xr:uid="{DD1EDA1C-FE2A-408D-AAAD-3FEDAA8BDAB8}"/>
    <cellStyle name="Normal 8 2 3 2 2 5 3" xfId="6507" xr:uid="{00000000-0005-0000-0000-0000A51C0000}"/>
    <cellStyle name="Normal 8 2 3 2 2 5 3 2" xfId="15833" xr:uid="{7105A4E1-BA14-43C3-96FA-83BBAB6104AF}"/>
    <cellStyle name="Normal 8 2 3 2 2 5 4" xfId="11616" xr:uid="{009B2BE8-033C-473A-9179-36C7BAA967A7}"/>
    <cellStyle name="Normal 8 2 3 2 2 6" xfId="2637" xr:uid="{00000000-0005-0000-0000-0000A61C0000}"/>
    <cellStyle name="Normal 8 2 3 2 2 6 2" xfId="6920" xr:uid="{00000000-0005-0000-0000-0000A71C0000}"/>
    <cellStyle name="Normal 8 2 3 2 2 6 2 2" xfId="16246" xr:uid="{A081C4E0-B6F5-4C2B-A3BE-A735FBE6F686}"/>
    <cellStyle name="Normal 8 2 3 2 2 6 3" xfId="12029" xr:uid="{39D415E7-F1E5-48F3-ACB5-9200FD01229E}"/>
    <cellStyle name="Normal 8 2 3 2 2 7" xfId="4855" xr:uid="{00000000-0005-0000-0000-0000A81C0000}"/>
    <cellStyle name="Normal 8 2 3 2 2 7 2" xfId="14181" xr:uid="{10E05AB0-D2C2-4138-8A29-B8852F5126E1}"/>
    <cellStyle name="Normal 8 2 3 2 2 8" xfId="9145" xr:uid="{C71E6005-187D-4837-92B4-619AF06B3A3B}"/>
    <cellStyle name="Normal 8 2 3 2 2 8 2" xfId="18469" xr:uid="{06BA0303-F92A-446A-8B68-C79A6897B7AE}"/>
    <cellStyle name="Normal 8 2 3 2 2 9" xfId="9964" xr:uid="{E65FACF9-577E-478B-9F60-0A69DE381BAB}"/>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738" xr:uid="{FAE25E4E-F8CE-4CC9-95BC-A680A00EF2AA}"/>
    <cellStyle name="Normal 8 2 3 2 3 2 3" xfId="12521" xr:uid="{7D66DF5D-AE4A-473E-9503-530AA3E50B70}"/>
    <cellStyle name="Normal 8 2 3 2 3 3" xfId="5267" xr:uid="{00000000-0005-0000-0000-0000AC1C0000}"/>
    <cellStyle name="Normal 8 2 3 2 3 3 2" xfId="14593" xr:uid="{6B706DC0-7F0E-4982-BE2B-DFD41CDA5442}"/>
    <cellStyle name="Normal 8 2 3 2 3 4" xfId="9363" xr:uid="{C94C6C98-A8BC-4AC9-B084-0D2219E89AA8}"/>
    <cellStyle name="Normal 8 2 3 2 3 4 2" xfId="18678" xr:uid="{A8103902-E37F-4E73-8833-DC1FC812EE46}"/>
    <cellStyle name="Normal 8 2 3 2 3 5" xfId="10376" xr:uid="{06ADBE2E-3A79-493A-8B18-48269B14DBC9}"/>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51" xr:uid="{A36C998F-51E8-480F-B668-3D6711E5BECD}"/>
    <cellStyle name="Normal 8 2 3 2 4 2 3" xfId="12934" xr:uid="{C579D51D-DE57-4818-BE2E-0E84D9D2F14A}"/>
    <cellStyle name="Normal 8 2 3 2 4 3" xfId="5680" xr:uid="{00000000-0005-0000-0000-0000B01C0000}"/>
    <cellStyle name="Normal 8 2 3 2 4 3 2" xfId="15006" xr:uid="{ACD40299-9AD8-417E-BF27-1F2739985B74}"/>
    <cellStyle name="Normal 8 2 3 2 4 4" xfId="10789" xr:uid="{B0E4CA9A-ACFA-4187-81AF-0DADE58DDB41}"/>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64" xr:uid="{B95EEAAA-D38A-4DE7-A621-8E7F0B4552EB}"/>
    <cellStyle name="Normal 8 2 3 2 5 2 3" xfId="13347" xr:uid="{02812474-F377-4826-96C2-BA021A194A2B}"/>
    <cellStyle name="Normal 8 2 3 2 5 3" xfId="6093" xr:uid="{00000000-0005-0000-0000-0000B41C0000}"/>
    <cellStyle name="Normal 8 2 3 2 5 3 2" xfId="15419" xr:uid="{AA7D18E8-F0E6-46FD-B93F-7C09D82C77CD}"/>
    <cellStyle name="Normal 8 2 3 2 5 4" xfId="11202" xr:uid="{A5BBDB01-5B92-4590-A020-017D16E6A42F}"/>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77" xr:uid="{BDCE35D3-6F8B-4EC8-94E3-4265602AB16A}"/>
    <cellStyle name="Normal 8 2 3 2 6 2 3" xfId="13760" xr:uid="{8F0D1566-3C48-48D6-989C-4A4442DD1C9A}"/>
    <cellStyle name="Normal 8 2 3 2 6 3" xfId="6506" xr:uid="{00000000-0005-0000-0000-0000B81C0000}"/>
    <cellStyle name="Normal 8 2 3 2 6 3 2" xfId="15832" xr:uid="{E27B545F-0854-47C9-9F70-AEA2ABC6F0FE}"/>
    <cellStyle name="Normal 8 2 3 2 6 4" xfId="11615" xr:uid="{F98A2FD6-2D3E-40D9-BF37-BD100FA98541}"/>
    <cellStyle name="Normal 8 2 3 2 7" xfId="2636" xr:uid="{00000000-0005-0000-0000-0000B91C0000}"/>
    <cellStyle name="Normal 8 2 3 2 7 2" xfId="6919" xr:uid="{00000000-0005-0000-0000-0000BA1C0000}"/>
    <cellStyle name="Normal 8 2 3 2 7 2 2" xfId="16245" xr:uid="{170F8A47-1CCF-4E2B-AB3B-83B4FDEBE69C}"/>
    <cellStyle name="Normal 8 2 3 2 7 3" xfId="12028" xr:uid="{41F6F0F6-D29C-4F36-A424-10D822EAA80D}"/>
    <cellStyle name="Normal 8 2 3 2 8" xfId="4854" xr:uid="{00000000-0005-0000-0000-0000BB1C0000}"/>
    <cellStyle name="Normal 8 2 3 2 8 2" xfId="14180" xr:uid="{7CBE213E-F98A-46DF-8F0A-787D5D1D2AD1}"/>
    <cellStyle name="Normal 8 2 3 2 9" xfId="8938" xr:uid="{1EAF77CE-4DC3-40DC-AA9D-31320D478EE9}"/>
    <cellStyle name="Normal 8 2 3 2 9 2" xfId="18262" xr:uid="{9DDC55DE-52A9-4B87-891D-13D1CE63856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740" xr:uid="{9FBAA438-CBA0-4D74-AE54-9DFB590E9CBD}"/>
    <cellStyle name="Normal 8 2 3 3 2 2 3" xfId="12523" xr:uid="{9CE2117D-0A4C-455E-A5D3-2F0F207BCE18}"/>
    <cellStyle name="Normal 8 2 3 3 2 3" xfId="5269" xr:uid="{00000000-0005-0000-0000-0000C01C0000}"/>
    <cellStyle name="Normal 8 2 3 3 2 3 2" xfId="14595" xr:uid="{0B069A1A-A635-4B14-BE3C-D3454455DC1C}"/>
    <cellStyle name="Normal 8 2 3 3 2 4" xfId="9467" xr:uid="{C16001D7-8508-4511-808F-E990F8EA0FE3}"/>
    <cellStyle name="Normal 8 2 3 3 2 4 2" xfId="18782" xr:uid="{A49730CE-4293-47BB-9255-4930380B140F}"/>
    <cellStyle name="Normal 8 2 3 3 2 5" xfId="10378" xr:uid="{49A0FE25-981E-40AE-A6CF-AFA2E17B079C}"/>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53" xr:uid="{FA65A5DD-500D-44F2-AE20-C51981B49D5D}"/>
    <cellStyle name="Normal 8 2 3 3 3 2 3" xfId="12936" xr:uid="{8CBBE37F-157A-499F-91EB-285607C65A54}"/>
    <cellStyle name="Normal 8 2 3 3 3 3" xfId="5682" xr:uid="{00000000-0005-0000-0000-0000C41C0000}"/>
    <cellStyle name="Normal 8 2 3 3 3 3 2" xfId="15008" xr:uid="{15D987A3-D51D-4EAC-BC74-573E70BD0116}"/>
    <cellStyle name="Normal 8 2 3 3 3 4" xfId="10791" xr:uid="{73314DA6-1148-4E6F-9FAE-104D77CE7994}"/>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66" xr:uid="{A75C0A0D-38D7-4086-9EDB-8F69D6141A40}"/>
    <cellStyle name="Normal 8 2 3 3 4 2 3" xfId="13349" xr:uid="{685BF8C1-32B5-473E-84B1-8796ECEE12B5}"/>
    <cellStyle name="Normal 8 2 3 3 4 3" xfId="6095" xr:uid="{00000000-0005-0000-0000-0000C81C0000}"/>
    <cellStyle name="Normal 8 2 3 3 4 3 2" xfId="15421" xr:uid="{77B63243-1CBC-429A-957D-1FE1FF68576D}"/>
    <cellStyle name="Normal 8 2 3 3 4 4" xfId="11204" xr:uid="{1CB7D4EE-2385-439A-84B4-67D782EFA621}"/>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79" xr:uid="{60F8E6B3-4B53-4939-A6D0-B57255E3DBB8}"/>
    <cellStyle name="Normal 8 2 3 3 5 2 3" xfId="13762" xr:uid="{23CF254F-6802-41C2-BF1B-5D0CEFE772D9}"/>
    <cellStyle name="Normal 8 2 3 3 5 3" xfId="6508" xr:uid="{00000000-0005-0000-0000-0000CC1C0000}"/>
    <cellStyle name="Normal 8 2 3 3 5 3 2" xfId="15834" xr:uid="{9E507C87-1161-4C42-8391-2F9DFA4626DD}"/>
    <cellStyle name="Normal 8 2 3 3 5 4" xfId="11617" xr:uid="{E6A23522-D546-4045-8E7F-779C0D9ABB6C}"/>
    <cellStyle name="Normal 8 2 3 3 6" xfId="2638" xr:uid="{00000000-0005-0000-0000-0000CD1C0000}"/>
    <cellStyle name="Normal 8 2 3 3 6 2" xfId="6921" xr:uid="{00000000-0005-0000-0000-0000CE1C0000}"/>
    <cellStyle name="Normal 8 2 3 3 6 2 2" xfId="16247" xr:uid="{E7752EBE-AD81-4C39-94AD-66642E7FDD92}"/>
    <cellStyle name="Normal 8 2 3 3 6 3" xfId="12030" xr:uid="{163C12EF-D16A-4446-BF57-F301A642C5B3}"/>
    <cellStyle name="Normal 8 2 3 3 7" xfId="4856" xr:uid="{00000000-0005-0000-0000-0000CF1C0000}"/>
    <cellStyle name="Normal 8 2 3 3 7 2" xfId="14182" xr:uid="{914B700C-F1AB-4569-B159-AE3969DE47BA}"/>
    <cellStyle name="Normal 8 2 3 3 8" xfId="9042" xr:uid="{D820ED39-BAB1-48C1-A68D-2017E247E432}"/>
    <cellStyle name="Normal 8 2 3 3 8 2" xfId="18366" xr:uid="{B5270C07-0B1B-45B3-A5C2-AE5E09F0B71F}"/>
    <cellStyle name="Normal 8 2 3 3 9" xfId="9965" xr:uid="{F6DC42C0-6479-457A-92CA-20D2B3217134}"/>
    <cellStyle name="Normal 8 2 3 4" xfId="955" xr:uid="{00000000-0005-0000-0000-0000D01C0000}"/>
    <cellStyle name="Normal 8 2 3 4 2" xfId="3189" xr:uid="{00000000-0005-0000-0000-0000D11C0000}"/>
    <cellStyle name="Normal 8 2 3 4 2 2" xfId="7411" xr:uid="{00000000-0005-0000-0000-0000D21C0000}"/>
    <cellStyle name="Normal 8 2 3 4 2 2 2" xfId="16737" xr:uid="{DE88E4B5-5AD0-4EF3-B1CA-705CDDA6FAE8}"/>
    <cellStyle name="Normal 8 2 3 4 2 3" xfId="12520" xr:uid="{D82815E4-58E1-4CE8-AEED-A3E638EAFFCF}"/>
    <cellStyle name="Normal 8 2 3 4 3" xfId="5266" xr:uid="{00000000-0005-0000-0000-0000D31C0000}"/>
    <cellStyle name="Normal 8 2 3 4 3 2" xfId="14592" xr:uid="{A90DD84F-4CA1-4659-8A0C-EAD4E7ECE541}"/>
    <cellStyle name="Normal 8 2 3 4 4" xfId="9260" xr:uid="{70FF5A16-C89A-42B7-A603-E23A7C2F443C}"/>
    <cellStyle name="Normal 8 2 3 4 4 2" xfId="18575" xr:uid="{53EF6CAB-2741-44EE-8B07-30B213DAC2C5}"/>
    <cellStyle name="Normal 8 2 3 4 5" xfId="10375" xr:uid="{78821BE9-5491-4937-8F75-50C01465E96E}"/>
    <cellStyle name="Normal 8 2 3 5" xfId="1372" xr:uid="{00000000-0005-0000-0000-0000D41C0000}"/>
    <cellStyle name="Normal 8 2 3 5 2" xfId="3602" xr:uid="{00000000-0005-0000-0000-0000D51C0000}"/>
    <cellStyle name="Normal 8 2 3 5 2 2" xfId="7824" xr:uid="{00000000-0005-0000-0000-0000D61C0000}"/>
    <cellStyle name="Normal 8 2 3 5 2 2 2" xfId="17150" xr:uid="{9907A2FB-5E3B-4AED-91B7-E8EC05F94362}"/>
    <cellStyle name="Normal 8 2 3 5 2 3" xfId="12933" xr:uid="{D599EA81-FBC7-498C-AC11-147C17B42C95}"/>
    <cellStyle name="Normal 8 2 3 5 3" xfId="5679" xr:uid="{00000000-0005-0000-0000-0000D71C0000}"/>
    <cellStyle name="Normal 8 2 3 5 3 2" xfId="15005" xr:uid="{958CF83D-3B34-4BDC-B287-3BD8EBFF7373}"/>
    <cellStyle name="Normal 8 2 3 5 4" xfId="10788" xr:uid="{9009F0DE-949B-4AB3-AD82-0B6ADECB8E91}"/>
    <cellStyle name="Normal 8 2 3 6" xfId="1785" xr:uid="{00000000-0005-0000-0000-0000D81C0000}"/>
    <cellStyle name="Normal 8 2 3 6 2" xfId="4015" xr:uid="{00000000-0005-0000-0000-0000D91C0000}"/>
    <cellStyle name="Normal 8 2 3 6 2 2" xfId="8237" xr:uid="{00000000-0005-0000-0000-0000DA1C0000}"/>
    <cellStyle name="Normal 8 2 3 6 2 2 2" xfId="17563" xr:uid="{BA9F7844-5657-4955-8597-B798E6852702}"/>
    <cellStyle name="Normal 8 2 3 6 2 3" xfId="13346" xr:uid="{D62A7045-6A28-431A-9893-6D55D7585E75}"/>
    <cellStyle name="Normal 8 2 3 6 3" xfId="6092" xr:uid="{00000000-0005-0000-0000-0000DB1C0000}"/>
    <cellStyle name="Normal 8 2 3 6 3 2" xfId="15418" xr:uid="{221BCFBF-9C53-452D-AE89-7051C1E1715A}"/>
    <cellStyle name="Normal 8 2 3 6 4" xfId="11201" xr:uid="{BA4C0DB8-E077-4B1D-8F34-A86A80485E17}"/>
    <cellStyle name="Normal 8 2 3 7" xfId="2199" xr:uid="{00000000-0005-0000-0000-0000DC1C0000}"/>
    <cellStyle name="Normal 8 2 3 7 2" xfId="4428" xr:uid="{00000000-0005-0000-0000-0000DD1C0000}"/>
    <cellStyle name="Normal 8 2 3 7 2 2" xfId="8650" xr:uid="{00000000-0005-0000-0000-0000DE1C0000}"/>
    <cellStyle name="Normal 8 2 3 7 2 2 2" xfId="17976" xr:uid="{CA7365EB-4256-4595-84E0-937743120232}"/>
    <cellStyle name="Normal 8 2 3 7 2 3" xfId="13759" xr:uid="{C9DAF132-5F5E-4181-9075-682653700028}"/>
    <cellStyle name="Normal 8 2 3 7 3" xfId="6505" xr:uid="{00000000-0005-0000-0000-0000DF1C0000}"/>
    <cellStyle name="Normal 8 2 3 7 3 2" xfId="15831" xr:uid="{FE2321D7-D948-4DAD-86B5-DBF886BFD998}"/>
    <cellStyle name="Normal 8 2 3 7 4" xfId="11614" xr:uid="{D9F6A36C-70FE-4C43-8D53-2ED55D5ACC97}"/>
    <cellStyle name="Normal 8 2 3 8" xfId="2635" xr:uid="{00000000-0005-0000-0000-0000E01C0000}"/>
    <cellStyle name="Normal 8 2 3 8 2" xfId="6918" xr:uid="{00000000-0005-0000-0000-0000E11C0000}"/>
    <cellStyle name="Normal 8 2 3 8 2 2" xfId="16244" xr:uid="{E57FF346-F12A-4747-8488-4968BD25DFB3}"/>
    <cellStyle name="Normal 8 2 3 8 3" xfId="12027" xr:uid="{C13A1F1C-7EB3-4FD1-9A0B-A4DE26B3EB73}"/>
    <cellStyle name="Normal 8 2 3 9" xfId="4853" xr:uid="{00000000-0005-0000-0000-0000E21C0000}"/>
    <cellStyle name="Normal 8 2 3 9 2" xfId="14179" xr:uid="{72C49149-9288-4F06-A572-7811E5FC857E}"/>
    <cellStyle name="Normal 8 2 4" xfId="492" xr:uid="{00000000-0005-0000-0000-0000E31C0000}"/>
    <cellStyle name="Normal 8 2 4 10" xfId="9966" xr:uid="{A9049E63-1BF0-492B-BF43-115BD033873A}"/>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742" xr:uid="{70A93396-C28D-4D39-8F40-EB4F341B48F0}"/>
    <cellStyle name="Normal 8 2 4 2 2 2 3" xfId="12525" xr:uid="{99109625-FB60-4D80-BBD9-491B60122867}"/>
    <cellStyle name="Normal 8 2 4 2 2 3" xfId="5271" xr:uid="{00000000-0005-0000-0000-0000E81C0000}"/>
    <cellStyle name="Normal 8 2 4 2 2 3 2" xfId="14597" xr:uid="{70138D84-E236-4D39-A44E-F846B1B3CB30}"/>
    <cellStyle name="Normal 8 2 4 2 2 4" xfId="9486" xr:uid="{9F6EBE4C-F02F-43A6-A388-D5EACB1B3099}"/>
    <cellStyle name="Normal 8 2 4 2 2 4 2" xfId="18801" xr:uid="{F0300CF1-9E21-4008-BFA6-7EE99855E0C9}"/>
    <cellStyle name="Normal 8 2 4 2 2 5" xfId="10380" xr:uid="{8CED84FB-9065-4562-B4B8-47DCA157A31C}"/>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55" xr:uid="{1F13235D-2A12-4909-AA35-10C1940187F3}"/>
    <cellStyle name="Normal 8 2 4 2 3 2 3" xfId="12938" xr:uid="{FB12A98B-39AD-4A62-9717-EAA7902BCB2A}"/>
    <cellStyle name="Normal 8 2 4 2 3 3" xfId="5684" xr:uid="{00000000-0005-0000-0000-0000EC1C0000}"/>
    <cellStyle name="Normal 8 2 4 2 3 3 2" xfId="15010" xr:uid="{14C3C1A6-47BC-434A-B6E5-8C1BA995D5E1}"/>
    <cellStyle name="Normal 8 2 4 2 3 4" xfId="10793" xr:uid="{685A49BA-2AFE-4B6E-88AE-E7AAE2C73CCA}"/>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68" xr:uid="{BF07A8B3-57C2-4D1F-B744-0BC353B5E25A}"/>
    <cellStyle name="Normal 8 2 4 2 4 2 3" xfId="13351" xr:uid="{E668F386-5751-479A-9551-79BA46C394A4}"/>
    <cellStyle name="Normal 8 2 4 2 4 3" xfId="6097" xr:uid="{00000000-0005-0000-0000-0000F01C0000}"/>
    <cellStyle name="Normal 8 2 4 2 4 3 2" xfId="15423" xr:uid="{E9284645-6998-48EB-989C-9A977024E521}"/>
    <cellStyle name="Normal 8 2 4 2 4 4" xfId="11206" xr:uid="{7629E98F-5A97-4815-9477-86454DB0AE46}"/>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81" xr:uid="{D922E54B-C728-4BED-B66B-EB84423AF6AE}"/>
    <cellStyle name="Normal 8 2 4 2 5 2 3" xfId="13764" xr:uid="{D8EDA06C-8BBB-4AA4-8DD9-CA0B98BD0A0A}"/>
    <cellStyle name="Normal 8 2 4 2 5 3" xfId="6510" xr:uid="{00000000-0005-0000-0000-0000F41C0000}"/>
    <cellStyle name="Normal 8 2 4 2 5 3 2" xfId="15836" xr:uid="{4CD1F45B-D329-4A25-94A8-BF5D6E80910E}"/>
    <cellStyle name="Normal 8 2 4 2 5 4" xfId="11619" xr:uid="{9FE67A02-6147-4184-83D0-42BB55DB9F61}"/>
    <cellStyle name="Normal 8 2 4 2 6" xfId="2640" xr:uid="{00000000-0005-0000-0000-0000F51C0000}"/>
    <cellStyle name="Normal 8 2 4 2 6 2" xfId="6923" xr:uid="{00000000-0005-0000-0000-0000F61C0000}"/>
    <cellStyle name="Normal 8 2 4 2 6 2 2" xfId="16249" xr:uid="{29987FCF-2C36-4438-8784-F0C5A0669261}"/>
    <cellStyle name="Normal 8 2 4 2 6 3" xfId="12032" xr:uid="{8C904454-CA53-4776-84DC-19624A1DB8A1}"/>
    <cellStyle name="Normal 8 2 4 2 7" xfId="4858" xr:uid="{00000000-0005-0000-0000-0000F71C0000}"/>
    <cellStyle name="Normal 8 2 4 2 7 2" xfId="14184" xr:uid="{F2C1F7A9-00C2-4E3C-8DEA-D6D0C635B35B}"/>
    <cellStyle name="Normal 8 2 4 2 8" xfId="9061" xr:uid="{7295DB82-9441-436C-AA3E-91B68F6E59B3}"/>
    <cellStyle name="Normal 8 2 4 2 8 2" xfId="18385" xr:uid="{B7DDEF28-E850-4646-8888-32347CA0B7E0}"/>
    <cellStyle name="Normal 8 2 4 2 9" xfId="9967" xr:uid="{60F2BFAA-D999-403C-9CE8-5C4CD09B45E4}"/>
    <cellStyle name="Normal 8 2 4 3" xfId="959" xr:uid="{00000000-0005-0000-0000-0000F81C0000}"/>
    <cellStyle name="Normal 8 2 4 3 2" xfId="3193" xr:uid="{00000000-0005-0000-0000-0000F91C0000}"/>
    <cellStyle name="Normal 8 2 4 3 2 2" xfId="7415" xr:uid="{00000000-0005-0000-0000-0000FA1C0000}"/>
    <cellStyle name="Normal 8 2 4 3 2 2 2" xfId="16741" xr:uid="{FADDBB37-A00A-4AA2-96F7-87ACFDBC8F8D}"/>
    <cellStyle name="Normal 8 2 4 3 2 3" xfId="12524" xr:uid="{C3D3AFE6-18D6-483F-B877-F5E749ECED5A}"/>
    <cellStyle name="Normal 8 2 4 3 3" xfId="5270" xr:uid="{00000000-0005-0000-0000-0000FB1C0000}"/>
    <cellStyle name="Normal 8 2 4 3 3 2" xfId="14596" xr:uid="{20122A81-F5DA-436E-A2B0-75001C9D0A7A}"/>
    <cellStyle name="Normal 8 2 4 3 4" xfId="9279" xr:uid="{BA09D30D-BEBA-4223-83E6-57FB46A1EFA8}"/>
    <cellStyle name="Normal 8 2 4 3 4 2" xfId="18594" xr:uid="{D3C6E3F8-692C-4DB0-A46F-FFC8B667FDBD}"/>
    <cellStyle name="Normal 8 2 4 3 5" xfId="10379" xr:uid="{73F568F9-C03A-45C8-8AE7-EAE34DF3ECD9}"/>
    <cellStyle name="Normal 8 2 4 4" xfId="1376" xr:uid="{00000000-0005-0000-0000-0000FC1C0000}"/>
    <cellStyle name="Normal 8 2 4 4 2" xfId="3606" xr:uid="{00000000-0005-0000-0000-0000FD1C0000}"/>
    <cellStyle name="Normal 8 2 4 4 2 2" xfId="7828" xr:uid="{00000000-0005-0000-0000-0000FE1C0000}"/>
    <cellStyle name="Normal 8 2 4 4 2 2 2" xfId="17154" xr:uid="{F532A0AE-A9BF-497C-9DCF-50B7D351D1D5}"/>
    <cellStyle name="Normal 8 2 4 4 2 3" xfId="12937" xr:uid="{173BBFD7-AD0B-4ECA-9CA4-48ED43BD26A9}"/>
    <cellStyle name="Normal 8 2 4 4 3" xfId="5683" xr:uid="{00000000-0005-0000-0000-0000FF1C0000}"/>
    <cellStyle name="Normal 8 2 4 4 3 2" xfId="15009" xr:uid="{DEA1E9BB-F613-445E-8A33-D3F77816B63D}"/>
    <cellStyle name="Normal 8 2 4 4 4" xfId="10792" xr:uid="{ED9CADBC-C721-42A8-9308-492E8252AB30}"/>
    <cellStyle name="Normal 8 2 4 5" xfId="1789" xr:uid="{00000000-0005-0000-0000-0000001D0000}"/>
    <cellStyle name="Normal 8 2 4 5 2" xfId="4019" xr:uid="{00000000-0005-0000-0000-0000011D0000}"/>
    <cellStyle name="Normal 8 2 4 5 2 2" xfId="8241" xr:uid="{00000000-0005-0000-0000-0000021D0000}"/>
    <cellStyle name="Normal 8 2 4 5 2 2 2" xfId="17567" xr:uid="{C0FE894E-43B7-4172-A551-3A5899940BCA}"/>
    <cellStyle name="Normal 8 2 4 5 2 3" xfId="13350" xr:uid="{3A005EB4-BDCA-4EAE-8FC0-514CF5D2CB20}"/>
    <cellStyle name="Normal 8 2 4 5 3" xfId="6096" xr:uid="{00000000-0005-0000-0000-0000031D0000}"/>
    <cellStyle name="Normal 8 2 4 5 3 2" xfId="15422" xr:uid="{3278F8EE-FC21-49C4-9B0B-745D63D07463}"/>
    <cellStyle name="Normal 8 2 4 5 4" xfId="11205" xr:uid="{C39095D1-101D-4113-B46D-E6F6CB64055B}"/>
    <cellStyle name="Normal 8 2 4 6" xfId="2203" xr:uid="{00000000-0005-0000-0000-0000041D0000}"/>
    <cellStyle name="Normal 8 2 4 6 2" xfId="4432" xr:uid="{00000000-0005-0000-0000-0000051D0000}"/>
    <cellStyle name="Normal 8 2 4 6 2 2" xfId="8654" xr:uid="{00000000-0005-0000-0000-0000061D0000}"/>
    <cellStyle name="Normal 8 2 4 6 2 2 2" xfId="17980" xr:uid="{5F220C3E-188C-4436-AD7C-A1ACF34A9D14}"/>
    <cellStyle name="Normal 8 2 4 6 2 3" xfId="13763" xr:uid="{EEC4C640-3070-4E57-AAB3-16352A296081}"/>
    <cellStyle name="Normal 8 2 4 6 3" xfId="6509" xr:uid="{00000000-0005-0000-0000-0000071D0000}"/>
    <cellStyle name="Normal 8 2 4 6 3 2" xfId="15835" xr:uid="{7DF9ADF6-0DBE-4E5E-A182-87818B54184A}"/>
    <cellStyle name="Normal 8 2 4 6 4" xfId="11618" xr:uid="{F955C940-5903-4B81-BCB7-3503A3CE616B}"/>
    <cellStyle name="Normal 8 2 4 7" xfId="2639" xr:uid="{00000000-0005-0000-0000-0000081D0000}"/>
    <cellStyle name="Normal 8 2 4 7 2" xfId="6922" xr:uid="{00000000-0005-0000-0000-0000091D0000}"/>
    <cellStyle name="Normal 8 2 4 7 2 2" xfId="16248" xr:uid="{E1BA6FF8-27F5-41F7-8AA5-97266A62D6C4}"/>
    <cellStyle name="Normal 8 2 4 7 3" xfId="12031" xr:uid="{DE4080BB-C421-4DE0-88CD-B3F9F09515BD}"/>
    <cellStyle name="Normal 8 2 4 8" xfId="4857" xr:uid="{00000000-0005-0000-0000-00000A1D0000}"/>
    <cellStyle name="Normal 8 2 4 8 2" xfId="14183" xr:uid="{9FDF7B23-7B9E-4B90-92EC-37CE2BC08C1F}"/>
    <cellStyle name="Normal 8 2 4 9" xfId="8854" xr:uid="{F1F9C500-F3E2-475A-983E-BD697F4BACD1}"/>
    <cellStyle name="Normal 8 2 4 9 2" xfId="18178" xr:uid="{375F3DDA-8C87-468A-9681-098A3B08F4C7}"/>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6743" xr:uid="{1944386A-C1FB-481F-8D50-247A5494D7FD}"/>
    <cellStyle name="Normal 8 2 5 2 2 3" xfId="12526" xr:uid="{973C0088-7A44-43F9-AADA-5D2DAF364987}"/>
    <cellStyle name="Normal 8 2 5 2 3" xfId="5272" xr:uid="{00000000-0005-0000-0000-00000F1D0000}"/>
    <cellStyle name="Normal 8 2 5 2 3 2" xfId="14598" xr:uid="{9A384AD6-3005-490E-8CD8-63B5DE8C6B67}"/>
    <cellStyle name="Normal 8 2 5 2 4" xfId="9395" xr:uid="{D5766EF3-6042-484F-B510-7448518CF571}"/>
    <cellStyle name="Normal 8 2 5 2 4 2" xfId="18710" xr:uid="{62450F67-2481-434A-9745-5C47BF75205D}"/>
    <cellStyle name="Normal 8 2 5 2 5" xfId="10381" xr:uid="{FE62A1DE-755C-445B-907B-F0874D305AF9}"/>
    <cellStyle name="Normal 8 2 5 3" xfId="1378" xr:uid="{00000000-0005-0000-0000-0000101D0000}"/>
    <cellStyle name="Normal 8 2 5 3 2" xfId="3608" xr:uid="{00000000-0005-0000-0000-0000111D0000}"/>
    <cellStyle name="Normal 8 2 5 3 2 2" xfId="7830" xr:uid="{00000000-0005-0000-0000-0000121D0000}"/>
    <cellStyle name="Normal 8 2 5 3 2 2 2" xfId="17156" xr:uid="{7782FCFE-C717-4AAE-86FB-CC7B03B5A1F0}"/>
    <cellStyle name="Normal 8 2 5 3 2 3" xfId="12939" xr:uid="{67F78BF3-11F9-453C-8EFE-A579F626351C}"/>
    <cellStyle name="Normal 8 2 5 3 3" xfId="5685" xr:uid="{00000000-0005-0000-0000-0000131D0000}"/>
    <cellStyle name="Normal 8 2 5 3 3 2" xfId="15011" xr:uid="{3DF349BE-8FD6-4388-9194-E2314F454EE1}"/>
    <cellStyle name="Normal 8 2 5 3 4" xfId="10794" xr:uid="{6489F569-0C76-4498-9394-994EF8D41CA8}"/>
    <cellStyle name="Normal 8 2 5 4" xfId="1791" xr:uid="{00000000-0005-0000-0000-0000141D0000}"/>
    <cellStyle name="Normal 8 2 5 4 2" xfId="4021" xr:uid="{00000000-0005-0000-0000-0000151D0000}"/>
    <cellStyle name="Normal 8 2 5 4 2 2" xfId="8243" xr:uid="{00000000-0005-0000-0000-0000161D0000}"/>
    <cellStyle name="Normal 8 2 5 4 2 2 2" xfId="17569" xr:uid="{04A645D2-C632-4F60-9D00-6F4439DCE876}"/>
    <cellStyle name="Normal 8 2 5 4 2 3" xfId="13352" xr:uid="{4E07FA5B-A119-4673-AD46-4B82C2729329}"/>
    <cellStyle name="Normal 8 2 5 4 3" xfId="6098" xr:uid="{00000000-0005-0000-0000-0000171D0000}"/>
    <cellStyle name="Normal 8 2 5 4 3 2" xfId="15424" xr:uid="{8A6755EF-F230-4855-93F3-B053B63B3FD6}"/>
    <cellStyle name="Normal 8 2 5 4 4" xfId="11207" xr:uid="{58C984C0-F4FC-4546-A036-CF748FD65097}"/>
    <cellStyle name="Normal 8 2 5 5" xfId="2205" xr:uid="{00000000-0005-0000-0000-0000181D0000}"/>
    <cellStyle name="Normal 8 2 5 5 2" xfId="4434" xr:uid="{00000000-0005-0000-0000-0000191D0000}"/>
    <cellStyle name="Normal 8 2 5 5 2 2" xfId="8656" xr:uid="{00000000-0005-0000-0000-00001A1D0000}"/>
    <cellStyle name="Normal 8 2 5 5 2 2 2" xfId="17982" xr:uid="{DF9F9C67-BC19-491A-BC6A-6AD9D0481C66}"/>
    <cellStyle name="Normal 8 2 5 5 2 3" xfId="13765" xr:uid="{8D73CB56-413F-4C87-8026-61CA9E2FE209}"/>
    <cellStyle name="Normal 8 2 5 5 3" xfId="6511" xr:uid="{00000000-0005-0000-0000-00001B1D0000}"/>
    <cellStyle name="Normal 8 2 5 5 3 2" xfId="15837" xr:uid="{EE4F5592-0D1E-4829-A956-CC0DAFCE97CB}"/>
    <cellStyle name="Normal 8 2 5 5 4" xfId="11620" xr:uid="{02C91FBB-A67E-4C6B-9EF2-0783676DBAD6}"/>
    <cellStyle name="Normal 8 2 5 6" xfId="2641" xr:uid="{00000000-0005-0000-0000-00001C1D0000}"/>
    <cellStyle name="Normal 8 2 5 6 2" xfId="6924" xr:uid="{00000000-0005-0000-0000-00001D1D0000}"/>
    <cellStyle name="Normal 8 2 5 6 2 2" xfId="16250" xr:uid="{BB2059BE-DE89-433E-A240-33A16E7701C4}"/>
    <cellStyle name="Normal 8 2 5 6 3" xfId="12033" xr:uid="{F12FA332-F194-4183-BE26-06D3CCD7E6F6}"/>
    <cellStyle name="Normal 8 2 5 7" xfId="4859" xr:uid="{00000000-0005-0000-0000-00001E1D0000}"/>
    <cellStyle name="Normal 8 2 5 7 2" xfId="14185" xr:uid="{CF1FEE2D-B099-4D92-AE3D-FE1D7ACC73CD}"/>
    <cellStyle name="Normal 8 2 5 8" xfId="8970" xr:uid="{7E9ACEFF-1680-45D8-BC32-8CA9BA1D63D4}"/>
    <cellStyle name="Normal 8 2 5 8 2" xfId="18294" xr:uid="{BFEF9240-9357-445C-AF70-01F0FD88D819}"/>
    <cellStyle name="Normal 8 2 5 9" xfId="9968" xr:uid="{9E0B477E-E58C-40E1-B4B9-E833E6211133}"/>
    <cellStyle name="Normal 8 2 6" xfId="946" xr:uid="{00000000-0005-0000-0000-00001F1D0000}"/>
    <cellStyle name="Normal 8 2 6 2" xfId="3180" xr:uid="{00000000-0005-0000-0000-0000201D0000}"/>
    <cellStyle name="Normal 8 2 6 2 2" xfId="7402" xr:uid="{00000000-0005-0000-0000-0000211D0000}"/>
    <cellStyle name="Normal 8 2 6 2 2 2" xfId="16728" xr:uid="{82D054F6-CCC2-4CD2-AF5F-8C6865170543}"/>
    <cellStyle name="Normal 8 2 6 2 3" xfId="12511" xr:uid="{7C35055C-9E95-47B6-86AD-359959C8840C}"/>
    <cellStyle name="Normal 8 2 6 3" xfId="5257" xr:uid="{00000000-0005-0000-0000-0000221D0000}"/>
    <cellStyle name="Normal 8 2 6 3 2" xfId="14583" xr:uid="{0C85CEFE-050E-4059-B663-3556B483A1CC}"/>
    <cellStyle name="Normal 8 2 6 4" xfId="9173" xr:uid="{C36295B3-E6F0-4A6D-AEE5-72C8177C13EE}"/>
    <cellStyle name="Normal 8 2 6 4 2" xfId="18491" xr:uid="{E9CD8095-AB6B-4905-9EB6-763BA18F65D2}"/>
    <cellStyle name="Normal 8 2 6 5" xfId="10366" xr:uid="{4215112C-19C7-417F-9B59-EF3BC9E53BA2}"/>
    <cellStyle name="Normal 8 2 7" xfId="1363" xr:uid="{00000000-0005-0000-0000-0000231D0000}"/>
    <cellStyle name="Normal 8 2 7 2" xfId="3593" xr:uid="{00000000-0005-0000-0000-0000241D0000}"/>
    <cellStyle name="Normal 8 2 7 2 2" xfId="7815" xr:uid="{00000000-0005-0000-0000-0000251D0000}"/>
    <cellStyle name="Normal 8 2 7 2 2 2" xfId="17141" xr:uid="{E1957AF9-5A51-461C-8B06-F2E15BCA8B9E}"/>
    <cellStyle name="Normal 8 2 7 2 3" xfId="12924" xr:uid="{EDA50987-5C58-4F26-985D-8C8EE2D78F6F}"/>
    <cellStyle name="Normal 8 2 7 3" xfId="5670" xr:uid="{00000000-0005-0000-0000-0000261D0000}"/>
    <cellStyle name="Normal 8 2 7 3 2" xfId="14996" xr:uid="{DDCC8D20-8F08-466C-83DF-D37BC867AB86}"/>
    <cellStyle name="Normal 8 2 7 4" xfId="10779" xr:uid="{4A7EAD06-24B5-4BDC-925A-86965A298C9B}"/>
    <cellStyle name="Normal 8 2 8" xfId="1776" xr:uid="{00000000-0005-0000-0000-0000271D0000}"/>
    <cellStyle name="Normal 8 2 8 2" xfId="4006" xr:uid="{00000000-0005-0000-0000-0000281D0000}"/>
    <cellStyle name="Normal 8 2 8 2 2" xfId="8228" xr:uid="{00000000-0005-0000-0000-0000291D0000}"/>
    <cellStyle name="Normal 8 2 8 2 2 2" xfId="17554" xr:uid="{9552FFFC-D407-4556-B57F-D3F32CF3ADE9}"/>
    <cellStyle name="Normal 8 2 8 2 3" xfId="13337" xr:uid="{BF86F4F5-5E66-4B28-90BE-A3307DEBCA28}"/>
    <cellStyle name="Normal 8 2 8 3" xfId="6083" xr:uid="{00000000-0005-0000-0000-00002A1D0000}"/>
    <cellStyle name="Normal 8 2 8 3 2" xfId="15409" xr:uid="{ECF0C331-FF1F-46F6-94B5-F56A03C54B37}"/>
    <cellStyle name="Normal 8 2 8 4" xfId="11192" xr:uid="{70192AB9-C2B3-4D2B-810A-263B727D3791}"/>
    <cellStyle name="Normal 8 2 9" xfId="2190" xr:uid="{00000000-0005-0000-0000-00002B1D0000}"/>
    <cellStyle name="Normal 8 2 9 2" xfId="4419" xr:uid="{00000000-0005-0000-0000-00002C1D0000}"/>
    <cellStyle name="Normal 8 2 9 2 2" xfId="8641" xr:uid="{00000000-0005-0000-0000-00002D1D0000}"/>
    <cellStyle name="Normal 8 2 9 2 2 2" xfId="17967" xr:uid="{98435EF9-826B-4359-9D51-DABC2C7191D3}"/>
    <cellStyle name="Normal 8 2 9 2 3" xfId="13750" xr:uid="{64D37A0A-79A0-41CF-93AA-798D8DC7E8CE}"/>
    <cellStyle name="Normal 8 2 9 3" xfId="6496" xr:uid="{00000000-0005-0000-0000-00002E1D0000}"/>
    <cellStyle name="Normal 8 2 9 3 2" xfId="15822" xr:uid="{61A49B65-2A5F-47E8-86DA-A273B9FEA45D}"/>
    <cellStyle name="Normal 8 2 9 4" xfId="11605" xr:uid="{4B029A51-F36E-41B0-B908-83C9B70FF8AE}"/>
    <cellStyle name="Normal 8 3" xfId="495" xr:uid="{00000000-0005-0000-0000-00002F1D0000}"/>
    <cellStyle name="Normal 8 3 10" xfId="4860" xr:uid="{00000000-0005-0000-0000-0000301D0000}"/>
    <cellStyle name="Normal 8 3 10 2" xfId="14186" xr:uid="{344A8BA4-DA53-4D3E-BD96-78AE13964ACA}"/>
    <cellStyle name="Normal 8 3 11" xfId="8774" xr:uid="{81BDDADD-940D-4F3A-BD6C-7E4719C8A3D2}"/>
    <cellStyle name="Normal 8 3 11 2" xfId="18098" xr:uid="{1BDDB40B-960D-4260-A3C9-9263D157C0FF}"/>
    <cellStyle name="Normal 8 3 12" xfId="9969" xr:uid="{CE3DC00D-D820-4C95-AA9D-F3DFDBB70684}"/>
    <cellStyle name="Normal 8 3 2" xfId="496" xr:uid="{00000000-0005-0000-0000-0000311D0000}"/>
    <cellStyle name="Normal 8 3 2 10" xfId="8837" xr:uid="{392842AA-84B1-4A71-AE94-A1B631487B7E}"/>
    <cellStyle name="Normal 8 3 2 10 2" xfId="18161" xr:uid="{684A1019-AE4B-4B26-A494-F1C560AC31BE}"/>
    <cellStyle name="Normal 8 3 2 11" xfId="9970" xr:uid="{648A825E-CFB9-4922-98F0-B7F9660258BD}"/>
    <cellStyle name="Normal 8 3 2 2" xfId="497" xr:uid="{00000000-0005-0000-0000-0000321D0000}"/>
    <cellStyle name="Normal 8 3 2 2 10" xfId="9971" xr:uid="{60BA881B-AE2B-44E0-8A6B-8E529CF79A6D}"/>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47" xr:uid="{6921ECC7-F6EC-4B6F-9C88-848E13F58BD3}"/>
    <cellStyle name="Normal 8 3 2 2 2 2 2 3" xfId="12530" xr:uid="{BBC7D71A-FABC-4CAC-A72B-49D98BF66D19}"/>
    <cellStyle name="Normal 8 3 2 2 2 2 3" xfId="5276" xr:uid="{00000000-0005-0000-0000-0000371D0000}"/>
    <cellStyle name="Normal 8 3 2 2 2 2 3 2" xfId="14602" xr:uid="{0C69EF55-2D88-4624-A591-9601A611811B}"/>
    <cellStyle name="Normal 8 3 2 2 2 2 4" xfId="9572" xr:uid="{83269435-2305-4677-BD8B-8CB801DC108A}"/>
    <cellStyle name="Normal 8 3 2 2 2 2 4 2" xfId="18887" xr:uid="{4F9C3048-4C5C-4CB3-9ACD-D95397764CB9}"/>
    <cellStyle name="Normal 8 3 2 2 2 2 5" xfId="10385" xr:uid="{1837CDF3-F16F-46BB-AF77-85668E4CFB73}"/>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60" xr:uid="{CA46358F-1FF9-46DA-A284-DA6A0D72DDEA}"/>
    <cellStyle name="Normal 8 3 2 2 2 3 2 3" xfId="12943" xr:uid="{86B0F83C-02CB-431B-95C5-9C0ABEF4D851}"/>
    <cellStyle name="Normal 8 3 2 2 2 3 3" xfId="5689" xr:uid="{00000000-0005-0000-0000-00003B1D0000}"/>
    <cellStyle name="Normal 8 3 2 2 2 3 3 2" xfId="15015" xr:uid="{A19749B9-6D2A-456D-9967-7054EEF5E3E8}"/>
    <cellStyle name="Normal 8 3 2 2 2 3 4" xfId="10798" xr:uid="{52574C3C-71EC-4D61-B53C-E937923F1198}"/>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73" xr:uid="{6ED7B4EB-3522-426C-82B8-FB65F764544D}"/>
    <cellStyle name="Normal 8 3 2 2 2 4 2 3" xfId="13356" xr:uid="{310E037F-BED3-4A12-9CC4-238CA38FA382}"/>
    <cellStyle name="Normal 8 3 2 2 2 4 3" xfId="6102" xr:uid="{00000000-0005-0000-0000-00003F1D0000}"/>
    <cellStyle name="Normal 8 3 2 2 2 4 3 2" xfId="15428" xr:uid="{D71F5ADD-231F-4B5D-9070-ADBE1154389A}"/>
    <cellStyle name="Normal 8 3 2 2 2 4 4" xfId="11211" xr:uid="{8461996C-C887-4226-9665-40CA0D6A73C8}"/>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86" xr:uid="{A1E21964-6381-44BF-ABA8-923A56577556}"/>
    <cellStyle name="Normal 8 3 2 2 2 5 2 3" xfId="13769" xr:uid="{CCAEF9DD-6261-4143-BC60-19B3797C7C67}"/>
    <cellStyle name="Normal 8 3 2 2 2 5 3" xfId="6515" xr:uid="{00000000-0005-0000-0000-0000431D0000}"/>
    <cellStyle name="Normal 8 3 2 2 2 5 3 2" xfId="15841" xr:uid="{2023F96B-E05D-40F9-9671-EE46D2BB156E}"/>
    <cellStyle name="Normal 8 3 2 2 2 5 4" xfId="11624" xr:uid="{D1B09557-5374-4743-869A-92FA1F3BF2FC}"/>
    <cellStyle name="Normal 8 3 2 2 2 6" xfId="2645" xr:uid="{00000000-0005-0000-0000-0000441D0000}"/>
    <cellStyle name="Normal 8 3 2 2 2 6 2" xfId="6928" xr:uid="{00000000-0005-0000-0000-0000451D0000}"/>
    <cellStyle name="Normal 8 3 2 2 2 6 2 2" xfId="16254" xr:uid="{0DAE5672-FB20-4096-A6B9-743449B6BA46}"/>
    <cellStyle name="Normal 8 3 2 2 2 6 3" xfId="12037" xr:uid="{DA287396-6326-4888-8336-A705690DD9EF}"/>
    <cellStyle name="Normal 8 3 2 2 2 7" xfId="4863" xr:uid="{00000000-0005-0000-0000-0000461D0000}"/>
    <cellStyle name="Normal 8 3 2 2 2 7 2" xfId="14189" xr:uid="{A2E2DB4E-729D-4853-ABDC-78E604D7E2F9}"/>
    <cellStyle name="Normal 8 3 2 2 2 8" xfId="9147" xr:uid="{16780743-13F5-44BF-919B-157B86988913}"/>
    <cellStyle name="Normal 8 3 2 2 2 8 2" xfId="18471" xr:uid="{812BE09E-4143-46C0-825C-F229D69B7A8B}"/>
    <cellStyle name="Normal 8 3 2 2 2 9" xfId="9972" xr:uid="{1AD82D3E-BE9A-4417-B5B2-86AF2C011C2E}"/>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46" xr:uid="{4B443ABC-C138-403D-8DA6-3904C4D66F81}"/>
    <cellStyle name="Normal 8 3 2 2 3 2 3" xfId="12529" xr:uid="{E846810D-F30C-4BD4-952F-13063E580E68}"/>
    <cellStyle name="Normal 8 3 2 2 3 3" xfId="5275" xr:uid="{00000000-0005-0000-0000-00004A1D0000}"/>
    <cellStyle name="Normal 8 3 2 2 3 3 2" xfId="14601" xr:uid="{4653A873-6FA5-4D90-AC0C-E6EF07130433}"/>
    <cellStyle name="Normal 8 3 2 2 3 4" xfId="9365" xr:uid="{47FF7C14-7484-41B9-856F-11398F7B2C7C}"/>
    <cellStyle name="Normal 8 3 2 2 3 4 2" xfId="18680" xr:uid="{2BE0F56D-4DCC-4906-98AE-688B7EFB8E16}"/>
    <cellStyle name="Normal 8 3 2 2 3 5" xfId="10384" xr:uid="{848F56CB-5913-40F3-B683-822CF8149ECE}"/>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59" xr:uid="{D26218C1-1866-47FB-AC71-E5D0E9C28824}"/>
    <cellStyle name="Normal 8 3 2 2 4 2 3" xfId="12942" xr:uid="{859C4032-441B-479D-82C8-25ECA625E721}"/>
    <cellStyle name="Normal 8 3 2 2 4 3" xfId="5688" xr:uid="{00000000-0005-0000-0000-00004E1D0000}"/>
    <cellStyle name="Normal 8 3 2 2 4 3 2" xfId="15014" xr:uid="{B0B386C6-D841-41F6-A65C-05E1035702E9}"/>
    <cellStyle name="Normal 8 3 2 2 4 4" xfId="10797" xr:uid="{F03186D0-9693-4777-8A5C-219952E32A05}"/>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72" xr:uid="{F07167B5-C92D-4418-85EC-DDE2FEB6EFBF}"/>
    <cellStyle name="Normal 8 3 2 2 5 2 3" xfId="13355" xr:uid="{F866AF34-4543-49D0-9534-E5C5F2B94BAF}"/>
    <cellStyle name="Normal 8 3 2 2 5 3" xfId="6101" xr:uid="{00000000-0005-0000-0000-0000521D0000}"/>
    <cellStyle name="Normal 8 3 2 2 5 3 2" xfId="15427" xr:uid="{082B4262-0A72-416C-B78A-92584BF830FB}"/>
    <cellStyle name="Normal 8 3 2 2 5 4" xfId="11210" xr:uid="{49273301-2B8C-469B-B309-75890FCE92CC}"/>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85" xr:uid="{F4E6DEA2-F080-43CF-A67E-A58664F42671}"/>
    <cellStyle name="Normal 8 3 2 2 6 2 3" xfId="13768" xr:uid="{596D10F9-2543-4619-885F-3037F98AD58C}"/>
    <cellStyle name="Normal 8 3 2 2 6 3" xfId="6514" xr:uid="{00000000-0005-0000-0000-0000561D0000}"/>
    <cellStyle name="Normal 8 3 2 2 6 3 2" xfId="15840" xr:uid="{62C540D2-8E5D-4CA5-9E42-D4D64C9C6AA6}"/>
    <cellStyle name="Normal 8 3 2 2 6 4" xfId="11623" xr:uid="{8034612C-CBFF-4B43-99CB-B39AA3281EC0}"/>
    <cellStyle name="Normal 8 3 2 2 7" xfId="2644" xr:uid="{00000000-0005-0000-0000-0000571D0000}"/>
    <cellStyle name="Normal 8 3 2 2 7 2" xfId="6927" xr:uid="{00000000-0005-0000-0000-0000581D0000}"/>
    <cellStyle name="Normal 8 3 2 2 7 2 2" xfId="16253" xr:uid="{7C970C68-EBEF-40C8-8B6B-A44ABBB63CF5}"/>
    <cellStyle name="Normal 8 3 2 2 7 3" xfId="12036" xr:uid="{7B8A91D1-23DC-49E6-91C4-B6FE5217CAF5}"/>
    <cellStyle name="Normal 8 3 2 2 8" xfId="4862" xr:uid="{00000000-0005-0000-0000-0000591D0000}"/>
    <cellStyle name="Normal 8 3 2 2 8 2" xfId="14188" xr:uid="{16A0AD98-A27C-4875-82A5-8C00CDD2D71F}"/>
    <cellStyle name="Normal 8 3 2 2 9" xfId="8940" xr:uid="{63944EF0-E10A-4406-A758-3BD135650136}"/>
    <cellStyle name="Normal 8 3 2 2 9 2" xfId="18264" xr:uid="{A3145098-C3A4-4C0E-973E-5CE47EAA2E33}"/>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48" xr:uid="{B638A914-539A-4E8D-9E60-1A051BF16E02}"/>
    <cellStyle name="Normal 8 3 2 3 2 2 3" xfId="12531" xr:uid="{F792A435-E779-457D-8C86-4EC8DC27B025}"/>
    <cellStyle name="Normal 8 3 2 3 2 3" xfId="5277" xr:uid="{00000000-0005-0000-0000-00005E1D0000}"/>
    <cellStyle name="Normal 8 3 2 3 2 3 2" xfId="14603" xr:uid="{B0D6E236-569C-4F19-9C4B-755F38A5C3B1}"/>
    <cellStyle name="Normal 8 3 2 3 2 4" xfId="9469" xr:uid="{7CA6C380-A6E9-4AF4-A29A-E40C8E9B5B5F}"/>
    <cellStyle name="Normal 8 3 2 3 2 4 2" xfId="18784" xr:uid="{F88569C7-7320-453D-923E-0F6F379B9341}"/>
    <cellStyle name="Normal 8 3 2 3 2 5" xfId="10386" xr:uid="{A909F36A-1DA2-4688-A1C8-5130C07F1886}"/>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61" xr:uid="{B056A98B-2C5A-48D0-AAAB-2CFEEB743A73}"/>
    <cellStyle name="Normal 8 3 2 3 3 2 3" xfId="12944" xr:uid="{7B81096F-7B41-4322-871D-C5BF4CF2AB55}"/>
    <cellStyle name="Normal 8 3 2 3 3 3" xfId="5690" xr:uid="{00000000-0005-0000-0000-0000621D0000}"/>
    <cellStyle name="Normal 8 3 2 3 3 3 2" xfId="15016" xr:uid="{025F1308-0784-4412-AC48-382EE703D7E8}"/>
    <cellStyle name="Normal 8 3 2 3 3 4" xfId="10799" xr:uid="{C93E28E8-986A-4F7C-B74F-D6DED910DA31}"/>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74" xr:uid="{163BD33A-4C67-4F5C-B017-D55586150E2E}"/>
    <cellStyle name="Normal 8 3 2 3 4 2 3" xfId="13357" xr:uid="{DB689686-12F2-45FF-A879-016EC41540E6}"/>
    <cellStyle name="Normal 8 3 2 3 4 3" xfId="6103" xr:uid="{00000000-0005-0000-0000-0000661D0000}"/>
    <cellStyle name="Normal 8 3 2 3 4 3 2" xfId="15429" xr:uid="{8F1B06C2-10E9-4432-9265-4774DA5F7575}"/>
    <cellStyle name="Normal 8 3 2 3 4 4" xfId="11212" xr:uid="{7A215D92-B482-44F6-AB9F-4581863DD4CF}"/>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87" xr:uid="{73EEB194-844B-4EDD-A4E0-655C6FB95AA2}"/>
    <cellStyle name="Normal 8 3 2 3 5 2 3" xfId="13770" xr:uid="{C63A3BDC-6EA2-4915-ABFC-B106E7D79CC4}"/>
    <cellStyle name="Normal 8 3 2 3 5 3" xfId="6516" xr:uid="{00000000-0005-0000-0000-00006A1D0000}"/>
    <cellStyle name="Normal 8 3 2 3 5 3 2" xfId="15842" xr:uid="{D20D408A-11DC-4059-B072-48442962B327}"/>
    <cellStyle name="Normal 8 3 2 3 5 4" xfId="11625" xr:uid="{13D5984F-D6CE-4F3A-B584-29F565D69514}"/>
    <cellStyle name="Normal 8 3 2 3 6" xfId="2646" xr:uid="{00000000-0005-0000-0000-00006B1D0000}"/>
    <cellStyle name="Normal 8 3 2 3 6 2" xfId="6929" xr:uid="{00000000-0005-0000-0000-00006C1D0000}"/>
    <cellStyle name="Normal 8 3 2 3 6 2 2" xfId="16255" xr:uid="{3B6DEBFA-B842-4D78-B1FE-30B36BE8CA4B}"/>
    <cellStyle name="Normal 8 3 2 3 6 3" xfId="12038" xr:uid="{1C7E0B5B-BE0D-4945-BB7E-7F40CB916D99}"/>
    <cellStyle name="Normal 8 3 2 3 7" xfId="4864" xr:uid="{00000000-0005-0000-0000-00006D1D0000}"/>
    <cellStyle name="Normal 8 3 2 3 7 2" xfId="14190" xr:uid="{55B03ED4-ABA2-4619-A325-D66F0B151E4C}"/>
    <cellStyle name="Normal 8 3 2 3 8" xfId="9044" xr:uid="{5ED49706-9CA9-4EE9-B01D-112CD1DB587C}"/>
    <cellStyle name="Normal 8 3 2 3 8 2" xfId="18368" xr:uid="{0F8B3955-F2FC-417A-9866-A0A481CA2FBF}"/>
    <cellStyle name="Normal 8 3 2 3 9" xfId="9973" xr:uid="{BD50C2E9-F093-4384-B230-A9D906D0A9DE}"/>
    <cellStyle name="Normal 8 3 2 4" xfId="963" xr:uid="{00000000-0005-0000-0000-00006E1D0000}"/>
    <cellStyle name="Normal 8 3 2 4 2" xfId="3197" xr:uid="{00000000-0005-0000-0000-00006F1D0000}"/>
    <cellStyle name="Normal 8 3 2 4 2 2" xfId="7419" xr:uid="{00000000-0005-0000-0000-0000701D0000}"/>
    <cellStyle name="Normal 8 3 2 4 2 2 2" xfId="16745" xr:uid="{C757EBDA-CF33-43AE-84C1-190D4ADC48DE}"/>
    <cellStyle name="Normal 8 3 2 4 2 3" xfId="12528" xr:uid="{5CFA4346-6345-444C-83C7-A7ED9F2F0C88}"/>
    <cellStyle name="Normal 8 3 2 4 3" xfId="5274" xr:uid="{00000000-0005-0000-0000-0000711D0000}"/>
    <cellStyle name="Normal 8 3 2 4 3 2" xfId="14600" xr:uid="{0885608E-2525-4745-965F-A2518BE06133}"/>
    <cellStyle name="Normal 8 3 2 4 4" xfId="9262" xr:uid="{8842595C-CD28-4B10-9BE6-37883B4C2AA9}"/>
    <cellStyle name="Normal 8 3 2 4 4 2" xfId="18577" xr:uid="{094739CE-EBFB-4AE8-B779-C19408258CFB}"/>
    <cellStyle name="Normal 8 3 2 4 5" xfId="10383" xr:uid="{EC5002F1-8268-43DB-A385-691BACFFD73C}"/>
    <cellStyle name="Normal 8 3 2 5" xfId="1380" xr:uid="{00000000-0005-0000-0000-0000721D0000}"/>
    <cellStyle name="Normal 8 3 2 5 2" xfId="3610" xr:uid="{00000000-0005-0000-0000-0000731D0000}"/>
    <cellStyle name="Normal 8 3 2 5 2 2" xfId="7832" xr:uid="{00000000-0005-0000-0000-0000741D0000}"/>
    <cellStyle name="Normal 8 3 2 5 2 2 2" xfId="17158" xr:uid="{742AF8CC-D5E7-45AC-9BEF-A3F18FF34A95}"/>
    <cellStyle name="Normal 8 3 2 5 2 3" xfId="12941" xr:uid="{CF7F7D92-87AA-4F0D-A6A9-20DF28ABCA29}"/>
    <cellStyle name="Normal 8 3 2 5 3" xfId="5687" xr:uid="{00000000-0005-0000-0000-0000751D0000}"/>
    <cellStyle name="Normal 8 3 2 5 3 2" xfId="15013" xr:uid="{89137443-A1B3-4B22-8866-86AA3A084DDC}"/>
    <cellStyle name="Normal 8 3 2 5 4" xfId="10796" xr:uid="{E8B2B30B-0AF3-4149-8A37-259831709DCE}"/>
    <cellStyle name="Normal 8 3 2 6" xfId="1793" xr:uid="{00000000-0005-0000-0000-0000761D0000}"/>
    <cellStyle name="Normal 8 3 2 6 2" xfId="4023" xr:uid="{00000000-0005-0000-0000-0000771D0000}"/>
    <cellStyle name="Normal 8 3 2 6 2 2" xfId="8245" xr:uid="{00000000-0005-0000-0000-0000781D0000}"/>
    <cellStyle name="Normal 8 3 2 6 2 2 2" xfId="17571" xr:uid="{66A512A4-F2ED-4F97-B7CD-B466C36D7908}"/>
    <cellStyle name="Normal 8 3 2 6 2 3" xfId="13354" xr:uid="{BE1590FC-38B4-4719-8D1B-AABFE0B227C0}"/>
    <cellStyle name="Normal 8 3 2 6 3" xfId="6100" xr:uid="{00000000-0005-0000-0000-0000791D0000}"/>
    <cellStyle name="Normal 8 3 2 6 3 2" xfId="15426" xr:uid="{2F4C738F-906A-4618-829D-043D89D41BDB}"/>
    <cellStyle name="Normal 8 3 2 6 4" xfId="11209" xr:uid="{717418E9-8CA5-4656-81E5-12F45BF35369}"/>
    <cellStyle name="Normal 8 3 2 7" xfId="2207" xr:uid="{00000000-0005-0000-0000-00007A1D0000}"/>
    <cellStyle name="Normal 8 3 2 7 2" xfId="4436" xr:uid="{00000000-0005-0000-0000-00007B1D0000}"/>
    <cellStyle name="Normal 8 3 2 7 2 2" xfId="8658" xr:uid="{00000000-0005-0000-0000-00007C1D0000}"/>
    <cellStyle name="Normal 8 3 2 7 2 2 2" xfId="17984" xr:uid="{8841798C-E5B6-4EB4-8455-A25936587395}"/>
    <cellStyle name="Normal 8 3 2 7 2 3" xfId="13767" xr:uid="{81A4B546-1320-44D9-814F-8A6E5641BB60}"/>
    <cellStyle name="Normal 8 3 2 7 3" xfId="6513" xr:uid="{00000000-0005-0000-0000-00007D1D0000}"/>
    <cellStyle name="Normal 8 3 2 7 3 2" xfId="15839" xr:uid="{B1BE4A1D-B551-488A-8155-A113960A8CC4}"/>
    <cellStyle name="Normal 8 3 2 7 4" xfId="11622" xr:uid="{EE37F89D-A3F4-43C4-8729-BC15CA43CF4E}"/>
    <cellStyle name="Normal 8 3 2 8" xfId="2643" xr:uid="{00000000-0005-0000-0000-00007E1D0000}"/>
    <cellStyle name="Normal 8 3 2 8 2" xfId="6926" xr:uid="{00000000-0005-0000-0000-00007F1D0000}"/>
    <cellStyle name="Normal 8 3 2 8 2 2" xfId="16252" xr:uid="{90B588BB-E87B-4C80-A233-B9D46AF0F1D9}"/>
    <cellStyle name="Normal 8 3 2 8 3" xfId="12035" xr:uid="{01E70131-F03B-4120-B46B-76688732A468}"/>
    <cellStyle name="Normal 8 3 2 9" xfId="4861" xr:uid="{00000000-0005-0000-0000-0000801D0000}"/>
    <cellStyle name="Normal 8 3 2 9 2" xfId="14187" xr:uid="{EBE214DC-ABEB-4760-9AF5-D769F82DF873}"/>
    <cellStyle name="Normal 8 3 3" xfId="500" xr:uid="{00000000-0005-0000-0000-0000811D0000}"/>
    <cellStyle name="Normal 8 3 3 10" xfId="9974" xr:uid="{E05105C2-04C1-4FB4-A415-906632620579}"/>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50" xr:uid="{69A54459-4E41-49B9-9FA4-C11284D579FF}"/>
    <cellStyle name="Normal 8 3 3 2 2 2 3" xfId="12533" xr:uid="{DB9327A1-12EA-4342-9578-92D94D43C4B5}"/>
    <cellStyle name="Normal 8 3 3 2 2 3" xfId="5279" xr:uid="{00000000-0005-0000-0000-0000861D0000}"/>
    <cellStyle name="Normal 8 3 3 2 2 3 2" xfId="14605" xr:uid="{26EE00BE-DBCA-4500-B9DA-3684379936DC}"/>
    <cellStyle name="Normal 8 3 3 2 2 4" xfId="9509" xr:uid="{3B4378D3-7C51-4B91-822B-758528BFF352}"/>
    <cellStyle name="Normal 8 3 3 2 2 4 2" xfId="18824" xr:uid="{9BD51F81-BDED-44D3-869F-E67DB86CBAB0}"/>
    <cellStyle name="Normal 8 3 3 2 2 5" xfId="10388" xr:uid="{4ADD1FEB-7791-46DF-935E-8F3DD6926C3A}"/>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63" xr:uid="{0104B24C-A2CB-464F-B2EE-09ADE7A3A424}"/>
    <cellStyle name="Normal 8 3 3 2 3 2 3" xfId="12946" xr:uid="{2E77EDBD-CE9D-47FE-AB5B-DED4961259EF}"/>
    <cellStyle name="Normal 8 3 3 2 3 3" xfId="5692" xr:uid="{00000000-0005-0000-0000-00008A1D0000}"/>
    <cellStyle name="Normal 8 3 3 2 3 3 2" xfId="15018" xr:uid="{9063AE70-A45A-44CD-83E4-B98758BAFE1B}"/>
    <cellStyle name="Normal 8 3 3 2 3 4" xfId="10801" xr:uid="{49FDA2C3-F70B-4A81-8D0E-BD2202D6A890}"/>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76" xr:uid="{8E2EDEDD-FC95-4C38-9015-CE8B490E56AF}"/>
    <cellStyle name="Normal 8 3 3 2 4 2 3" xfId="13359" xr:uid="{56B1D644-D0BB-41C3-BF16-6E25685333E6}"/>
    <cellStyle name="Normal 8 3 3 2 4 3" xfId="6105" xr:uid="{00000000-0005-0000-0000-00008E1D0000}"/>
    <cellStyle name="Normal 8 3 3 2 4 3 2" xfId="15431" xr:uid="{847DEA8E-1C57-46D5-85A1-9B25518372BC}"/>
    <cellStyle name="Normal 8 3 3 2 4 4" xfId="11214" xr:uid="{F5BDCCF0-BBEE-4B90-A5CB-E9E63634E8F7}"/>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89" xr:uid="{84B1959E-76D2-44D6-B106-7C7838703682}"/>
    <cellStyle name="Normal 8 3 3 2 5 2 3" xfId="13772" xr:uid="{B9B8A05C-7C46-49C3-840F-D2B299C662F3}"/>
    <cellStyle name="Normal 8 3 3 2 5 3" xfId="6518" xr:uid="{00000000-0005-0000-0000-0000921D0000}"/>
    <cellStyle name="Normal 8 3 3 2 5 3 2" xfId="15844" xr:uid="{8E49471B-844A-40B1-A5BE-A9A35812F098}"/>
    <cellStyle name="Normal 8 3 3 2 5 4" xfId="11627" xr:uid="{6681716D-903B-48D3-8452-CE3C7953694B}"/>
    <cellStyle name="Normal 8 3 3 2 6" xfId="2648" xr:uid="{00000000-0005-0000-0000-0000931D0000}"/>
    <cellStyle name="Normal 8 3 3 2 6 2" xfId="6931" xr:uid="{00000000-0005-0000-0000-0000941D0000}"/>
    <cellStyle name="Normal 8 3 3 2 6 2 2" xfId="16257" xr:uid="{979D5664-59BB-44DA-99AE-2C55B0D6701B}"/>
    <cellStyle name="Normal 8 3 3 2 6 3" xfId="12040" xr:uid="{AE88F00A-DC85-4694-903B-7BF510A2636A}"/>
    <cellStyle name="Normal 8 3 3 2 7" xfId="4866" xr:uid="{00000000-0005-0000-0000-0000951D0000}"/>
    <cellStyle name="Normal 8 3 3 2 7 2" xfId="14192" xr:uid="{4D0CFF4F-8C88-48AB-851A-F44CA41D21F8}"/>
    <cellStyle name="Normal 8 3 3 2 8" xfId="9084" xr:uid="{94243AB7-0454-4C95-8E94-054E46718167}"/>
    <cellStyle name="Normal 8 3 3 2 8 2" xfId="18408" xr:uid="{6C43875E-49E3-4EE1-8EAF-5AA69E6016FB}"/>
    <cellStyle name="Normal 8 3 3 2 9" xfId="9975" xr:uid="{D693D89E-AB50-4046-B2AA-F28041006AB8}"/>
    <cellStyle name="Normal 8 3 3 3" xfId="967" xr:uid="{00000000-0005-0000-0000-0000961D0000}"/>
    <cellStyle name="Normal 8 3 3 3 2" xfId="3201" xr:uid="{00000000-0005-0000-0000-0000971D0000}"/>
    <cellStyle name="Normal 8 3 3 3 2 2" xfId="7423" xr:uid="{00000000-0005-0000-0000-0000981D0000}"/>
    <cellStyle name="Normal 8 3 3 3 2 2 2" xfId="16749" xr:uid="{2F08A5CC-E49F-45BA-85EA-FAE2F1D902A1}"/>
    <cellStyle name="Normal 8 3 3 3 2 3" xfId="12532" xr:uid="{7EF8C106-BE08-4246-8157-588D127DA42D}"/>
    <cellStyle name="Normal 8 3 3 3 3" xfId="5278" xr:uid="{00000000-0005-0000-0000-0000991D0000}"/>
    <cellStyle name="Normal 8 3 3 3 3 2" xfId="14604" xr:uid="{15161019-D2B3-4179-8417-3DCF32141929}"/>
    <cellStyle name="Normal 8 3 3 3 4" xfId="9302" xr:uid="{3985B908-2B56-4F9B-BEA3-8962926FD004}"/>
    <cellStyle name="Normal 8 3 3 3 4 2" xfId="18617" xr:uid="{E02DFF7B-A594-420B-B7EF-63802D5B00DE}"/>
    <cellStyle name="Normal 8 3 3 3 5" xfId="10387" xr:uid="{A67E24A8-4D5A-481F-92F9-73D930F1C68B}"/>
    <cellStyle name="Normal 8 3 3 4" xfId="1384" xr:uid="{00000000-0005-0000-0000-00009A1D0000}"/>
    <cellStyle name="Normal 8 3 3 4 2" xfId="3614" xr:uid="{00000000-0005-0000-0000-00009B1D0000}"/>
    <cellStyle name="Normal 8 3 3 4 2 2" xfId="7836" xr:uid="{00000000-0005-0000-0000-00009C1D0000}"/>
    <cellStyle name="Normal 8 3 3 4 2 2 2" xfId="17162" xr:uid="{5FAC3B4A-3DBC-47F7-AB45-4A74817BA475}"/>
    <cellStyle name="Normal 8 3 3 4 2 3" xfId="12945" xr:uid="{D29107FA-65D5-4957-B243-FADBC9CA2D74}"/>
    <cellStyle name="Normal 8 3 3 4 3" xfId="5691" xr:uid="{00000000-0005-0000-0000-00009D1D0000}"/>
    <cellStyle name="Normal 8 3 3 4 3 2" xfId="15017" xr:uid="{B30E5EAD-70B0-4168-B1A4-41A32AA55923}"/>
    <cellStyle name="Normal 8 3 3 4 4" xfId="10800" xr:uid="{3FA6EC02-0684-49B7-AA55-6AF9050AED22}"/>
    <cellStyle name="Normal 8 3 3 5" xfId="1797" xr:uid="{00000000-0005-0000-0000-00009E1D0000}"/>
    <cellStyle name="Normal 8 3 3 5 2" xfId="4027" xr:uid="{00000000-0005-0000-0000-00009F1D0000}"/>
    <cellStyle name="Normal 8 3 3 5 2 2" xfId="8249" xr:uid="{00000000-0005-0000-0000-0000A01D0000}"/>
    <cellStyle name="Normal 8 3 3 5 2 2 2" xfId="17575" xr:uid="{BC0B036E-60EE-4318-A6F2-95C332C42377}"/>
    <cellStyle name="Normal 8 3 3 5 2 3" xfId="13358" xr:uid="{2AE419B2-B724-43FA-B1F6-9DE45845E3D1}"/>
    <cellStyle name="Normal 8 3 3 5 3" xfId="6104" xr:uid="{00000000-0005-0000-0000-0000A11D0000}"/>
    <cellStyle name="Normal 8 3 3 5 3 2" xfId="15430" xr:uid="{9DE392DB-3912-443A-B93F-A0B62E835130}"/>
    <cellStyle name="Normal 8 3 3 5 4" xfId="11213" xr:uid="{87190049-F41C-435F-A706-C878838E269F}"/>
    <cellStyle name="Normal 8 3 3 6" xfId="2211" xr:uid="{00000000-0005-0000-0000-0000A21D0000}"/>
    <cellStyle name="Normal 8 3 3 6 2" xfId="4440" xr:uid="{00000000-0005-0000-0000-0000A31D0000}"/>
    <cellStyle name="Normal 8 3 3 6 2 2" xfId="8662" xr:uid="{00000000-0005-0000-0000-0000A41D0000}"/>
    <cellStyle name="Normal 8 3 3 6 2 2 2" xfId="17988" xr:uid="{6640F994-48BE-418A-95DB-A9B021A57214}"/>
    <cellStyle name="Normal 8 3 3 6 2 3" xfId="13771" xr:uid="{7A608223-8D62-4AD0-81F0-0FE63026371B}"/>
    <cellStyle name="Normal 8 3 3 6 3" xfId="6517" xr:uid="{00000000-0005-0000-0000-0000A51D0000}"/>
    <cellStyle name="Normal 8 3 3 6 3 2" xfId="15843" xr:uid="{9486695E-678E-4C69-A071-4EFCF0F4C461}"/>
    <cellStyle name="Normal 8 3 3 6 4" xfId="11626" xr:uid="{BA3F3B72-9255-46C3-9984-89D37983177D}"/>
    <cellStyle name="Normal 8 3 3 7" xfId="2647" xr:uid="{00000000-0005-0000-0000-0000A61D0000}"/>
    <cellStyle name="Normal 8 3 3 7 2" xfId="6930" xr:uid="{00000000-0005-0000-0000-0000A71D0000}"/>
    <cellStyle name="Normal 8 3 3 7 2 2" xfId="16256" xr:uid="{648DF29C-2488-4AC1-B66A-48C07425025C}"/>
    <cellStyle name="Normal 8 3 3 7 3" xfId="12039" xr:uid="{EE40D3E9-AFC2-40B2-B573-C984A8204BC9}"/>
    <cellStyle name="Normal 8 3 3 8" xfId="4865" xr:uid="{00000000-0005-0000-0000-0000A81D0000}"/>
    <cellStyle name="Normal 8 3 3 8 2" xfId="14191" xr:uid="{760B0DE7-57EF-4378-AD58-7C204F960A06}"/>
    <cellStyle name="Normal 8 3 3 9" xfId="8877" xr:uid="{4F8231E3-800E-43E7-B1B6-9633EBFFFFE1}"/>
    <cellStyle name="Normal 8 3 3 9 2" xfId="18201" xr:uid="{EE7720A0-E975-4D79-BF79-586592FB292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6751" xr:uid="{A66911FF-B7E0-4134-BCBD-17F9CCA21E11}"/>
    <cellStyle name="Normal 8 3 4 2 2 3" xfId="12534" xr:uid="{E9D55331-5DEA-42BD-BAF9-CF93B40E31A8}"/>
    <cellStyle name="Normal 8 3 4 2 3" xfId="5280" xr:uid="{00000000-0005-0000-0000-0000AD1D0000}"/>
    <cellStyle name="Normal 8 3 4 2 3 2" xfId="14606" xr:uid="{CE38DC0D-0085-4B92-A646-7725AE7D82D4}"/>
    <cellStyle name="Normal 8 3 4 2 4" xfId="9406" xr:uid="{8751BE45-E47B-4A0A-B0DE-04C14FAEA88D}"/>
    <cellStyle name="Normal 8 3 4 2 4 2" xfId="18721" xr:uid="{685B11C3-2FB2-408C-8F6C-C73EAA50E9FB}"/>
    <cellStyle name="Normal 8 3 4 2 5" xfId="10389" xr:uid="{C5FD65B9-6CFC-4B7E-866B-648CF8168BB3}"/>
    <cellStyle name="Normal 8 3 4 3" xfId="1386" xr:uid="{00000000-0005-0000-0000-0000AE1D0000}"/>
    <cellStyle name="Normal 8 3 4 3 2" xfId="3616" xr:uid="{00000000-0005-0000-0000-0000AF1D0000}"/>
    <cellStyle name="Normal 8 3 4 3 2 2" xfId="7838" xr:uid="{00000000-0005-0000-0000-0000B01D0000}"/>
    <cellStyle name="Normal 8 3 4 3 2 2 2" xfId="17164" xr:uid="{F4B0F5F2-BE01-453B-92F8-8243C45A0392}"/>
    <cellStyle name="Normal 8 3 4 3 2 3" xfId="12947" xr:uid="{049AC857-044A-456B-AADA-189C71DFB9E6}"/>
    <cellStyle name="Normal 8 3 4 3 3" xfId="5693" xr:uid="{00000000-0005-0000-0000-0000B11D0000}"/>
    <cellStyle name="Normal 8 3 4 3 3 2" xfId="15019" xr:uid="{5C745135-06BC-4038-A22B-788D47ED9920}"/>
    <cellStyle name="Normal 8 3 4 3 4" xfId="10802" xr:uid="{A2AF84A0-FA54-497D-9E82-05E0A45CAF21}"/>
    <cellStyle name="Normal 8 3 4 4" xfId="1799" xr:uid="{00000000-0005-0000-0000-0000B21D0000}"/>
    <cellStyle name="Normal 8 3 4 4 2" xfId="4029" xr:uid="{00000000-0005-0000-0000-0000B31D0000}"/>
    <cellStyle name="Normal 8 3 4 4 2 2" xfId="8251" xr:uid="{00000000-0005-0000-0000-0000B41D0000}"/>
    <cellStyle name="Normal 8 3 4 4 2 2 2" xfId="17577" xr:uid="{A95B71D1-0484-4C89-82FC-F528AF90AE8A}"/>
    <cellStyle name="Normal 8 3 4 4 2 3" xfId="13360" xr:uid="{C8F77D85-6868-4E09-8679-78EC0F401D03}"/>
    <cellStyle name="Normal 8 3 4 4 3" xfId="6106" xr:uid="{00000000-0005-0000-0000-0000B51D0000}"/>
    <cellStyle name="Normal 8 3 4 4 3 2" xfId="15432" xr:uid="{532E4117-F7F5-4A3B-B7A5-3A36F481D80D}"/>
    <cellStyle name="Normal 8 3 4 4 4" xfId="11215" xr:uid="{10CA4E2A-4D44-4DBC-BA69-405401860763}"/>
    <cellStyle name="Normal 8 3 4 5" xfId="2213" xr:uid="{00000000-0005-0000-0000-0000B61D0000}"/>
    <cellStyle name="Normal 8 3 4 5 2" xfId="4442" xr:uid="{00000000-0005-0000-0000-0000B71D0000}"/>
    <cellStyle name="Normal 8 3 4 5 2 2" xfId="8664" xr:uid="{00000000-0005-0000-0000-0000B81D0000}"/>
    <cellStyle name="Normal 8 3 4 5 2 2 2" xfId="17990" xr:uid="{222D6BA8-EC22-4267-9A85-32C6C7A07A10}"/>
    <cellStyle name="Normal 8 3 4 5 2 3" xfId="13773" xr:uid="{2E967989-53E7-46E5-8461-5D3F5FD4AD0D}"/>
    <cellStyle name="Normal 8 3 4 5 3" xfId="6519" xr:uid="{00000000-0005-0000-0000-0000B91D0000}"/>
    <cellStyle name="Normal 8 3 4 5 3 2" xfId="15845" xr:uid="{8F50ADC4-4F71-4C23-8340-74D566D28D9B}"/>
    <cellStyle name="Normal 8 3 4 5 4" xfId="11628" xr:uid="{A672EA5B-ABBD-45E8-AF5C-F6857743C3C4}"/>
    <cellStyle name="Normal 8 3 4 6" xfId="2649" xr:uid="{00000000-0005-0000-0000-0000BA1D0000}"/>
    <cellStyle name="Normal 8 3 4 6 2" xfId="6932" xr:uid="{00000000-0005-0000-0000-0000BB1D0000}"/>
    <cellStyle name="Normal 8 3 4 6 2 2" xfId="16258" xr:uid="{3877F360-DA35-4963-92B8-2634D7B5556A}"/>
    <cellStyle name="Normal 8 3 4 6 3" xfId="12041" xr:uid="{D6B5C0A3-E086-4200-9392-CBD3457B504E}"/>
    <cellStyle name="Normal 8 3 4 7" xfId="4867" xr:uid="{00000000-0005-0000-0000-0000BC1D0000}"/>
    <cellStyle name="Normal 8 3 4 7 2" xfId="14193" xr:uid="{62D2D0F4-94B8-47B1-8960-21E8BF465F38}"/>
    <cellStyle name="Normal 8 3 4 8" xfId="8981" xr:uid="{BEE184E9-ECE6-4107-B29A-CC8BC7F28FA3}"/>
    <cellStyle name="Normal 8 3 4 8 2" xfId="18305" xr:uid="{973167FC-96FE-4BF4-8294-608B562AEFB7}"/>
    <cellStyle name="Normal 8 3 4 9" xfId="9976" xr:uid="{2459B28C-CE4C-4960-BDCF-FE2865EE959A}"/>
    <cellStyle name="Normal 8 3 5" xfId="962" xr:uid="{00000000-0005-0000-0000-0000BD1D0000}"/>
    <cellStyle name="Normal 8 3 5 2" xfId="3196" xr:uid="{00000000-0005-0000-0000-0000BE1D0000}"/>
    <cellStyle name="Normal 8 3 5 2 2" xfId="7418" xr:uid="{00000000-0005-0000-0000-0000BF1D0000}"/>
    <cellStyle name="Normal 8 3 5 2 2 2" xfId="16744" xr:uid="{5329B15C-C6D7-4C54-B12B-4635BA42F7AF}"/>
    <cellStyle name="Normal 8 3 5 2 3" xfId="12527" xr:uid="{EB323200-9697-41AD-AD01-5550FCAC694F}"/>
    <cellStyle name="Normal 8 3 5 3" xfId="5273" xr:uid="{00000000-0005-0000-0000-0000C01D0000}"/>
    <cellStyle name="Normal 8 3 5 3 2" xfId="14599" xr:uid="{66116E4C-B120-410F-8052-EF5988595D64}"/>
    <cellStyle name="Normal 8 3 5 4" xfId="9198" xr:uid="{FA5A5C79-C3AC-4E17-9344-90C4E411EE0B}"/>
    <cellStyle name="Normal 8 3 5 4 2" xfId="18514" xr:uid="{DF4FB64C-6427-48AB-8EB0-8C17FC7C0A8C}"/>
    <cellStyle name="Normal 8 3 5 5" xfId="10382" xr:uid="{64F3192A-EAA7-4BDD-B0E5-C83ECA09DDFA}"/>
    <cellStyle name="Normal 8 3 6" xfId="1379" xr:uid="{00000000-0005-0000-0000-0000C11D0000}"/>
    <cellStyle name="Normal 8 3 6 2" xfId="3609" xr:uid="{00000000-0005-0000-0000-0000C21D0000}"/>
    <cellStyle name="Normal 8 3 6 2 2" xfId="7831" xr:uid="{00000000-0005-0000-0000-0000C31D0000}"/>
    <cellStyle name="Normal 8 3 6 2 2 2" xfId="17157" xr:uid="{E6E72DAA-72A6-42E8-B7AC-5BB1EBAECAA7}"/>
    <cellStyle name="Normal 8 3 6 2 3" xfId="12940" xr:uid="{3B81F40F-0D3D-4270-9C7D-4D683C278BD2}"/>
    <cellStyle name="Normal 8 3 6 3" xfId="5686" xr:uid="{00000000-0005-0000-0000-0000C41D0000}"/>
    <cellStyle name="Normal 8 3 6 3 2" xfId="15012" xr:uid="{A7FBE28D-A7D2-4B89-912D-BCCE477C6543}"/>
    <cellStyle name="Normal 8 3 6 4" xfId="10795" xr:uid="{5B76D005-DAC6-4AE4-9E88-88AA26E3C210}"/>
    <cellStyle name="Normal 8 3 7" xfId="1792" xr:uid="{00000000-0005-0000-0000-0000C51D0000}"/>
    <cellStyle name="Normal 8 3 7 2" xfId="4022" xr:uid="{00000000-0005-0000-0000-0000C61D0000}"/>
    <cellStyle name="Normal 8 3 7 2 2" xfId="8244" xr:uid="{00000000-0005-0000-0000-0000C71D0000}"/>
    <cellStyle name="Normal 8 3 7 2 2 2" xfId="17570" xr:uid="{57D6D091-4938-41C1-A54F-B306148C2ACF}"/>
    <cellStyle name="Normal 8 3 7 2 3" xfId="13353" xr:uid="{C223FBCA-A4DC-4E15-894A-AB01F851AEC2}"/>
    <cellStyle name="Normal 8 3 7 3" xfId="6099" xr:uid="{00000000-0005-0000-0000-0000C81D0000}"/>
    <cellStyle name="Normal 8 3 7 3 2" xfId="15425" xr:uid="{D831F193-73D0-4FC9-AD53-5C937071F38C}"/>
    <cellStyle name="Normal 8 3 7 4" xfId="11208" xr:uid="{A5A6FE2E-1BC5-4D5C-9478-5E30CBFBACD6}"/>
    <cellStyle name="Normal 8 3 8" xfId="2206" xr:uid="{00000000-0005-0000-0000-0000C91D0000}"/>
    <cellStyle name="Normal 8 3 8 2" xfId="4435" xr:uid="{00000000-0005-0000-0000-0000CA1D0000}"/>
    <cellStyle name="Normal 8 3 8 2 2" xfId="8657" xr:uid="{00000000-0005-0000-0000-0000CB1D0000}"/>
    <cellStyle name="Normal 8 3 8 2 2 2" xfId="17983" xr:uid="{0B713872-8247-493B-AC50-F440BE2B7D24}"/>
    <cellStyle name="Normal 8 3 8 2 3" xfId="13766" xr:uid="{0443F488-268F-4ED2-AC48-1C0BE72680A6}"/>
    <cellStyle name="Normal 8 3 8 3" xfId="6512" xr:uid="{00000000-0005-0000-0000-0000CC1D0000}"/>
    <cellStyle name="Normal 8 3 8 3 2" xfId="15838" xr:uid="{DF184A83-4CEE-4ADB-9E71-A37131F7AF8C}"/>
    <cellStyle name="Normal 8 3 8 4" xfId="11621" xr:uid="{F1606891-2907-4547-835F-A7F070E83578}"/>
    <cellStyle name="Normal 8 3 9" xfId="2642" xr:uid="{00000000-0005-0000-0000-0000CD1D0000}"/>
    <cellStyle name="Normal 8 3 9 2" xfId="6925" xr:uid="{00000000-0005-0000-0000-0000CE1D0000}"/>
    <cellStyle name="Normal 8 3 9 2 2" xfId="16251" xr:uid="{421BD073-91CC-41B6-8582-263EDA0C42BD}"/>
    <cellStyle name="Normal 8 3 9 3" xfId="12034" xr:uid="{5B47B11C-0E92-4C23-A124-ABD66E9D0B17}"/>
    <cellStyle name="Normal 8 4" xfId="503" xr:uid="{00000000-0005-0000-0000-0000CF1D0000}"/>
    <cellStyle name="Normal 8 4 10" xfId="8834" xr:uid="{78848A4E-06FA-4050-B553-A3A7DEA1B047}"/>
    <cellStyle name="Normal 8 4 10 2" xfId="18158" xr:uid="{5D8711AE-63C4-420A-87A3-C6820A8060A8}"/>
    <cellStyle name="Normal 8 4 11" xfId="9977" xr:uid="{93B9D49B-EE0F-4417-823B-045BDF3FB719}"/>
    <cellStyle name="Normal 8 4 2" xfId="504" xr:uid="{00000000-0005-0000-0000-0000D01D0000}"/>
    <cellStyle name="Normal 8 4 2 10" xfId="9978" xr:uid="{A17A935C-86E5-4FAF-86BD-7C4CC9618107}"/>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54" xr:uid="{55837277-25A6-446A-9C9E-80547772B4A3}"/>
    <cellStyle name="Normal 8 4 2 2 2 2 3" xfId="12537" xr:uid="{38BCD175-EAF6-4B8F-A52F-379E643453F7}"/>
    <cellStyle name="Normal 8 4 2 2 2 3" xfId="5283" xr:uid="{00000000-0005-0000-0000-0000D51D0000}"/>
    <cellStyle name="Normal 8 4 2 2 2 3 2" xfId="14609" xr:uid="{93C4D8C0-9027-41C8-A5EB-C9A51D1A2F59}"/>
    <cellStyle name="Normal 8 4 2 2 2 4" xfId="9569" xr:uid="{F21122F8-27BB-4D46-891E-281F736F5353}"/>
    <cellStyle name="Normal 8 4 2 2 2 4 2" xfId="18884" xr:uid="{41586F10-11BE-4A3A-9423-B85AE9389843}"/>
    <cellStyle name="Normal 8 4 2 2 2 5" xfId="10392" xr:uid="{10B6CC22-37B8-4EB8-B026-3A574D6335EB}"/>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67" xr:uid="{392F50EC-487A-43E8-BA29-E94509D51534}"/>
    <cellStyle name="Normal 8 4 2 2 3 2 3" xfId="12950" xr:uid="{3FD9D1A9-9DB9-4918-89AF-9622D219D8BA}"/>
    <cellStyle name="Normal 8 4 2 2 3 3" xfId="5696" xr:uid="{00000000-0005-0000-0000-0000D91D0000}"/>
    <cellStyle name="Normal 8 4 2 2 3 3 2" xfId="15022" xr:uid="{50FA529B-AE38-4A58-801A-7A4B85A194F7}"/>
    <cellStyle name="Normal 8 4 2 2 3 4" xfId="10805" xr:uid="{81AD1C4D-F58A-424D-82B3-1FC8DD6BCA66}"/>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80" xr:uid="{208788B7-5CFA-4C53-8491-2DE8E1E5EE74}"/>
    <cellStyle name="Normal 8 4 2 2 4 2 3" xfId="13363" xr:uid="{FD8734EB-43C9-45A0-AADF-B044D6FCD1FE}"/>
    <cellStyle name="Normal 8 4 2 2 4 3" xfId="6109" xr:uid="{00000000-0005-0000-0000-0000DD1D0000}"/>
    <cellStyle name="Normal 8 4 2 2 4 3 2" xfId="15435" xr:uid="{FBD08FF6-A8CF-4F5D-BE43-B0C9D06A4B08}"/>
    <cellStyle name="Normal 8 4 2 2 4 4" xfId="11218" xr:uid="{A944960C-539E-44EC-B0A1-E26E3975A8CB}"/>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93" xr:uid="{BA59FF6F-B4FE-4D55-AAC1-4DD127940DF6}"/>
    <cellStyle name="Normal 8 4 2 2 5 2 3" xfId="13776" xr:uid="{C56C556F-ABA7-487C-A8E7-D76FD50D919B}"/>
    <cellStyle name="Normal 8 4 2 2 5 3" xfId="6522" xr:uid="{00000000-0005-0000-0000-0000E11D0000}"/>
    <cellStyle name="Normal 8 4 2 2 5 3 2" xfId="15848" xr:uid="{EAFAD466-09B7-4E4A-8ACF-40DED38B7058}"/>
    <cellStyle name="Normal 8 4 2 2 5 4" xfId="11631" xr:uid="{927642F8-C2A8-4179-84E4-89AF6E250188}"/>
    <cellStyle name="Normal 8 4 2 2 6" xfId="2652" xr:uid="{00000000-0005-0000-0000-0000E21D0000}"/>
    <cellStyle name="Normal 8 4 2 2 6 2" xfId="6935" xr:uid="{00000000-0005-0000-0000-0000E31D0000}"/>
    <cellStyle name="Normal 8 4 2 2 6 2 2" xfId="16261" xr:uid="{C514812D-ACDD-4302-9669-CB5710982B6D}"/>
    <cellStyle name="Normal 8 4 2 2 6 3" xfId="12044" xr:uid="{A7CD2C49-49B2-4A38-8BD1-C1484BE38D39}"/>
    <cellStyle name="Normal 8 4 2 2 7" xfId="4870" xr:uid="{00000000-0005-0000-0000-0000E41D0000}"/>
    <cellStyle name="Normal 8 4 2 2 7 2" xfId="14196" xr:uid="{3AD1375A-E577-4265-91CA-D727BF2F55E9}"/>
    <cellStyle name="Normal 8 4 2 2 8" xfId="9144" xr:uid="{EF6B0978-3DE8-47DC-990C-0B47AAC8F1DC}"/>
    <cellStyle name="Normal 8 4 2 2 8 2" xfId="18468" xr:uid="{399015B7-C779-48E1-81B8-82684094988D}"/>
    <cellStyle name="Normal 8 4 2 2 9" xfId="9979" xr:uid="{510E64DA-D7A4-416F-9D83-59417E0EA2CB}"/>
    <cellStyle name="Normal 8 4 2 3" xfId="971" xr:uid="{00000000-0005-0000-0000-0000E51D0000}"/>
    <cellStyle name="Normal 8 4 2 3 2" xfId="3205" xr:uid="{00000000-0005-0000-0000-0000E61D0000}"/>
    <cellStyle name="Normal 8 4 2 3 2 2" xfId="7427" xr:uid="{00000000-0005-0000-0000-0000E71D0000}"/>
    <cellStyle name="Normal 8 4 2 3 2 2 2" xfId="16753" xr:uid="{1BB0B3ED-AF18-4744-BD91-D973F80FE9D0}"/>
    <cellStyle name="Normal 8 4 2 3 2 3" xfId="12536" xr:uid="{618E4BAA-1F6D-4FF8-ADF7-5BE91A66D6FF}"/>
    <cellStyle name="Normal 8 4 2 3 3" xfId="5282" xr:uid="{00000000-0005-0000-0000-0000E81D0000}"/>
    <cellStyle name="Normal 8 4 2 3 3 2" xfId="14608" xr:uid="{F4634474-F1CA-4900-8FCE-94801200DDA7}"/>
    <cellStyle name="Normal 8 4 2 3 4" xfId="9362" xr:uid="{206856BB-FDDB-4012-ABFE-5E991E477A14}"/>
    <cellStyle name="Normal 8 4 2 3 4 2" xfId="18677" xr:uid="{03C2F13D-38C6-4962-AB0A-33736C98389F}"/>
    <cellStyle name="Normal 8 4 2 3 5" xfId="10391" xr:uid="{FC6BF071-C091-4C0B-865D-64BED9E458A5}"/>
    <cellStyle name="Normal 8 4 2 4" xfId="1388" xr:uid="{00000000-0005-0000-0000-0000E91D0000}"/>
    <cellStyle name="Normal 8 4 2 4 2" xfId="3618" xr:uid="{00000000-0005-0000-0000-0000EA1D0000}"/>
    <cellStyle name="Normal 8 4 2 4 2 2" xfId="7840" xr:uid="{00000000-0005-0000-0000-0000EB1D0000}"/>
    <cellStyle name="Normal 8 4 2 4 2 2 2" xfId="17166" xr:uid="{92D9792E-5475-4F54-AB92-B5BCD0B9E917}"/>
    <cellStyle name="Normal 8 4 2 4 2 3" xfId="12949" xr:uid="{5E5ABF3B-DA55-4E25-8E6B-A8CE73E08FEF}"/>
    <cellStyle name="Normal 8 4 2 4 3" xfId="5695" xr:uid="{00000000-0005-0000-0000-0000EC1D0000}"/>
    <cellStyle name="Normal 8 4 2 4 3 2" xfId="15021" xr:uid="{48FB9705-EA6E-4E70-B679-E774363A5B35}"/>
    <cellStyle name="Normal 8 4 2 4 4" xfId="10804" xr:uid="{C0D569FC-1EC1-4F1D-B9B6-859955667BBC}"/>
    <cellStyle name="Normal 8 4 2 5" xfId="1801" xr:uid="{00000000-0005-0000-0000-0000ED1D0000}"/>
    <cellStyle name="Normal 8 4 2 5 2" xfId="4031" xr:uid="{00000000-0005-0000-0000-0000EE1D0000}"/>
    <cellStyle name="Normal 8 4 2 5 2 2" xfId="8253" xr:uid="{00000000-0005-0000-0000-0000EF1D0000}"/>
    <cellStyle name="Normal 8 4 2 5 2 2 2" xfId="17579" xr:uid="{8F59E868-35BD-4E64-9A62-651D35F60848}"/>
    <cellStyle name="Normal 8 4 2 5 2 3" xfId="13362" xr:uid="{D6D39405-9979-492A-8FE8-8C31CBF3399F}"/>
    <cellStyle name="Normal 8 4 2 5 3" xfId="6108" xr:uid="{00000000-0005-0000-0000-0000F01D0000}"/>
    <cellStyle name="Normal 8 4 2 5 3 2" xfId="15434" xr:uid="{20D47CB0-2433-4B20-A4A1-C0C4F19A988F}"/>
    <cellStyle name="Normal 8 4 2 5 4" xfId="11217" xr:uid="{7F6FA405-CB75-46F6-9D42-061B868A4CA2}"/>
    <cellStyle name="Normal 8 4 2 6" xfId="2215" xr:uid="{00000000-0005-0000-0000-0000F11D0000}"/>
    <cellStyle name="Normal 8 4 2 6 2" xfId="4444" xr:uid="{00000000-0005-0000-0000-0000F21D0000}"/>
    <cellStyle name="Normal 8 4 2 6 2 2" xfId="8666" xr:uid="{00000000-0005-0000-0000-0000F31D0000}"/>
    <cellStyle name="Normal 8 4 2 6 2 2 2" xfId="17992" xr:uid="{6752E22D-AA57-4A0A-8C32-4E4B5A3532BF}"/>
    <cellStyle name="Normal 8 4 2 6 2 3" xfId="13775" xr:uid="{408BFCCA-6B60-4E70-8E40-396A3C3523B3}"/>
    <cellStyle name="Normal 8 4 2 6 3" xfId="6521" xr:uid="{00000000-0005-0000-0000-0000F41D0000}"/>
    <cellStyle name="Normal 8 4 2 6 3 2" xfId="15847" xr:uid="{04189630-4EAC-4D13-9E40-A4A4F0E2D8A5}"/>
    <cellStyle name="Normal 8 4 2 6 4" xfId="11630" xr:uid="{08926885-68EB-42B5-94BB-C89A7EB7A6B4}"/>
    <cellStyle name="Normal 8 4 2 7" xfId="2651" xr:uid="{00000000-0005-0000-0000-0000F51D0000}"/>
    <cellStyle name="Normal 8 4 2 7 2" xfId="6934" xr:uid="{00000000-0005-0000-0000-0000F61D0000}"/>
    <cellStyle name="Normal 8 4 2 7 2 2" xfId="16260" xr:uid="{25E8E95F-7AD4-49A2-B9E0-52B80416EDA3}"/>
    <cellStyle name="Normal 8 4 2 7 3" xfId="12043" xr:uid="{FCAE0E7F-E523-4400-A435-F31C400C6F0A}"/>
    <cellStyle name="Normal 8 4 2 8" xfId="4869" xr:uid="{00000000-0005-0000-0000-0000F71D0000}"/>
    <cellStyle name="Normal 8 4 2 8 2" xfId="14195" xr:uid="{DDB6BAD3-E884-450C-9FDA-D1322DC60B56}"/>
    <cellStyle name="Normal 8 4 2 9" xfId="8937" xr:uid="{B425CDA4-C1C1-4A6C-AB85-CE28E324A88F}"/>
    <cellStyle name="Normal 8 4 2 9 2" xfId="18261" xr:uid="{85B80512-D833-420A-BE27-AF6815E22EC9}"/>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6755" xr:uid="{AC2AF855-19FC-49D9-99C1-51DDFBF795A7}"/>
    <cellStyle name="Normal 8 4 3 2 2 3" xfId="12538" xr:uid="{5B352F3F-58A4-48F5-BEC4-ACB979F65F93}"/>
    <cellStyle name="Normal 8 4 3 2 3" xfId="5284" xr:uid="{00000000-0005-0000-0000-0000FC1D0000}"/>
    <cellStyle name="Normal 8 4 3 2 3 2" xfId="14610" xr:uid="{9FFD3D1F-DD30-42CA-8596-11F53D696C0D}"/>
    <cellStyle name="Normal 8 4 3 2 4" xfId="9466" xr:uid="{4C42748F-6D34-4D0D-8AE2-FFD5C0CBE26F}"/>
    <cellStyle name="Normal 8 4 3 2 4 2" xfId="18781" xr:uid="{42F07E58-7965-4C09-AFEF-B60162F8E6B4}"/>
    <cellStyle name="Normal 8 4 3 2 5" xfId="10393" xr:uid="{88F482E6-94A7-42A2-AA35-AE2E189E287F}"/>
    <cellStyle name="Normal 8 4 3 3" xfId="1390" xr:uid="{00000000-0005-0000-0000-0000FD1D0000}"/>
    <cellStyle name="Normal 8 4 3 3 2" xfId="3620" xr:uid="{00000000-0005-0000-0000-0000FE1D0000}"/>
    <cellStyle name="Normal 8 4 3 3 2 2" xfId="7842" xr:uid="{00000000-0005-0000-0000-0000FF1D0000}"/>
    <cellStyle name="Normal 8 4 3 3 2 2 2" xfId="17168" xr:uid="{411B754D-91C6-4DF0-AF12-8A1A2968F3B9}"/>
    <cellStyle name="Normal 8 4 3 3 2 3" xfId="12951" xr:uid="{E94B24C1-3536-4E24-9C44-9CF10D51BEA8}"/>
    <cellStyle name="Normal 8 4 3 3 3" xfId="5697" xr:uid="{00000000-0005-0000-0000-0000001E0000}"/>
    <cellStyle name="Normal 8 4 3 3 3 2" xfId="15023" xr:uid="{5E9EED14-FBBC-4705-A308-B36A71DA6E56}"/>
    <cellStyle name="Normal 8 4 3 3 4" xfId="10806" xr:uid="{7D58DE7D-0080-40B1-A088-9E06BFDC7A5A}"/>
    <cellStyle name="Normal 8 4 3 4" xfId="1803" xr:uid="{00000000-0005-0000-0000-0000011E0000}"/>
    <cellStyle name="Normal 8 4 3 4 2" xfId="4033" xr:uid="{00000000-0005-0000-0000-0000021E0000}"/>
    <cellStyle name="Normal 8 4 3 4 2 2" xfId="8255" xr:uid="{00000000-0005-0000-0000-0000031E0000}"/>
    <cellStyle name="Normal 8 4 3 4 2 2 2" xfId="17581" xr:uid="{7687434B-BED0-45EB-B616-D47AD324B5D6}"/>
    <cellStyle name="Normal 8 4 3 4 2 3" xfId="13364" xr:uid="{9C2AF43E-C766-4846-B3A1-8F1DF12A9110}"/>
    <cellStyle name="Normal 8 4 3 4 3" xfId="6110" xr:uid="{00000000-0005-0000-0000-0000041E0000}"/>
    <cellStyle name="Normal 8 4 3 4 3 2" xfId="15436" xr:uid="{99121952-E5B6-41F4-A359-49FCEEFC9BE5}"/>
    <cellStyle name="Normal 8 4 3 4 4" xfId="11219" xr:uid="{307E02C7-A106-4572-80C9-364F93D7F94F}"/>
    <cellStyle name="Normal 8 4 3 5" xfId="2217" xr:uid="{00000000-0005-0000-0000-0000051E0000}"/>
    <cellStyle name="Normal 8 4 3 5 2" xfId="4446" xr:uid="{00000000-0005-0000-0000-0000061E0000}"/>
    <cellStyle name="Normal 8 4 3 5 2 2" xfId="8668" xr:uid="{00000000-0005-0000-0000-0000071E0000}"/>
    <cellStyle name="Normal 8 4 3 5 2 2 2" xfId="17994" xr:uid="{8CF14058-463F-451A-A3F9-6C6BBEEA6F00}"/>
    <cellStyle name="Normal 8 4 3 5 2 3" xfId="13777" xr:uid="{286BD226-60E8-4B6F-85A2-F8C89AD5D571}"/>
    <cellStyle name="Normal 8 4 3 5 3" xfId="6523" xr:uid="{00000000-0005-0000-0000-0000081E0000}"/>
    <cellStyle name="Normal 8 4 3 5 3 2" xfId="15849" xr:uid="{B6A5E675-71D6-44FC-AABE-775781657949}"/>
    <cellStyle name="Normal 8 4 3 5 4" xfId="11632" xr:uid="{226DF554-7D8C-4303-BDA9-4F7F56B06D59}"/>
    <cellStyle name="Normal 8 4 3 6" xfId="2653" xr:uid="{00000000-0005-0000-0000-0000091E0000}"/>
    <cellStyle name="Normal 8 4 3 6 2" xfId="6936" xr:uid="{00000000-0005-0000-0000-00000A1E0000}"/>
    <cellStyle name="Normal 8 4 3 6 2 2" xfId="16262" xr:uid="{853D786E-1C13-4590-BD25-865C7832B9F1}"/>
    <cellStyle name="Normal 8 4 3 6 3" xfId="12045" xr:uid="{3FA016F6-F6BD-4246-8BE4-8C0FE31E3224}"/>
    <cellStyle name="Normal 8 4 3 7" xfId="4871" xr:uid="{00000000-0005-0000-0000-00000B1E0000}"/>
    <cellStyle name="Normal 8 4 3 7 2" xfId="14197" xr:uid="{104E1432-82D4-43E1-9251-2F9FDFE6B68C}"/>
    <cellStyle name="Normal 8 4 3 8" xfId="9041" xr:uid="{3EA15F1E-D38A-4BB8-BEC6-98D9A94BB79B}"/>
    <cellStyle name="Normal 8 4 3 8 2" xfId="18365" xr:uid="{DD7917BA-C745-4836-A9B2-8685C1F4977B}"/>
    <cellStyle name="Normal 8 4 3 9" xfId="9980" xr:uid="{207BBC43-A06C-4ED0-8DEA-06E7F4A04B37}"/>
    <cellStyle name="Normal 8 4 4" xfId="970" xr:uid="{00000000-0005-0000-0000-00000C1E0000}"/>
    <cellStyle name="Normal 8 4 4 2" xfId="3204" xr:uid="{00000000-0005-0000-0000-00000D1E0000}"/>
    <cellStyle name="Normal 8 4 4 2 2" xfId="7426" xr:uid="{00000000-0005-0000-0000-00000E1E0000}"/>
    <cellStyle name="Normal 8 4 4 2 2 2" xfId="16752" xr:uid="{ABB79CAB-8103-40FF-9C67-E42BFB93689F}"/>
    <cellStyle name="Normal 8 4 4 2 3" xfId="12535" xr:uid="{096E1C6C-86F9-4B65-B97D-E8F2295CE937}"/>
    <cellStyle name="Normal 8 4 4 3" xfId="5281" xr:uid="{00000000-0005-0000-0000-00000F1E0000}"/>
    <cellStyle name="Normal 8 4 4 3 2" xfId="14607" xr:uid="{AC386F5D-6B06-40BB-8A11-BE3C31450B8C}"/>
    <cellStyle name="Normal 8 4 4 4" xfId="9259" xr:uid="{45904BAA-3C39-482B-A2B6-0FB84C0B889C}"/>
    <cellStyle name="Normal 8 4 4 4 2" xfId="18574" xr:uid="{C5929953-E8EF-4CB1-BB9B-A87354918A30}"/>
    <cellStyle name="Normal 8 4 4 5" xfId="10390" xr:uid="{9D09468F-D71C-49B2-BD8C-74D6D986CB42}"/>
    <cellStyle name="Normal 8 4 5" xfId="1387" xr:uid="{00000000-0005-0000-0000-0000101E0000}"/>
    <cellStyle name="Normal 8 4 5 2" xfId="3617" xr:uid="{00000000-0005-0000-0000-0000111E0000}"/>
    <cellStyle name="Normal 8 4 5 2 2" xfId="7839" xr:uid="{00000000-0005-0000-0000-0000121E0000}"/>
    <cellStyle name="Normal 8 4 5 2 2 2" xfId="17165" xr:uid="{C5760A2C-1207-4B51-A3F9-FFFF40360722}"/>
    <cellStyle name="Normal 8 4 5 2 3" xfId="12948" xr:uid="{0830DCFE-E6C5-4895-95ED-7F3DD9F0C6EB}"/>
    <cellStyle name="Normal 8 4 5 3" xfId="5694" xr:uid="{00000000-0005-0000-0000-0000131E0000}"/>
    <cellStyle name="Normal 8 4 5 3 2" xfId="15020" xr:uid="{A3F23DA6-197F-4BC5-ACB3-1FCBB9EA51B9}"/>
    <cellStyle name="Normal 8 4 5 4" xfId="10803" xr:uid="{F519DDDA-2335-4E75-BAE8-B73074B85827}"/>
    <cellStyle name="Normal 8 4 6" xfId="1800" xr:uid="{00000000-0005-0000-0000-0000141E0000}"/>
    <cellStyle name="Normal 8 4 6 2" xfId="4030" xr:uid="{00000000-0005-0000-0000-0000151E0000}"/>
    <cellStyle name="Normal 8 4 6 2 2" xfId="8252" xr:uid="{00000000-0005-0000-0000-0000161E0000}"/>
    <cellStyle name="Normal 8 4 6 2 2 2" xfId="17578" xr:uid="{1FA9441E-4FA3-4FDD-87F6-C47F3B53E785}"/>
    <cellStyle name="Normal 8 4 6 2 3" xfId="13361" xr:uid="{A267FB65-04A2-44A9-BFBF-076B41163BA9}"/>
    <cellStyle name="Normal 8 4 6 3" xfId="6107" xr:uid="{00000000-0005-0000-0000-0000171E0000}"/>
    <cellStyle name="Normal 8 4 6 3 2" xfId="15433" xr:uid="{E7003611-EFA3-45DC-926E-167281AA4618}"/>
    <cellStyle name="Normal 8 4 6 4" xfId="11216" xr:uid="{52246A8C-05A3-4F84-A2DC-FC65251EA0F5}"/>
    <cellStyle name="Normal 8 4 7" xfId="2214" xr:uid="{00000000-0005-0000-0000-0000181E0000}"/>
    <cellStyle name="Normal 8 4 7 2" xfId="4443" xr:uid="{00000000-0005-0000-0000-0000191E0000}"/>
    <cellStyle name="Normal 8 4 7 2 2" xfId="8665" xr:uid="{00000000-0005-0000-0000-00001A1E0000}"/>
    <cellStyle name="Normal 8 4 7 2 2 2" xfId="17991" xr:uid="{77EF17CB-8597-43E4-B555-6F1990216E5F}"/>
    <cellStyle name="Normal 8 4 7 2 3" xfId="13774" xr:uid="{2F986D28-3782-4173-A0C5-4613E13A0B3D}"/>
    <cellStyle name="Normal 8 4 7 3" xfId="6520" xr:uid="{00000000-0005-0000-0000-00001B1E0000}"/>
    <cellStyle name="Normal 8 4 7 3 2" xfId="15846" xr:uid="{0F5330E2-56D2-4335-A8BF-00D155144177}"/>
    <cellStyle name="Normal 8 4 7 4" xfId="11629" xr:uid="{6D892E4D-6CC7-4707-9F6C-C05880586009}"/>
    <cellStyle name="Normal 8 4 8" xfId="2650" xr:uid="{00000000-0005-0000-0000-00001C1E0000}"/>
    <cellStyle name="Normal 8 4 8 2" xfId="6933" xr:uid="{00000000-0005-0000-0000-00001D1E0000}"/>
    <cellStyle name="Normal 8 4 8 2 2" xfId="16259" xr:uid="{7FF6F1DA-0D11-4140-87EC-08CC5642C7E2}"/>
    <cellStyle name="Normal 8 4 8 3" xfId="12042" xr:uid="{86891138-9F23-47C2-B66D-DC51FCA7AF5D}"/>
    <cellStyle name="Normal 8 4 9" xfId="4868" xr:uid="{00000000-0005-0000-0000-00001E1E0000}"/>
    <cellStyle name="Normal 8 4 9 2" xfId="14194" xr:uid="{ED2087C4-285E-436F-B3E9-547303B809E7}"/>
    <cellStyle name="Normal 8 5" xfId="507" xr:uid="{00000000-0005-0000-0000-00001F1E0000}"/>
    <cellStyle name="Normal 8 5 10" xfId="9981" xr:uid="{08A31678-0A9C-491D-A892-B05026EB78F6}"/>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6757" xr:uid="{6DA21A80-9D61-47BB-A546-2CADBEB17D0D}"/>
    <cellStyle name="Normal 8 5 2 2 2 3" xfId="12540" xr:uid="{E5776710-73DC-4271-8BA3-39B6430268AD}"/>
    <cellStyle name="Normal 8 5 2 2 3" xfId="5286" xr:uid="{00000000-0005-0000-0000-0000241E0000}"/>
    <cellStyle name="Normal 8 5 2 2 3 2" xfId="14612" xr:uid="{709F9A43-D2EE-4B4E-825A-A2688FA52AB8}"/>
    <cellStyle name="Normal 8 5 2 2 4" xfId="9477" xr:uid="{62ED1F43-6081-4B0B-94C3-5999D37D11C7}"/>
    <cellStyle name="Normal 8 5 2 2 4 2" xfId="18792" xr:uid="{12B7A46F-71DF-4C14-8FF5-023643BDC81F}"/>
    <cellStyle name="Normal 8 5 2 2 5" xfId="10395" xr:uid="{529D6CFC-CC36-48AC-8EDA-3B66B896D9B8}"/>
    <cellStyle name="Normal 8 5 2 3" xfId="1392" xr:uid="{00000000-0005-0000-0000-0000251E0000}"/>
    <cellStyle name="Normal 8 5 2 3 2" xfId="3622" xr:uid="{00000000-0005-0000-0000-0000261E0000}"/>
    <cellStyle name="Normal 8 5 2 3 2 2" xfId="7844" xr:uid="{00000000-0005-0000-0000-0000271E0000}"/>
    <cellStyle name="Normal 8 5 2 3 2 2 2" xfId="17170" xr:uid="{9F6721DC-FDC7-4FBF-93D9-02B358013926}"/>
    <cellStyle name="Normal 8 5 2 3 2 3" xfId="12953" xr:uid="{71A48729-6D43-4BF2-947B-1BD734C99ABD}"/>
    <cellStyle name="Normal 8 5 2 3 3" xfId="5699" xr:uid="{00000000-0005-0000-0000-0000281E0000}"/>
    <cellStyle name="Normal 8 5 2 3 3 2" xfId="15025" xr:uid="{9B1C035F-50CA-480F-8A35-8189A0FF9C6B}"/>
    <cellStyle name="Normal 8 5 2 3 4" xfId="10808" xr:uid="{40F14BD2-714D-498D-81A4-DCC781CA1A5A}"/>
    <cellStyle name="Normal 8 5 2 4" xfId="1805" xr:uid="{00000000-0005-0000-0000-0000291E0000}"/>
    <cellStyle name="Normal 8 5 2 4 2" xfId="4035" xr:uid="{00000000-0005-0000-0000-00002A1E0000}"/>
    <cellStyle name="Normal 8 5 2 4 2 2" xfId="8257" xr:uid="{00000000-0005-0000-0000-00002B1E0000}"/>
    <cellStyle name="Normal 8 5 2 4 2 2 2" xfId="17583" xr:uid="{98C61C29-7A74-4967-8A88-F71E66EDD046}"/>
    <cellStyle name="Normal 8 5 2 4 2 3" xfId="13366" xr:uid="{D0038D50-A8D7-42F5-96FF-BDB283205604}"/>
    <cellStyle name="Normal 8 5 2 4 3" xfId="6112" xr:uid="{00000000-0005-0000-0000-00002C1E0000}"/>
    <cellStyle name="Normal 8 5 2 4 3 2" xfId="15438" xr:uid="{072FC974-2C03-4341-8F06-C25C8E53A0E3}"/>
    <cellStyle name="Normal 8 5 2 4 4" xfId="11221" xr:uid="{CB69E66B-49CF-4DDA-8A04-EF494003BD53}"/>
    <cellStyle name="Normal 8 5 2 5" xfId="2219" xr:uid="{00000000-0005-0000-0000-00002D1E0000}"/>
    <cellStyle name="Normal 8 5 2 5 2" xfId="4448" xr:uid="{00000000-0005-0000-0000-00002E1E0000}"/>
    <cellStyle name="Normal 8 5 2 5 2 2" xfId="8670" xr:uid="{00000000-0005-0000-0000-00002F1E0000}"/>
    <cellStyle name="Normal 8 5 2 5 2 2 2" xfId="17996" xr:uid="{1844467E-4A47-4DA4-BFAD-3B0B5200593A}"/>
    <cellStyle name="Normal 8 5 2 5 2 3" xfId="13779" xr:uid="{5B9E7083-B224-4E7A-9FD4-FC0EE783BA6C}"/>
    <cellStyle name="Normal 8 5 2 5 3" xfId="6525" xr:uid="{00000000-0005-0000-0000-0000301E0000}"/>
    <cellStyle name="Normal 8 5 2 5 3 2" xfId="15851" xr:uid="{2A9D531A-DC8E-48C9-BF5E-8B3B324A234B}"/>
    <cellStyle name="Normal 8 5 2 5 4" xfId="11634" xr:uid="{37BF0921-6964-4A27-821A-D157233179EA}"/>
    <cellStyle name="Normal 8 5 2 6" xfId="2655" xr:uid="{00000000-0005-0000-0000-0000311E0000}"/>
    <cellStyle name="Normal 8 5 2 6 2" xfId="6938" xr:uid="{00000000-0005-0000-0000-0000321E0000}"/>
    <cellStyle name="Normal 8 5 2 6 2 2" xfId="16264" xr:uid="{CE3A2EAA-EF5D-4130-83C6-473D4FEB9E73}"/>
    <cellStyle name="Normal 8 5 2 6 3" xfId="12047" xr:uid="{86EED079-CA01-4758-BF2E-C7A2A1D0AA96}"/>
    <cellStyle name="Normal 8 5 2 7" xfId="4873" xr:uid="{00000000-0005-0000-0000-0000331E0000}"/>
    <cellStyle name="Normal 8 5 2 7 2" xfId="14199" xr:uid="{E0FD9FAE-982C-4E87-B92D-404CA1C84D38}"/>
    <cellStyle name="Normal 8 5 2 8" xfId="9052" xr:uid="{D754D15A-EECE-4975-9542-AF3C340304E3}"/>
    <cellStyle name="Normal 8 5 2 8 2" xfId="18376" xr:uid="{C46696D3-A882-40E2-8C06-C6D9891CDBB5}"/>
    <cellStyle name="Normal 8 5 2 9" xfId="9982" xr:uid="{2FF44950-6873-4646-AD16-577AA539EC85}"/>
    <cellStyle name="Normal 8 5 3" xfId="974" xr:uid="{00000000-0005-0000-0000-0000341E0000}"/>
    <cellStyle name="Normal 8 5 3 2" xfId="3208" xr:uid="{00000000-0005-0000-0000-0000351E0000}"/>
    <cellStyle name="Normal 8 5 3 2 2" xfId="7430" xr:uid="{00000000-0005-0000-0000-0000361E0000}"/>
    <cellStyle name="Normal 8 5 3 2 2 2" xfId="16756" xr:uid="{EDCD0A8D-BCD3-424D-8EFD-5161FAAB5E57}"/>
    <cellStyle name="Normal 8 5 3 2 3" xfId="12539" xr:uid="{7FAA6FCC-2853-4D19-A79B-2B03CF25A6D5}"/>
    <cellStyle name="Normal 8 5 3 3" xfId="5285" xr:uid="{00000000-0005-0000-0000-0000371E0000}"/>
    <cellStyle name="Normal 8 5 3 3 2" xfId="14611" xr:uid="{904A276F-B311-469F-B5F5-4B76BC2C37AC}"/>
    <cellStyle name="Normal 8 5 3 4" xfId="9270" xr:uid="{88F9D262-71F2-4DD2-A7F6-B0DCE74ABD45}"/>
    <cellStyle name="Normal 8 5 3 4 2" xfId="18585" xr:uid="{98DC2AD2-FAD3-4BBF-8584-16B684B501D2}"/>
    <cellStyle name="Normal 8 5 3 5" xfId="10394" xr:uid="{81DFCD6C-97C9-40FB-A161-D1D0930FC336}"/>
    <cellStyle name="Normal 8 5 4" xfId="1391" xr:uid="{00000000-0005-0000-0000-0000381E0000}"/>
    <cellStyle name="Normal 8 5 4 2" xfId="3621" xr:uid="{00000000-0005-0000-0000-0000391E0000}"/>
    <cellStyle name="Normal 8 5 4 2 2" xfId="7843" xr:uid="{00000000-0005-0000-0000-00003A1E0000}"/>
    <cellStyle name="Normal 8 5 4 2 2 2" xfId="17169" xr:uid="{244E0F0C-F1B6-430D-9E94-1DDA389D7868}"/>
    <cellStyle name="Normal 8 5 4 2 3" xfId="12952" xr:uid="{AA535D8C-08CB-4F19-8D6E-6A43265A521E}"/>
    <cellStyle name="Normal 8 5 4 3" xfId="5698" xr:uid="{00000000-0005-0000-0000-00003B1E0000}"/>
    <cellStyle name="Normal 8 5 4 3 2" xfId="15024" xr:uid="{4F4A3810-D7B8-4A5E-B3A2-6BCF79504898}"/>
    <cellStyle name="Normal 8 5 4 4" xfId="10807" xr:uid="{EE2D56A3-988C-43F0-BD4E-0A89A16EB641}"/>
    <cellStyle name="Normal 8 5 5" xfId="1804" xr:uid="{00000000-0005-0000-0000-00003C1E0000}"/>
    <cellStyle name="Normal 8 5 5 2" xfId="4034" xr:uid="{00000000-0005-0000-0000-00003D1E0000}"/>
    <cellStyle name="Normal 8 5 5 2 2" xfId="8256" xr:uid="{00000000-0005-0000-0000-00003E1E0000}"/>
    <cellStyle name="Normal 8 5 5 2 2 2" xfId="17582" xr:uid="{A22B843C-829D-461C-A01A-314C8799E4EA}"/>
    <cellStyle name="Normal 8 5 5 2 3" xfId="13365" xr:uid="{748E3954-04E9-4111-9F33-0ECDC47C5E37}"/>
    <cellStyle name="Normal 8 5 5 3" xfId="6111" xr:uid="{00000000-0005-0000-0000-00003F1E0000}"/>
    <cellStyle name="Normal 8 5 5 3 2" xfId="15437" xr:uid="{7F0DDA91-5E53-4D1A-B20E-DC3F25F76CC2}"/>
    <cellStyle name="Normal 8 5 5 4" xfId="11220" xr:uid="{009F0123-A7AD-4108-9C82-482F50BB9B9C}"/>
    <cellStyle name="Normal 8 5 6" xfId="2218" xr:uid="{00000000-0005-0000-0000-0000401E0000}"/>
    <cellStyle name="Normal 8 5 6 2" xfId="4447" xr:uid="{00000000-0005-0000-0000-0000411E0000}"/>
    <cellStyle name="Normal 8 5 6 2 2" xfId="8669" xr:uid="{00000000-0005-0000-0000-0000421E0000}"/>
    <cellStyle name="Normal 8 5 6 2 2 2" xfId="17995" xr:uid="{3BD447FE-744C-43FD-ABBA-E65292529B2B}"/>
    <cellStyle name="Normal 8 5 6 2 3" xfId="13778" xr:uid="{55BB9263-DD44-4DC0-92FC-DC4814E69D47}"/>
    <cellStyle name="Normal 8 5 6 3" xfId="6524" xr:uid="{00000000-0005-0000-0000-0000431E0000}"/>
    <cellStyle name="Normal 8 5 6 3 2" xfId="15850" xr:uid="{8983A1A6-1939-4E4F-A751-DBA3552D2EEF}"/>
    <cellStyle name="Normal 8 5 6 4" xfId="11633" xr:uid="{1363ECBD-6EA8-4FDD-BE9A-E8CBC3A8F8C3}"/>
    <cellStyle name="Normal 8 5 7" xfId="2654" xr:uid="{00000000-0005-0000-0000-0000441E0000}"/>
    <cellStyle name="Normal 8 5 7 2" xfId="6937" xr:uid="{00000000-0005-0000-0000-0000451E0000}"/>
    <cellStyle name="Normal 8 5 7 2 2" xfId="16263" xr:uid="{52A4B189-C079-49D4-8D51-6A6B5C7C2F43}"/>
    <cellStyle name="Normal 8 5 7 3" xfId="12046" xr:uid="{4EBB10C0-95E6-4AAA-84D8-3550011A8408}"/>
    <cellStyle name="Normal 8 5 8" xfId="4872" xr:uid="{00000000-0005-0000-0000-0000461E0000}"/>
    <cellStyle name="Normal 8 5 8 2" xfId="14198" xr:uid="{5D278EB5-31AE-483B-9DB5-D57E8D19481B}"/>
    <cellStyle name="Normal 8 5 9" xfId="8845" xr:uid="{C8167C67-59BC-42DE-816D-718433EFB28C}"/>
    <cellStyle name="Normal 8 5 9 2" xfId="18169" xr:uid="{A92D0CBA-808F-4F60-83FB-83C82F1F53A2}"/>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6758" xr:uid="{91A245DC-B1A9-4D0B-BE18-0C123A7B44EF}"/>
    <cellStyle name="Normal 8 6 2 2 3" xfId="12541" xr:uid="{40FEE347-7F6C-41D9-B3D3-659B954273F0}"/>
    <cellStyle name="Normal 8 6 2 3" xfId="5287" xr:uid="{00000000-0005-0000-0000-00004B1E0000}"/>
    <cellStyle name="Normal 8 6 2 3 2" xfId="14613" xr:uid="{6B917B09-13C6-4AB3-956D-5FD817D025A3}"/>
    <cellStyle name="Normal 8 6 2 4" xfId="9386" xr:uid="{45A5CE0D-B006-45BB-A53E-22B23F4367E3}"/>
    <cellStyle name="Normal 8 6 2 4 2" xfId="18701" xr:uid="{63275C6A-A3D6-4E56-AEF1-243C07EDFF7F}"/>
    <cellStyle name="Normal 8 6 2 5" xfId="10396" xr:uid="{1080FB7A-EAEA-4DAA-BBC3-E4C3DF6E1F45}"/>
    <cellStyle name="Normal 8 6 3" xfId="1393" xr:uid="{00000000-0005-0000-0000-00004C1E0000}"/>
    <cellStyle name="Normal 8 6 3 2" xfId="3623" xr:uid="{00000000-0005-0000-0000-00004D1E0000}"/>
    <cellStyle name="Normal 8 6 3 2 2" xfId="7845" xr:uid="{00000000-0005-0000-0000-00004E1E0000}"/>
    <cellStyle name="Normal 8 6 3 2 2 2" xfId="17171" xr:uid="{D8779782-1CA6-4BCF-A939-BE4B0ABBDDCC}"/>
    <cellStyle name="Normal 8 6 3 2 3" xfId="12954" xr:uid="{5A7DE1D1-CA77-43DF-9FF2-CBCA50C5F673}"/>
    <cellStyle name="Normal 8 6 3 3" xfId="5700" xr:uid="{00000000-0005-0000-0000-00004F1E0000}"/>
    <cellStyle name="Normal 8 6 3 3 2" xfId="15026" xr:uid="{33675EC4-2FB1-4C24-8ED3-30832FDFC38B}"/>
    <cellStyle name="Normal 8 6 3 4" xfId="10809" xr:uid="{265705B7-B879-4416-8C39-230D843449DE}"/>
    <cellStyle name="Normal 8 6 4" xfId="1806" xr:uid="{00000000-0005-0000-0000-0000501E0000}"/>
    <cellStyle name="Normal 8 6 4 2" xfId="4036" xr:uid="{00000000-0005-0000-0000-0000511E0000}"/>
    <cellStyle name="Normal 8 6 4 2 2" xfId="8258" xr:uid="{00000000-0005-0000-0000-0000521E0000}"/>
    <cellStyle name="Normal 8 6 4 2 2 2" xfId="17584" xr:uid="{BE4C8838-85C6-4025-8D79-DDC187292B88}"/>
    <cellStyle name="Normal 8 6 4 2 3" xfId="13367" xr:uid="{4FF302D4-8A10-4468-BB3D-273D57F2863A}"/>
    <cellStyle name="Normal 8 6 4 3" xfId="6113" xr:uid="{00000000-0005-0000-0000-0000531E0000}"/>
    <cellStyle name="Normal 8 6 4 3 2" xfId="15439" xr:uid="{F4BCB051-235F-4508-9AB5-4DBC830B14BC}"/>
    <cellStyle name="Normal 8 6 4 4" xfId="11222" xr:uid="{16602049-3D91-4D8B-9B1D-6E36A5677F43}"/>
    <cellStyle name="Normal 8 6 5" xfId="2220" xr:uid="{00000000-0005-0000-0000-0000541E0000}"/>
    <cellStyle name="Normal 8 6 5 2" xfId="4449" xr:uid="{00000000-0005-0000-0000-0000551E0000}"/>
    <cellStyle name="Normal 8 6 5 2 2" xfId="8671" xr:uid="{00000000-0005-0000-0000-0000561E0000}"/>
    <cellStyle name="Normal 8 6 5 2 2 2" xfId="17997" xr:uid="{DBC03A42-0A59-4D7A-8404-2AA337B6EFE6}"/>
    <cellStyle name="Normal 8 6 5 2 3" xfId="13780" xr:uid="{DD9CB668-A6E4-451E-B118-A0CC483B7BCE}"/>
    <cellStyle name="Normal 8 6 5 3" xfId="6526" xr:uid="{00000000-0005-0000-0000-0000571E0000}"/>
    <cellStyle name="Normal 8 6 5 3 2" xfId="15852" xr:uid="{963B47CB-EC99-4518-97D2-E4F3BFCBA4CF}"/>
    <cellStyle name="Normal 8 6 5 4" xfId="11635" xr:uid="{9E4093E7-8671-43D1-80A2-91F9281EE766}"/>
    <cellStyle name="Normal 8 6 6" xfId="2656" xr:uid="{00000000-0005-0000-0000-0000581E0000}"/>
    <cellStyle name="Normal 8 6 6 2" xfId="6939" xr:uid="{00000000-0005-0000-0000-0000591E0000}"/>
    <cellStyle name="Normal 8 6 6 2 2" xfId="16265" xr:uid="{6F0A41FC-186F-432D-989D-DF96D3ABC417}"/>
    <cellStyle name="Normal 8 6 6 3" xfId="12048" xr:uid="{3A02B430-5BC5-4382-9398-9269ED52BC2B}"/>
    <cellStyle name="Normal 8 6 7" xfId="4874" xr:uid="{00000000-0005-0000-0000-00005A1E0000}"/>
    <cellStyle name="Normal 8 6 7 2" xfId="14200" xr:uid="{588A5506-E732-40EB-8A7A-72701E1B1995}"/>
    <cellStyle name="Normal 8 6 8" xfId="8961" xr:uid="{36060843-7B38-46C3-B2F1-7172ECB11EEE}"/>
    <cellStyle name="Normal 8 6 8 2" xfId="18285" xr:uid="{01451697-9BAA-4D72-86ED-D1C9298A68CB}"/>
    <cellStyle name="Normal 8 6 9" xfId="9983" xr:uid="{0912808F-FD31-4AEE-BAFE-D2089DFCDD0E}"/>
    <cellStyle name="Normal 8 7" xfId="945" xr:uid="{00000000-0005-0000-0000-00005B1E0000}"/>
    <cellStyle name="Normal 8 7 2" xfId="3179" xr:uid="{00000000-0005-0000-0000-00005C1E0000}"/>
    <cellStyle name="Normal 8 7 2 2" xfId="7401" xr:uid="{00000000-0005-0000-0000-00005D1E0000}"/>
    <cellStyle name="Normal 8 7 2 2 2" xfId="16727" xr:uid="{50D6BD57-82DA-4892-82C5-3A3675546351}"/>
    <cellStyle name="Normal 8 7 2 3" xfId="12510" xr:uid="{4CD6F4B6-ADA8-40AD-ADE9-3E1C854C6205}"/>
    <cellStyle name="Normal 8 7 3" xfId="5256" xr:uid="{00000000-0005-0000-0000-00005E1E0000}"/>
    <cellStyle name="Normal 8 7 3 2" xfId="14582" xr:uid="{67BCFE83-9249-4641-867C-F884A7F30E18}"/>
    <cellStyle name="Normal 8 7 4" xfId="9164" xr:uid="{EA2ADDDA-E9AC-4FF8-B08B-61B1D6489A46}"/>
    <cellStyle name="Normal 8 7 4 2" xfId="18482" xr:uid="{36D6CA76-4508-43DC-AF2C-0F87145CCAFA}"/>
    <cellStyle name="Normal 8 7 5" xfId="10365" xr:uid="{75288872-EA8F-4CF5-94C3-6235A8237418}"/>
    <cellStyle name="Normal 8 8" xfId="1362" xr:uid="{00000000-0005-0000-0000-00005F1E0000}"/>
    <cellStyle name="Normal 8 8 2" xfId="3592" xr:uid="{00000000-0005-0000-0000-0000601E0000}"/>
    <cellStyle name="Normal 8 8 2 2" xfId="7814" xr:uid="{00000000-0005-0000-0000-0000611E0000}"/>
    <cellStyle name="Normal 8 8 2 2 2" xfId="17140" xr:uid="{FD56B71E-FF1A-4834-ABC0-3E2F8C61E388}"/>
    <cellStyle name="Normal 8 8 2 3" xfId="12923" xr:uid="{D71A6DA0-E7FF-4A01-855E-118712BE9377}"/>
    <cellStyle name="Normal 8 8 3" xfId="5669" xr:uid="{00000000-0005-0000-0000-0000621E0000}"/>
    <cellStyle name="Normal 8 8 3 2" xfId="14995" xr:uid="{FD25FD9A-7F9E-4F3E-9887-71C708441CF6}"/>
    <cellStyle name="Normal 8 8 4" xfId="10778" xr:uid="{B3065D11-673B-4316-B7F6-252E31FD3F83}"/>
    <cellStyle name="Normal 8 9" xfId="1775" xr:uid="{00000000-0005-0000-0000-0000631E0000}"/>
    <cellStyle name="Normal 8 9 2" xfId="4005" xr:uid="{00000000-0005-0000-0000-0000641E0000}"/>
    <cellStyle name="Normal 8 9 2 2" xfId="8227" xr:uid="{00000000-0005-0000-0000-0000651E0000}"/>
    <cellStyle name="Normal 8 9 2 2 2" xfId="17553" xr:uid="{529DDBE9-DE2B-4059-8F04-8062A145084B}"/>
    <cellStyle name="Normal 8 9 2 3" xfId="13336" xr:uid="{B9D79079-B55A-471A-A93C-700A1B7A310E}"/>
    <cellStyle name="Normal 8 9 3" xfId="6082" xr:uid="{00000000-0005-0000-0000-0000661E0000}"/>
    <cellStyle name="Normal 8 9 3 2" xfId="15408" xr:uid="{F30D7DAD-3236-45EE-A1AF-217611EAC889}"/>
    <cellStyle name="Normal 8 9 4" xfId="11191" xr:uid="{E15C7AE0-90DD-4E10-A4E2-1AAE2158E90F}"/>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66" xr:uid="{3DDAFCD0-7FD1-4BE2-8FAF-711E8DB11D2F}"/>
    <cellStyle name="Normal 9 2 10 3" xfId="12049" xr:uid="{C72E509C-B535-465E-B26E-C62B1ABC6A86}"/>
    <cellStyle name="Normal 9 2 11" xfId="4875" xr:uid="{00000000-0005-0000-0000-00006B1E0000}"/>
    <cellStyle name="Normal 9 2 11 2" xfId="14201" xr:uid="{1BEE21BF-D882-492E-BFE2-0A686FE9DAAB}"/>
    <cellStyle name="Normal 9 2 12" xfId="8754" xr:uid="{9024D06A-4C5F-4C89-BCDB-29B8C924FF52}"/>
    <cellStyle name="Normal 9 2 12 2" xfId="18078" xr:uid="{17C15FE0-D907-456A-8B8A-CC4A37451B71}"/>
    <cellStyle name="Normal 9 2 13" xfId="9984" xr:uid="{CCA35D3D-459E-4BAF-8C56-1EFFF470F94D}"/>
    <cellStyle name="Normal 9 2 2" xfId="512" xr:uid="{00000000-0005-0000-0000-00006C1E0000}"/>
    <cellStyle name="Normal 9 2 2 10" xfId="4876" xr:uid="{00000000-0005-0000-0000-00006D1E0000}"/>
    <cellStyle name="Normal 9 2 2 10 2" xfId="14202" xr:uid="{441B7C63-C698-4ED9-AB12-967A7B9D653A}"/>
    <cellStyle name="Normal 9 2 2 11" xfId="8785" xr:uid="{3048542E-ED39-45ED-9C91-0140D2CF60D9}"/>
    <cellStyle name="Normal 9 2 2 11 2" xfId="18109" xr:uid="{8BA34DEA-F3B0-47B1-B9DC-4F2E0F9FB879}"/>
    <cellStyle name="Normal 9 2 2 12" xfId="9985" xr:uid="{9C3A23FD-2A03-47EF-BFE2-FACD4F7D2BC9}"/>
    <cellStyle name="Normal 9 2 2 2" xfId="513" xr:uid="{00000000-0005-0000-0000-00006E1E0000}"/>
    <cellStyle name="Normal 9 2 2 2 10" xfId="8839" xr:uid="{3B2DC7F4-4F49-4AE2-9279-EFD4857A149B}"/>
    <cellStyle name="Normal 9 2 2 2 10 2" xfId="18163" xr:uid="{B3AE7DA0-16CA-4C44-BA39-569C42CF9D88}"/>
    <cellStyle name="Normal 9 2 2 2 11" xfId="9986" xr:uid="{60D8078F-115B-4731-AE48-33D2C9DE85E5}"/>
    <cellStyle name="Normal 9 2 2 2 2" xfId="514" xr:uid="{00000000-0005-0000-0000-00006F1E0000}"/>
    <cellStyle name="Normal 9 2 2 2 2 10" xfId="9987" xr:uid="{FAEACB3D-F8C0-413D-8138-E8E7B047B915}"/>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63" xr:uid="{7CECB15E-DA0A-4D21-888A-A03DFEDB7EA4}"/>
    <cellStyle name="Normal 9 2 2 2 2 2 2 2 3" xfId="12546" xr:uid="{09CC281F-8311-44DC-8305-063DADFA57CD}"/>
    <cellStyle name="Normal 9 2 2 2 2 2 2 3" xfId="5292" xr:uid="{00000000-0005-0000-0000-0000741E0000}"/>
    <cellStyle name="Normal 9 2 2 2 2 2 2 3 2" xfId="14618" xr:uid="{F50353C2-A633-45C0-9212-ECD5859A0AB7}"/>
    <cellStyle name="Normal 9 2 2 2 2 2 2 4" xfId="9574" xr:uid="{00EB170D-8A20-4280-B781-E452C3590555}"/>
    <cellStyle name="Normal 9 2 2 2 2 2 2 4 2" xfId="18889" xr:uid="{87AAD860-594D-49AC-9068-AEEE9637B82D}"/>
    <cellStyle name="Normal 9 2 2 2 2 2 2 5" xfId="10401" xr:uid="{1E0BED30-290E-40CA-B471-A2F5AAE34C4E}"/>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76" xr:uid="{97563BD9-23D5-4DBF-9661-D140BD4A78EF}"/>
    <cellStyle name="Normal 9 2 2 2 2 2 3 2 3" xfId="12959" xr:uid="{636C1789-8BBB-4851-8354-E2C8E09425A0}"/>
    <cellStyle name="Normal 9 2 2 2 2 2 3 3" xfId="5705" xr:uid="{00000000-0005-0000-0000-0000781E0000}"/>
    <cellStyle name="Normal 9 2 2 2 2 2 3 3 2" xfId="15031" xr:uid="{53A9CD01-BE14-476B-AF5D-0A4A41CBC9E5}"/>
    <cellStyle name="Normal 9 2 2 2 2 2 3 4" xfId="10814" xr:uid="{1271357A-3B59-4B5C-A089-50392AB1D3FB}"/>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89" xr:uid="{7649ED1F-0A5C-45E1-A21F-DB7EEDAB412C}"/>
    <cellStyle name="Normal 9 2 2 2 2 2 4 2 3" xfId="13372" xr:uid="{B7F0FFCE-C0EE-4242-A8CA-DF277B4480D0}"/>
    <cellStyle name="Normal 9 2 2 2 2 2 4 3" xfId="6118" xr:uid="{00000000-0005-0000-0000-00007C1E0000}"/>
    <cellStyle name="Normal 9 2 2 2 2 2 4 3 2" xfId="15444" xr:uid="{09F540A0-AD1A-4872-A0AD-A57A334A95F0}"/>
    <cellStyle name="Normal 9 2 2 2 2 2 4 4" xfId="11227" xr:uid="{D8DA4EDD-08B3-4883-ADAB-F318AFC26AA1}"/>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8002" xr:uid="{D55CD477-C632-4650-95E5-4837833432D1}"/>
    <cellStyle name="Normal 9 2 2 2 2 2 5 2 3" xfId="13785" xr:uid="{75AE44FF-CB49-4DA2-9722-51292C35F225}"/>
    <cellStyle name="Normal 9 2 2 2 2 2 5 3" xfId="6531" xr:uid="{00000000-0005-0000-0000-0000801E0000}"/>
    <cellStyle name="Normal 9 2 2 2 2 2 5 3 2" xfId="15857" xr:uid="{468A0F32-164C-45C1-BF7F-FB022FEDDA09}"/>
    <cellStyle name="Normal 9 2 2 2 2 2 5 4" xfId="11640" xr:uid="{6EF76683-653A-4BCA-83CD-AA22B681AE9C}"/>
    <cellStyle name="Normal 9 2 2 2 2 2 6" xfId="2661" xr:uid="{00000000-0005-0000-0000-0000811E0000}"/>
    <cellStyle name="Normal 9 2 2 2 2 2 6 2" xfId="6944" xr:uid="{00000000-0005-0000-0000-0000821E0000}"/>
    <cellStyle name="Normal 9 2 2 2 2 2 6 2 2" xfId="16270" xr:uid="{4A8666C7-D827-42E5-98AC-6168B9B17B62}"/>
    <cellStyle name="Normal 9 2 2 2 2 2 6 3" xfId="12053" xr:uid="{CFA0C3F5-0628-49D6-85A6-C0635B560D4F}"/>
    <cellStyle name="Normal 9 2 2 2 2 2 7" xfId="4879" xr:uid="{00000000-0005-0000-0000-0000831E0000}"/>
    <cellStyle name="Normal 9 2 2 2 2 2 7 2" xfId="14205" xr:uid="{F8212131-9DE3-4F13-97EE-9D783FE5332F}"/>
    <cellStyle name="Normal 9 2 2 2 2 2 8" xfId="9149" xr:uid="{6C0BEC1E-EE3B-4956-830C-8775C93DB46A}"/>
    <cellStyle name="Normal 9 2 2 2 2 2 8 2" xfId="18473" xr:uid="{69D5367B-F713-4090-A8C9-65962C26BDAE}"/>
    <cellStyle name="Normal 9 2 2 2 2 2 9" xfId="9988" xr:uid="{FE9A0B22-FE35-4C11-A0E4-C5BF44D17D0B}"/>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62" xr:uid="{A947EEA3-2D65-4BD4-BC13-10F7D34D5747}"/>
    <cellStyle name="Normal 9 2 2 2 2 3 2 3" xfId="12545" xr:uid="{BF3A562C-990F-4CA5-9A88-C8D71DC07BB4}"/>
    <cellStyle name="Normal 9 2 2 2 2 3 3" xfId="5291" xr:uid="{00000000-0005-0000-0000-0000871E0000}"/>
    <cellStyle name="Normal 9 2 2 2 2 3 3 2" xfId="14617" xr:uid="{D47D9031-C41C-406A-B9B5-92E01F63B9A2}"/>
    <cellStyle name="Normal 9 2 2 2 2 3 4" xfId="9367" xr:uid="{4A654E22-020A-4B0F-8753-639C44EA908A}"/>
    <cellStyle name="Normal 9 2 2 2 2 3 4 2" xfId="18682" xr:uid="{6BD5EEE7-9F68-4721-AF47-3318AF933C9B}"/>
    <cellStyle name="Normal 9 2 2 2 2 3 5" xfId="10400" xr:uid="{CC9BEDCF-7DD0-4C14-ADBE-C080700095C6}"/>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75" xr:uid="{504CB67D-855E-44BF-9755-0A67E467189A}"/>
    <cellStyle name="Normal 9 2 2 2 2 4 2 3" xfId="12958" xr:uid="{3097EA13-3655-4764-AD96-D99163990156}"/>
    <cellStyle name="Normal 9 2 2 2 2 4 3" xfId="5704" xr:uid="{00000000-0005-0000-0000-00008B1E0000}"/>
    <cellStyle name="Normal 9 2 2 2 2 4 3 2" xfId="15030" xr:uid="{7374584A-8461-4A90-9B3C-2203123D32FB}"/>
    <cellStyle name="Normal 9 2 2 2 2 4 4" xfId="10813" xr:uid="{6057DAEF-11E6-47E9-B232-562AB45C5983}"/>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88" xr:uid="{67C88D7A-D139-41EF-8737-D50F6A6DA95B}"/>
    <cellStyle name="Normal 9 2 2 2 2 5 2 3" xfId="13371" xr:uid="{FEE3303B-354B-49D0-9F35-0AE9BD4603AD}"/>
    <cellStyle name="Normal 9 2 2 2 2 5 3" xfId="6117" xr:uid="{00000000-0005-0000-0000-00008F1E0000}"/>
    <cellStyle name="Normal 9 2 2 2 2 5 3 2" xfId="15443" xr:uid="{02FDC8C4-01AF-49FD-9F59-EF49D3DC7EFE}"/>
    <cellStyle name="Normal 9 2 2 2 2 5 4" xfId="11226" xr:uid="{3751DCFA-A8C7-4D47-918B-148EB6871324}"/>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8001" xr:uid="{2B8CC2E3-6D1F-4BD1-83A7-42D5AF4C7420}"/>
    <cellStyle name="Normal 9 2 2 2 2 6 2 3" xfId="13784" xr:uid="{F4BCEC90-2A82-4BFF-B907-511A8EAF2C58}"/>
    <cellStyle name="Normal 9 2 2 2 2 6 3" xfId="6530" xr:uid="{00000000-0005-0000-0000-0000931E0000}"/>
    <cellStyle name="Normal 9 2 2 2 2 6 3 2" xfId="15856" xr:uid="{0615373E-C44F-424F-B984-AC499BA31E3C}"/>
    <cellStyle name="Normal 9 2 2 2 2 6 4" xfId="11639" xr:uid="{6DCB4F9F-58DB-4969-962A-F81027A50CF3}"/>
    <cellStyle name="Normal 9 2 2 2 2 7" xfId="2660" xr:uid="{00000000-0005-0000-0000-0000941E0000}"/>
    <cellStyle name="Normal 9 2 2 2 2 7 2" xfId="6943" xr:uid="{00000000-0005-0000-0000-0000951E0000}"/>
    <cellStyle name="Normal 9 2 2 2 2 7 2 2" xfId="16269" xr:uid="{756CDFBC-BDB1-48A3-B347-F2869330E3B5}"/>
    <cellStyle name="Normal 9 2 2 2 2 7 3" xfId="12052" xr:uid="{2D9D53AA-0B72-44A8-9455-E46BC0A8FAA0}"/>
    <cellStyle name="Normal 9 2 2 2 2 8" xfId="4878" xr:uid="{00000000-0005-0000-0000-0000961E0000}"/>
    <cellStyle name="Normal 9 2 2 2 2 8 2" xfId="14204" xr:uid="{1EB606E2-65AA-4531-A87E-AD14D68AD9B4}"/>
    <cellStyle name="Normal 9 2 2 2 2 9" xfId="8942" xr:uid="{0DE8A022-819C-4D6A-B102-31C1C7F429A5}"/>
    <cellStyle name="Normal 9 2 2 2 2 9 2" xfId="18266" xr:uid="{B80B531D-E566-4B78-9E48-5EABB61A4D5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64" xr:uid="{13201118-F5BD-4834-9DFE-A70FEE10C939}"/>
    <cellStyle name="Normal 9 2 2 2 3 2 2 3" xfId="12547" xr:uid="{0F0E23B9-DEB3-4B94-8A51-AC40A7E6161F}"/>
    <cellStyle name="Normal 9 2 2 2 3 2 3" xfId="5293" xr:uid="{00000000-0005-0000-0000-00009B1E0000}"/>
    <cellStyle name="Normal 9 2 2 2 3 2 3 2" xfId="14619" xr:uid="{C7507D43-6AE6-44C5-AC04-82D2594AD235}"/>
    <cellStyle name="Normal 9 2 2 2 3 2 4" xfId="9471" xr:uid="{E472D827-532E-42C0-B781-9E63FEBCFCF5}"/>
    <cellStyle name="Normal 9 2 2 2 3 2 4 2" xfId="18786" xr:uid="{AC347280-C8BE-44D6-889C-327666719083}"/>
    <cellStyle name="Normal 9 2 2 2 3 2 5" xfId="10402" xr:uid="{7AA60C75-720D-4912-AB16-F71A67B50D9A}"/>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77" xr:uid="{F514DE30-3B70-42D7-975D-35CA870CA64A}"/>
    <cellStyle name="Normal 9 2 2 2 3 3 2 3" xfId="12960" xr:uid="{ADBA3097-F606-4354-9B52-07073A362DF1}"/>
    <cellStyle name="Normal 9 2 2 2 3 3 3" xfId="5706" xr:uid="{00000000-0005-0000-0000-00009F1E0000}"/>
    <cellStyle name="Normal 9 2 2 2 3 3 3 2" xfId="15032" xr:uid="{41EA3ADC-9B59-4F0B-AD54-AF76324C8DE7}"/>
    <cellStyle name="Normal 9 2 2 2 3 3 4" xfId="10815" xr:uid="{8ECAE8AB-CD86-4152-90D9-BAB71C7F29B4}"/>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90" xr:uid="{CFC9E497-8283-4702-832A-B56374B4FDD0}"/>
    <cellStyle name="Normal 9 2 2 2 3 4 2 3" xfId="13373" xr:uid="{7F7BFD84-780E-40BF-9546-E3152DFEA795}"/>
    <cellStyle name="Normal 9 2 2 2 3 4 3" xfId="6119" xr:uid="{00000000-0005-0000-0000-0000A31E0000}"/>
    <cellStyle name="Normal 9 2 2 2 3 4 3 2" xfId="15445" xr:uid="{9C3E6437-24C6-4CA7-8C65-0851E7389305}"/>
    <cellStyle name="Normal 9 2 2 2 3 4 4" xfId="11228" xr:uid="{882824EE-8BCF-47F1-AA0F-0671601C883F}"/>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8003" xr:uid="{000A69DB-7236-489C-9854-4944E02BEF81}"/>
    <cellStyle name="Normal 9 2 2 2 3 5 2 3" xfId="13786" xr:uid="{A3534170-25E0-4672-BB91-8E31F0530BFE}"/>
    <cellStyle name="Normal 9 2 2 2 3 5 3" xfId="6532" xr:uid="{00000000-0005-0000-0000-0000A71E0000}"/>
    <cellStyle name="Normal 9 2 2 2 3 5 3 2" xfId="15858" xr:uid="{381E9153-2564-4A4A-AF98-203DC5E2D775}"/>
    <cellStyle name="Normal 9 2 2 2 3 5 4" xfId="11641" xr:uid="{CDB703B9-9F4E-4BB6-AC13-1BE5E3CDB0C5}"/>
    <cellStyle name="Normal 9 2 2 2 3 6" xfId="2662" xr:uid="{00000000-0005-0000-0000-0000A81E0000}"/>
    <cellStyle name="Normal 9 2 2 2 3 6 2" xfId="6945" xr:uid="{00000000-0005-0000-0000-0000A91E0000}"/>
    <cellStyle name="Normal 9 2 2 2 3 6 2 2" xfId="16271" xr:uid="{7B5F4269-231D-45F5-8E64-C5FC893ADF41}"/>
    <cellStyle name="Normal 9 2 2 2 3 6 3" xfId="12054" xr:uid="{8021370A-F922-40F0-B4CB-AADF4480C964}"/>
    <cellStyle name="Normal 9 2 2 2 3 7" xfId="4880" xr:uid="{00000000-0005-0000-0000-0000AA1E0000}"/>
    <cellStyle name="Normal 9 2 2 2 3 7 2" xfId="14206" xr:uid="{6810E4D6-35A4-4C13-905D-E1BC43F18251}"/>
    <cellStyle name="Normal 9 2 2 2 3 8" xfId="9046" xr:uid="{6B7E07C7-E90B-4AE9-8FE8-76EF28E8FC85}"/>
    <cellStyle name="Normal 9 2 2 2 3 8 2" xfId="18370" xr:uid="{6F1456D2-AC9B-4B74-A4D8-4F37C83CE926}"/>
    <cellStyle name="Normal 9 2 2 2 3 9" xfId="9989" xr:uid="{F3EB8C66-9DD8-4DB4-9CF2-C53810B1A752}"/>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61" xr:uid="{7624045A-2131-4BE1-B27D-241D835F5C76}"/>
    <cellStyle name="Normal 9 2 2 2 4 2 3" xfId="12544" xr:uid="{F31DC48A-DBC9-4EAF-BE07-9FBB5A234583}"/>
    <cellStyle name="Normal 9 2 2 2 4 3" xfId="5290" xr:uid="{00000000-0005-0000-0000-0000AE1E0000}"/>
    <cellStyle name="Normal 9 2 2 2 4 3 2" xfId="14616" xr:uid="{BD616B88-7FC9-49FD-831A-EA10D3FBB34D}"/>
    <cellStyle name="Normal 9 2 2 2 4 4" xfId="9264" xr:uid="{0137E036-48D9-4B3B-9B73-0002A19DDE9E}"/>
    <cellStyle name="Normal 9 2 2 2 4 4 2" xfId="18579" xr:uid="{59FD67B6-8E27-4D98-8C7B-CD142F213C72}"/>
    <cellStyle name="Normal 9 2 2 2 4 5" xfId="10399" xr:uid="{80B2ED38-C672-4F43-8796-7D3636E384EA}"/>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74" xr:uid="{CB7A5A2F-41CE-4242-A656-D8AD18FEB479}"/>
    <cellStyle name="Normal 9 2 2 2 5 2 3" xfId="12957" xr:uid="{AB6A0F71-9AB2-4B3D-8BA3-E255A65850F0}"/>
    <cellStyle name="Normal 9 2 2 2 5 3" xfId="5703" xr:uid="{00000000-0005-0000-0000-0000B21E0000}"/>
    <cellStyle name="Normal 9 2 2 2 5 3 2" xfId="15029" xr:uid="{3C5CE110-76B2-4C19-8BE0-61C3D95E8D88}"/>
    <cellStyle name="Normal 9 2 2 2 5 4" xfId="10812" xr:uid="{C996B6A7-E0E6-462D-9837-48F1F4E57F96}"/>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87" xr:uid="{ECE1690A-7393-484A-866B-E9D53F8C96AC}"/>
    <cellStyle name="Normal 9 2 2 2 6 2 3" xfId="13370" xr:uid="{94C56744-0B57-4981-AC03-2CB76064F2E1}"/>
    <cellStyle name="Normal 9 2 2 2 6 3" xfId="6116" xr:uid="{00000000-0005-0000-0000-0000B61E0000}"/>
    <cellStyle name="Normal 9 2 2 2 6 3 2" xfId="15442" xr:uid="{BF88B16A-B430-4D51-882B-F7AF204D01C9}"/>
    <cellStyle name="Normal 9 2 2 2 6 4" xfId="11225" xr:uid="{83136539-4E9D-400B-B648-833E991A78F3}"/>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8000" xr:uid="{7791F1F8-8934-4C6A-BABD-7B5D9BE07907}"/>
    <cellStyle name="Normal 9 2 2 2 7 2 3" xfId="13783" xr:uid="{B25B6FA6-DA3F-4507-A5B2-61D589EF1471}"/>
    <cellStyle name="Normal 9 2 2 2 7 3" xfId="6529" xr:uid="{00000000-0005-0000-0000-0000BA1E0000}"/>
    <cellStyle name="Normal 9 2 2 2 7 3 2" xfId="15855" xr:uid="{BE3F0E40-DF3F-4F88-9ABE-4AD16CFBC466}"/>
    <cellStyle name="Normal 9 2 2 2 7 4" xfId="11638" xr:uid="{009A6AF6-FDA7-4420-BBDE-F74D4E6153F1}"/>
    <cellStyle name="Normal 9 2 2 2 8" xfId="2659" xr:uid="{00000000-0005-0000-0000-0000BB1E0000}"/>
    <cellStyle name="Normal 9 2 2 2 8 2" xfId="6942" xr:uid="{00000000-0005-0000-0000-0000BC1E0000}"/>
    <cellStyle name="Normal 9 2 2 2 8 2 2" xfId="16268" xr:uid="{AF05A099-15E4-45FD-AF9D-6A9E72ADDCB1}"/>
    <cellStyle name="Normal 9 2 2 2 8 3" xfId="12051" xr:uid="{9F3635DF-908A-4CA5-B144-BD9474222899}"/>
    <cellStyle name="Normal 9 2 2 2 9" xfId="4877" xr:uid="{00000000-0005-0000-0000-0000BD1E0000}"/>
    <cellStyle name="Normal 9 2 2 2 9 2" xfId="14203" xr:uid="{455B69A2-47CC-4A4F-8E36-23DA772457D4}"/>
    <cellStyle name="Normal 9 2 2 3" xfId="517" xr:uid="{00000000-0005-0000-0000-0000BE1E0000}"/>
    <cellStyle name="Normal 9 2 2 3 10" xfId="9990" xr:uid="{F5BBFEAD-1DA3-4802-8EEA-AF7E34C617D2}"/>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66" xr:uid="{6BF06C27-D36E-4F5B-87D1-AB3C2494AADA}"/>
    <cellStyle name="Normal 9 2 2 3 2 2 2 3" xfId="12549" xr:uid="{EAC4065C-7557-48A0-9905-2E86AD1D1089}"/>
    <cellStyle name="Normal 9 2 2 3 2 2 3" xfId="5295" xr:uid="{00000000-0005-0000-0000-0000C31E0000}"/>
    <cellStyle name="Normal 9 2 2 3 2 2 3 2" xfId="14621" xr:uid="{8050595F-7E3A-478F-A395-00E111C67F78}"/>
    <cellStyle name="Normal 9 2 2 3 2 2 4" xfId="9520" xr:uid="{57CFBD10-691F-4DF8-8020-B75E98FF60DD}"/>
    <cellStyle name="Normal 9 2 2 3 2 2 4 2" xfId="18835" xr:uid="{38B26D56-3894-4B44-A5CE-6C41BEF2EAE7}"/>
    <cellStyle name="Normal 9 2 2 3 2 2 5" xfId="10404" xr:uid="{CF76CF9F-89E8-4D6F-A38C-E6ED12FA0D56}"/>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79" xr:uid="{D4C6FEF7-69E4-4F72-AB43-00D6A4214D67}"/>
    <cellStyle name="Normal 9 2 2 3 2 3 2 3" xfId="12962" xr:uid="{E02F2B98-22E2-4F67-93B5-4D4959A4BE4D}"/>
    <cellStyle name="Normal 9 2 2 3 2 3 3" xfId="5708" xr:uid="{00000000-0005-0000-0000-0000C71E0000}"/>
    <cellStyle name="Normal 9 2 2 3 2 3 3 2" xfId="15034" xr:uid="{3B971D0C-E1C0-4907-89F3-96C21A2601E3}"/>
    <cellStyle name="Normal 9 2 2 3 2 3 4" xfId="10817" xr:uid="{508200A0-8F2C-4946-842D-5F4FFDDD6335}"/>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92" xr:uid="{4D26D76D-C0A5-4591-B3E4-514CB268F0E4}"/>
    <cellStyle name="Normal 9 2 2 3 2 4 2 3" xfId="13375" xr:uid="{C20EF89B-0DF7-4A5A-8A4A-F2780AD754B7}"/>
    <cellStyle name="Normal 9 2 2 3 2 4 3" xfId="6121" xr:uid="{00000000-0005-0000-0000-0000CB1E0000}"/>
    <cellStyle name="Normal 9 2 2 3 2 4 3 2" xfId="15447" xr:uid="{3416A5EE-69F7-4509-9882-1782F58BB261}"/>
    <cellStyle name="Normal 9 2 2 3 2 4 4" xfId="11230" xr:uid="{54676BCC-4521-4E7F-8D15-9B9CEF4577E7}"/>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8005" xr:uid="{A51A9ABB-2138-484A-9D97-7B9F0DD9915E}"/>
    <cellStyle name="Normal 9 2 2 3 2 5 2 3" xfId="13788" xr:uid="{43F93ECD-0928-4F12-9552-3CF6A25B15F8}"/>
    <cellStyle name="Normal 9 2 2 3 2 5 3" xfId="6534" xr:uid="{00000000-0005-0000-0000-0000CF1E0000}"/>
    <cellStyle name="Normal 9 2 2 3 2 5 3 2" xfId="15860" xr:uid="{E5E393A8-6D51-43CA-87D5-257FF24FD351}"/>
    <cellStyle name="Normal 9 2 2 3 2 5 4" xfId="11643" xr:uid="{89DBA500-650F-44BE-86B2-265C03A53006}"/>
    <cellStyle name="Normal 9 2 2 3 2 6" xfId="2664" xr:uid="{00000000-0005-0000-0000-0000D01E0000}"/>
    <cellStyle name="Normal 9 2 2 3 2 6 2" xfId="6947" xr:uid="{00000000-0005-0000-0000-0000D11E0000}"/>
    <cellStyle name="Normal 9 2 2 3 2 6 2 2" xfId="16273" xr:uid="{E83D2924-6D64-4EC6-9161-F984D7CAE441}"/>
    <cellStyle name="Normal 9 2 2 3 2 6 3" xfId="12056" xr:uid="{AEBC3753-893A-4076-ADAE-5A286D31E332}"/>
    <cellStyle name="Normal 9 2 2 3 2 7" xfId="4882" xr:uid="{00000000-0005-0000-0000-0000D21E0000}"/>
    <cellStyle name="Normal 9 2 2 3 2 7 2" xfId="14208" xr:uid="{FAA1FF8D-159D-4427-B943-0DC47105347A}"/>
    <cellStyle name="Normal 9 2 2 3 2 8" xfId="9095" xr:uid="{D95088B7-D227-4E97-A9B9-DA61436DD386}"/>
    <cellStyle name="Normal 9 2 2 3 2 8 2" xfId="18419" xr:uid="{0B3543D6-C100-494D-9720-C3B09DDBE0DD}"/>
    <cellStyle name="Normal 9 2 2 3 2 9" xfId="9991" xr:uid="{E98CCED9-6493-42A9-834C-C3636A61117B}"/>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65" xr:uid="{29EF7686-3B55-46E2-B97F-A7C1EC335DAF}"/>
    <cellStyle name="Normal 9 2 2 3 3 2 3" xfId="12548" xr:uid="{4024B817-8961-4046-BCB2-DB1932FD6660}"/>
    <cellStyle name="Normal 9 2 2 3 3 3" xfId="5294" xr:uid="{00000000-0005-0000-0000-0000D61E0000}"/>
    <cellStyle name="Normal 9 2 2 3 3 3 2" xfId="14620" xr:uid="{641052A9-7706-4E9F-A0CC-8EE065C65627}"/>
    <cellStyle name="Normal 9 2 2 3 3 4" xfId="9313" xr:uid="{FDDC600D-FDDD-4FFC-9820-DFD7E0768F33}"/>
    <cellStyle name="Normal 9 2 2 3 3 4 2" xfId="18628" xr:uid="{1CFF05A6-D3AA-4687-BA82-8833DE1E499D}"/>
    <cellStyle name="Normal 9 2 2 3 3 5" xfId="10403" xr:uid="{0051BFFA-5760-46EC-9897-B37C4FD7D54D}"/>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78" xr:uid="{7B773339-F5E8-48BA-B85B-5A9769F6F95C}"/>
    <cellStyle name="Normal 9 2 2 3 4 2 3" xfId="12961" xr:uid="{9DB4943E-DDF3-4582-80B5-A7246F510570}"/>
    <cellStyle name="Normal 9 2 2 3 4 3" xfId="5707" xr:uid="{00000000-0005-0000-0000-0000DA1E0000}"/>
    <cellStyle name="Normal 9 2 2 3 4 3 2" xfId="15033" xr:uid="{4AF468CD-15FF-4A00-A1C3-09D29E9C2546}"/>
    <cellStyle name="Normal 9 2 2 3 4 4" xfId="10816" xr:uid="{E09211C8-B277-4B9B-BF54-D6151A1B2658}"/>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91" xr:uid="{A1F6AEB5-10CB-47C7-A05B-DB0ED2314600}"/>
    <cellStyle name="Normal 9 2 2 3 5 2 3" xfId="13374" xr:uid="{5A13AF9F-5AA8-490D-9A85-C5A0D5EF0E72}"/>
    <cellStyle name="Normal 9 2 2 3 5 3" xfId="6120" xr:uid="{00000000-0005-0000-0000-0000DE1E0000}"/>
    <cellStyle name="Normal 9 2 2 3 5 3 2" xfId="15446" xr:uid="{BB1AD0C5-74CF-4295-85CC-C6B25BED5B13}"/>
    <cellStyle name="Normal 9 2 2 3 5 4" xfId="11229" xr:uid="{0D00E8A5-CE0F-45ED-9AB1-D6DCB982FC7E}"/>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8004" xr:uid="{522B7FD9-AF78-4909-91C1-67F0F62A10B2}"/>
    <cellStyle name="Normal 9 2 2 3 6 2 3" xfId="13787" xr:uid="{598A27DB-4555-422C-8C62-E83A10430081}"/>
    <cellStyle name="Normal 9 2 2 3 6 3" xfId="6533" xr:uid="{00000000-0005-0000-0000-0000E21E0000}"/>
    <cellStyle name="Normal 9 2 2 3 6 3 2" xfId="15859" xr:uid="{6F44AD34-EBAC-4096-BD16-5B9A557AE4D3}"/>
    <cellStyle name="Normal 9 2 2 3 6 4" xfId="11642" xr:uid="{98BA4B57-4EB4-4AAB-A3B0-833FD5EC2456}"/>
    <cellStyle name="Normal 9 2 2 3 7" xfId="2663" xr:uid="{00000000-0005-0000-0000-0000E31E0000}"/>
    <cellStyle name="Normal 9 2 2 3 7 2" xfId="6946" xr:uid="{00000000-0005-0000-0000-0000E41E0000}"/>
    <cellStyle name="Normal 9 2 2 3 7 2 2" xfId="16272" xr:uid="{B2A057A1-54BD-4ED6-894D-65759E8C52B5}"/>
    <cellStyle name="Normal 9 2 2 3 7 3" xfId="12055" xr:uid="{3624CC6B-D13B-4ACE-A7C4-A9F4231164AF}"/>
    <cellStyle name="Normal 9 2 2 3 8" xfId="4881" xr:uid="{00000000-0005-0000-0000-0000E51E0000}"/>
    <cellStyle name="Normal 9 2 2 3 8 2" xfId="14207" xr:uid="{7AB654C7-AFD5-42F1-905A-3B2CCC825D02}"/>
    <cellStyle name="Normal 9 2 2 3 9" xfId="8888" xr:uid="{47457178-62A7-4ACA-95A1-433BF4FD3D65}"/>
    <cellStyle name="Normal 9 2 2 3 9 2" xfId="18212" xr:uid="{57D38397-1512-4F95-8686-12BF614AFC3F}"/>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67" xr:uid="{8C658627-B26D-47C8-95EE-E42D7662333D}"/>
    <cellStyle name="Normal 9 2 2 4 2 2 3" xfId="12550" xr:uid="{C702128E-B9D3-4510-8364-C837E0CAD8C2}"/>
    <cellStyle name="Normal 9 2 2 4 2 3" xfId="5296" xr:uid="{00000000-0005-0000-0000-0000EA1E0000}"/>
    <cellStyle name="Normal 9 2 2 4 2 3 2" xfId="14622" xr:uid="{1A17FD6E-08CD-453D-950E-E3DB4F588A59}"/>
    <cellStyle name="Normal 9 2 2 4 2 4" xfId="9417" xr:uid="{FDB8A679-B5B8-4E9B-808D-E68F6CA01958}"/>
    <cellStyle name="Normal 9 2 2 4 2 4 2" xfId="18732" xr:uid="{82D7FE5A-37C5-4082-8EA0-568022D6A8A3}"/>
    <cellStyle name="Normal 9 2 2 4 2 5" xfId="10405" xr:uid="{1AD8CF65-292C-4363-891C-6992DBBC88C6}"/>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80" xr:uid="{433DCFD5-E418-4A44-B4F2-746A656A806E}"/>
    <cellStyle name="Normal 9 2 2 4 3 2 3" xfId="12963" xr:uid="{7DA5694B-BCCD-4F45-BB96-82F730B8E048}"/>
    <cellStyle name="Normal 9 2 2 4 3 3" xfId="5709" xr:uid="{00000000-0005-0000-0000-0000EE1E0000}"/>
    <cellStyle name="Normal 9 2 2 4 3 3 2" xfId="15035" xr:uid="{45F8307D-966F-4170-BDC7-65676DAFAE25}"/>
    <cellStyle name="Normal 9 2 2 4 3 4" xfId="10818" xr:uid="{7EE5A41F-8D7C-4063-932E-8DE87995631C}"/>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93" xr:uid="{AC225818-997B-4B12-A495-EDC72C093B29}"/>
    <cellStyle name="Normal 9 2 2 4 4 2 3" xfId="13376" xr:uid="{75498DAC-C40A-4702-98BF-D292C806704D}"/>
    <cellStyle name="Normal 9 2 2 4 4 3" xfId="6122" xr:uid="{00000000-0005-0000-0000-0000F21E0000}"/>
    <cellStyle name="Normal 9 2 2 4 4 3 2" xfId="15448" xr:uid="{5C94353C-9983-4BAA-B466-B6F8A74FBC34}"/>
    <cellStyle name="Normal 9 2 2 4 4 4" xfId="11231" xr:uid="{B7F3B66C-D022-4337-A311-6462F7BB082D}"/>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8006" xr:uid="{6D6A8522-8DEE-4E5C-BFE2-C159E46760D4}"/>
    <cellStyle name="Normal 9 2 2 4 5 2 3" xfId="13789" xr:uid="{5BFC9DFF-A75B-4F92-A3B3-A29C26668954}"/>
    <cellStyle name="Normal 9 2 2 4 5 3" xfId="6535" xr:uid="{00000000-0005-0000-0000-0000F61E0000}"/>
    <cellStyle name="Normal 9 2 2 4 5 3 2" xfId="15861" xr:uid="{127CAFC4-9BA4-427A-95E4-F708B8D68689}"/>
    <cellStyle name="Normal 9 2 2 4 5 4" xfId="11644" xr:uid="{4492D908-30EE-4D94-91D1-E4714996AB0B}"/>
    <cellStyle name="Normal 9 2 2 4 6" xfId="2665" xr:uid="{00000000-0005-0000-0000-0000F71E0000}"/>
    <cellStyle name="Normal 9 2 2 4 6 2" xfId="6948" xr:uid="{00000000-0005-0000-0000-0000F81E0000}"/>
    <cellStyle name="Normal 9 2 2 4 6 2 2" xfId="16274" xr:uid="{756D9373-DA3D-4F9B-A037-35884099CE0C}"/>
    <cellStyle name="Normal 9 2 2 4 6 3" xfId="12057" xr:uid="{BAD49B87-EBBE-49B4-9D55-106D96240FD8}"/>
    <cellStyle name="Normal 9 2 2 4 7" xfId="4883" xr:uid="{00000000-0005-0000-0000-0000F91E0000}"/>
    <cellStyle name="Normal 9 2 2 4 7 2" xfId="14209" xr:uid="{C0F44F14-449C-4C86-8978-34EB9D187EBA}"/>
    <cellStyle name="Normal 9 2 2 4 8" xfId="8992" xr:uid="{8AFFF8AD-8552-4B33-AAFF-7DACAE25085E}"/>
    <cellStyle name="Normal 9 2 2 4 8 2" xfId="18316" xr:uid="{4BD70397-E061-4C62-A7A2-3E5D724025EF}"/>
    <cellStyle name="Normal 9 2 2 4 9" xfId="9992" xr:uid="{7EA7A0B4-A831-4B19-AB99-098CD46AFB1D}"/>
    <cellStyle name="Normal 9 2 2 5" xfId="979" xr:uid="{00000000-0005-0000-0000-0000FA1E0000}"/>
    <cellStyle name="Normal 9 2 2 5 2" xfId="3212" xr:uid="{00000000-0005-0000-0000-0000FB1E0000}"/>
    <cellStyle name="Normal 9 2 2 5 2 2" xfId="7434" xr:uid="{00000000-0005-0000-0000-0000FC1E0000}"/>
    <cellStyle name="Normal 9 2 2 5 2 2 2" xfId="16760" xr:uid="{06C21179-36BD-4CF3-8D34-6F88973DFCEC}"/>
    <cellStyle name="Normal 9 2 2 5 2 3" xfId="12543" xr:uid="{FE5E2E88-EFD5-43F2-A237-13C2C7DBF5CB}"/>
    <cellStyle name="Normal 9 2 2 5 3" xfId="5289" xr:uid="{00000000-0005-0000-0000-0000FD1E0000}"/>
    <cellStyle name="Normal 9 2 2 5 3 2" xfId="14615" xr:uid="{E7785BAE-FDBA-4F34-9E89-D4828D99421F}"/>
    <cellStyle name="Normal 9 2 2 5 4" xfId="9209" xr:uid="{66E66B93-842C-41D8-A807-A065C03CFEBD}"/>
    <cellStyle name="Normal 9 2 2 5 4 2" xfId="18525" xr:uid="{258C3E87-8741-4AD8-BC3F-808B0AAD4C29}"/>
    <cellStyle name="Normal 9 2 2 5 5" xfId="10398" xr:uid="{A561813C-D316-40FC-BB22-348584BB617A}"/>
    <cellStyle name="Normal 9 2 2 6" xfId="1395" xr:uid="{00000000-0005-0000-0000-0000FE1E0000}"/>
    <cellStyle name="Normal 9 2 2 6 2" xfId="3625" xr:uid="{00000000-0005-0000-0000-0000FF1E0000}"/>
    <cellStyle name="Normal 9 2 2 6 2 2" xfId="7847" xr:uid="{00000000-0005-0000-0000-0000001F0000}"/>
    <cellStyle name="Normal 9 2 2 6 2 2 2" xfId="17173" xr:uid="{F5FF9F6D-9040-4EC3-9326-D81B1D35A466}"/>
    <cellStyle name="Normal 9 2 2 6 2 3" xfId="12956" xr:uid="{50B0CC71-46F7-4356-9C68-742954D5AB19}"/>
    <cellStyle name="Normal 9 2 2 6 3" xfId="5702" xr:uid="{00000000-0005-0000-0000-0000011F0000}"/>
    <cellStyle name="Normal 9 2 2 6 3 2" xfId="15028" xr:uid="{14185AE0-5020-400B-98E7-24DA304FE8D3}"/>
    <cellStyle name="Normal 9 2 2 6 4" xfId="10811" xr:uid="{54EA4985-E0AA-4702-B525-03D356103153}"/>
    <cellStyle name="Normal 9 2 2 7" xfId="1808" xr:uid="{00000000-0005-0000-0000-0000021F0000}"/>
    <cellStyle name="Normal 9 2 2 7 2" xfId="4038" xr:uid="{00000000-0005-0000-0000-0000031F0000}"/>
    <cellStyle name="Normal 9 2 2 7 2 2" xfId="8260" xr:uid="{00000000-0005-0000-0000-0000041F0000}"/>
    <cellStyle name="Normal 9 2 2 7 2 2 2" xfId="17586" xr:uid="{3F05CBC0-2145-4494-91E9-8BBA858D209A}"/>
    <cellStyle name="Normal 9 2 2 7 2 3" xfId="13369" xr:uid="{2B80F5B0-9630-489D-BE8C-70C29CDC0EEE}"/>
    <cellStyle name="Normal 9 2 2 7 3" xfId="6115" xr:uid="{00000000-0005-0000-0000-0000051F0000}"/>
    <cellStyle name="Normal 9 2 2 7 3 2" xfId="15441" xr:uid="{93EC437A-6233-4185-A107-7D295E0F48DD}"/>
    <cellStyle name="Normal 9 2 2 7 4" xfId="11224" xr:uid="{BFC71CA2-D279-42A0-BB52-D5AC0391D063}"/>
    <cellStyle name="Normal 9 2 2 8" xfId="2222" xr:uid="{00000000-0005-0000-0000-0000061F0000}"/>
    <cellStyle name="Normal 9 2 2 8 2" xfId="4451" xr:uid="{00000000-0005-0000-0000-0000071F0000}"/>
    <cellStyle name="Normal 9 2 2 8 2 2" xfId="8673" xr:uid="{00000000-0005-0000-0000-0000081F0000}"/>
    <cellStyle name="Normal 9 2 2 8 2 2 2" xfId="17999" xr:uid="{9120B380-7303-4910-B364-CF4F86E29A12}"/>
    <cellStyle name="Normal 9 2 2 8 2 3" xfId="13782" xr:uid="{EF025449-1EB9-40B7-A234-1EFE848F530C}"/>
    <cellStyle name="Normal 9 2 2 8 3" xfId="6528" xr:uid="{00000000-0005-0000-0000-0000091F0000}"/>
    <cellStyle name="Normal 9 2 2 8 3 2" xfId="15854" xr:uid="{7D7A9469-79F2-4BE3-BDC4-B2CB5E973C45}"/>
    <cellStyle name="Normal 9 2 2 8 4" xfId="11637" xr:uid="{6ADA6284-B132-416A-A23B-18876E6DEC2B}"/>
    <cellStyle name="Normal 9 2 2 9" xfId="2658" xr:uid="{00000000-0005-0000-0000-00000A1F0000}"/>
    <cellStyle name="Normal 9 2 2 9 2" xfId="6941" xr:uid="{00000000-0005-0000-0000-00000B1F0000}"/>
    <cellStyle name="Normal 9 2 2 9 2 2" xfId="16267" xr:uid="{7A463F66-ADF9-40A4-AC5C-4EC25B55BA92}"/>
    <cellStyle name="Normal 9 2 2 9 3" xfId="12050" xr:uid="{C7EF0D3E-6382-4527-B1A9-86727C5650D5}"/>
    <cellStyle name="Normal 9 2 3" xfId="520" xr:uid="{00000000-0005-0000-0000-00000C1F0000}"/>
    <cellStyle name="Normal 9 2 3 10" xfId="8838" xr:uid="{3F59BADF-95CF-4831-9CE1-8ACBDD585DF1}"/>
    <cellStyle name="Normal 9 2 3 10 2" xfId="18162" xr:uid="{52DBC0E2-20DC-4EF4-AB93-AF572069D4FA}"/>
    <cellStyle name="Normal 9 2 3 11" xfId="9993" xr:uid="{D8F245E8-C70C-483A-BD70-F2FC3BFD5898}"/>
    <cellStyle name="Normal 9 2 3 2" xfId="521" xr:uid="{00000000-0005-0000-0000-00000D1F0000}"/>
    <cellStyle name="Normal 9 2 3 2 10" xfId="9994" xr:uid="{731584A3-2A4C-4BF5-87E4-B573473F8291}"/>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70" xr:uid="{AE98C108-7E23-4729-8F26-EDE5995CA3E8}"/>
    <cellStyle name="Normal 9 2 3 2 2 2 2 3" xfId="12553" xr:uid="{78029ACA-A67F-49B2-BC0A-33DD938C0302}"/>
    <cellStyle name="Normal 9 2 3 2 2 2 3" xfId="5299" xr:uid="{00000000-0005-0000-0000-0000121F0000}"/>
    <cellStyle name="Normal 9 2 3 2 2 2 3 2" xfId="14625" xr:uid="{E8F417AA-D889-483C-A2ED-B6C29A3A168B}"/>
    <cellStyle name="Normal 9 2 3 2 2 2 4" xfId="9573" xr:uid="{376F8566-2407-40B8-9531-D3E757BE7A23}"/>
    <cellStyle name="Normal 9 2 3 2 2 2 4 2" xfId="18888" xr:uid="{E8349DB7-DB28-4DFD-93D7-B3D66D3BD44D}"/>
    <cellStyle name="Normal 9 2 3 2 2 2 5" xfId="10408" xr:uid="{EE087C87-9AA8-415C-8F39-3F527A5431E9}"/>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83" xr:uid="{86DCF4E0-D233-4D7E-8800-8E06E049381B}"/>
    <cellStyle name="Normal 9 2 3 2 2 3 2 3" xfId="12966" xr:uid="{D3E00EF7-F32F-4822-9B53-97E1CC94FB0A}"/>
    <cellStyle name="Normal 9 2 3 2 2 3 3" xfId="5712" xr:uid="{00000000-0005-0000-0000-0000161F0000}"/>
    <cellStyle name="Normal 9 2 3 2 2 3 3 2" xfId="15038" xr:uid="{1AEC264D-CBA9-478D-9E61-1EA0664236D1}"/>
    <cellStyle name="Normal 9 2 3 2 2 3 4" xfId="10821" xr:uid="{91D3657B-4788-4F6D-B3B4-4115F1E9E58E}"/>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96" xr:uid="{81BE1FCB-5A9A-4ABD-B46F-D3B8BB1E1A3D}"/>
    <cellStyle name="Normal 9 2 3 2 2 4 2 3" xfId="13379" xr:uid="{84B65B01-E3BB-48F0-9495-B12DABDF7300}"/>
    <cellStyle name="Normal 9 2 3 2 2 4 3" xfId="6125" xr:uid="{00000000-0005-0000-0000-00001A1F0000}"/>
    <cellStyle name="Normal 9 2 3 2 2 4 3 2" xfId="15451" xr:uid="{CBBCED47-F5DD-45BE-99E1-A6ADBF82A2EB}"/>
    <cellStyle name="Normal 9 2 3 2 2 4 4" xfId="11234" xr:uid="{0651A57D-9316-4105-9495-B4F23FE6B438}"/>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8009" xr:uid="{E75DC475-090B-4CF4-A2DB-448418756A7A}"/>
    <cellStyle name="Normal 9 2 3 2 2 5 2 3" xfId="13792" xr:uid="{60F04B81-F080-48A7-87CB-ABDE0BBE3B8E}"/>
    <cellStyle name="Normal 9 2 3 2 2 5 3" xfId="6538" xr:uid="{00000000-0005-0000-0000-00001E1F0000}"/>
    <cellStyle name="Normal 9 2 3 2 2 5 3 2" xfId="15864" xr:uid="{34221429-1DB5-4DC9-9123-B15592F090E5}"/>
    <cellStyle name="Normal 9 2 3 2 2 5 4" xfId="11647" xr:uid="{6BD975F4-C0CB-4349-865F-3233434A9021}"/>
    <cellStyle name="Normal 9 2 3 2 2 6" xfId="2668" xr:uid="{00000000-0005-0000-0000-00001F1F0000}"/>
    <cellStyle name="Normal 9 2 3 2 2 6 2" xfId="6951" xr:uid="{00000000-0005-0000-0000-0000201F0000}"/>
    <cellStyle name="Normal 9 2 3 2 2 6 2 2" xfId="16277" xr:uid="{9D980645-D786-4B52-A317-90F008FD3E39}"/>
    <cellStyle name="Normal 9 2 3 2 2 6 3" xfId="12060" xr:uid="{23769226-83ED-48FF-807C-81277760A982}"/>
    <cellStyle name="Normal 9 2 3 2 2 7" xfId="4886" xr:uid="{00000000-0005-0000-0000-0000211F0000}"/>
    <cellStyle name="Normal 9 2 3 2 2 7 2" xfId="14212" xr:uid="{8AC06AC9-DFC6-4A39-8319-0E5372424C6D}"/>
    <cellStyle name="Normal 9 2 3 2 2 8" xfId="9148" xr:uid="{E1A2F3F0-C8EA-47FA-BB37-18F117041A87}"/>
    <cellStyle name="Normal 9 2 3 2 2 8 2" xfId="18472" xr:uid="{DD259A0A-BDEB-4BF1-B164-4CA475077AE1}"/>
    <cellStyle name="Normal 9 2 3 2 2 9" xfId="9995" xr:uid="{F2760E9B-EAC8-4F23-A90E-6C43D5350505}"/>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69" xr:uid="{0412A83D-24C2-4413-A126-61FAAEA355F9}"/>
    <cellStyle name="Normal 9 2 3 2 3 2 3" xfId="12552" xr:uid="{E270D4E6-7594-4916-8FD4-50D487E02155}"/>
    <cellStyle name="Normal 9 2 3 2 3 3" xfId="5298" xr:uid="{00000000-0005-0000-0000-0000251F0000}"/>
    <cellStyle name="Normal 9 2 3 2 3 3 2" xfId="14624" xr:uid="{37E8E62A-9AE4-49D5-8332-B5BB86EFEB34}"/>
    <cellStyle name="Normal 9 2 3 2 3 4" xfId="9366" xr:uid="{136A6B94-9CAA-4F6C-B09D-7385900FCA38}"/>
    <cellStyle name="Normal 9 2 3 2 3 4 2" xfId="18681" xr:uid="{9769D657-783C-4500-89B4-E2C1D0060764}"/>
    <cellStyle name="Normal 9 2 3 2 3 5" xfId="10407" xr:uid="{DC360711-2144-4EAE-AED9-B4A2D17B0ECF}"/>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82" xr:uid="{A089F65D-F1FF-4825-9B14-8C2105E80ED1}"/>
    <cellStyle name="Normal 9 2 3 2 4 2 3" xfId="12965" xr:uid="{264DF84B-1D55-4688-B233-EC6E3AA80E79}"/>
    <cellStyle name="Normal 9 2 3 2 4 3" xfId="5711" xr:uid="{00000000-0005-0000-0000-0000291F0000}"/>
    <cellStyle name="Normal 9 2 3 2 4 3 2" xfId="15037" xr:uid="{193F9AFD-CBFC-47D4-8228-8B65B25FDAFB}"/>
    <cellStyle name="Normal 9 2 3 2 4 4" xfId="10820" xr:uid="{BA49C72C-55DC-45E4-8C1D-D0F956B7FE44}"/>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95" xr:uid="{4A5B084B-09B0-42F0-B7B6-A3A9B55D5852}"/>
    <cellStyle name="Normal 9 2 3 2 5 2 3" xfId="13378" xr:uid="{227F8061-4478-4394-8268-6CD25C9C91D3}"/>
    <cellStyle name="Normal 9 2 3 2 5 3" xfId="6124" xr:uid="{00000000-0005-0000-0000-00002D1F0000}"/>
    <cellStyle name="Normal 9 2 3 2 5 3 2" xfId="15450" xr:uid="{CB9F5F82-DAAA-40F7-92FD-65F859D06BA8}"/>
    <cellStyle name="Normal 9 2 3 2 5 4" xfId="11233" xr:uid="{A3D4546C-0B1E-45C0-A375-346BA9D00C50}"/>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8008" xr:uid="{22518436-CE4B-4708-80D8-0E75C4E4E465}"/>
    <cellStyle name="Normal 9 2 3 2 6 2 3" xfId="13791" xr:uid="{EB2BA835-B965-4199-9051-A703EEABE527}"/>
    <cellStyle name="Normal 9 2 3 2 6 3" xfId="6537" xr:uid="{00000000-0005-0000-0000-0000311F0000}"/>
    <cellStyle name="Normal 9 2 3 2 6 3 2" xfId="15863" xr:uid="{7A4C0565-2630-4214-A691-53BD9721BB4E}"/>
    <cellStyle name="Normal 9 2 3 2 6 4" xfId="11646" xr:uid="{8D6BE292-FF31-4ACF-ADB8-2922CA44659B}"/>
    <cellStyle name="Normal 9 2 3 2 7" xfId="2667" xr:uid="{00000000-0005-0000-0000-0000321F0000}"/>
    <cellStyle name="Normal 9 2 3 2 7 2" xfId="6950" xr:uid="{00000000-0005-0000-0000-0000331F0000}"/>
    <cellStyle name="Normal 9 2 3 2 7 2 2" xfId="16276" xr:uid="{C26D8FB0-AD7F-4BD6-9449-3A5428A444D2}"/>
    <cellStyle name="Normal 9 2 3 2 7 3" xfId="12059" xr:uid="{11C1C64A-E31B-438E-9430-3E29B177C36C}"/>
    <cellStyle name="Normal 9 2 3 2 8" xfId="4885" xr:uid="{00000000-0005-0000-0000-0000341F0000}"/>
    <cellStyle name="Normal 9 2 3 2 8 2" xfId="14211" xr:uid="{36B7DF5F-8C4C-4DBC-A389-B33490066EED}"/>
    <cellStyle name="Normal 9 2 3 2 9" xfId="8941" xr:uid="{DDA1E375-E708-45D0-9119-207D493A75BA}"/>
    <cellStyle name="Normal 9 2 3 2 9 2" xfId="18265" xr:uid="{A3BEB07D-5E24-4F40-BB58-321B1581F203}"/>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71" xr:uid="{20930DD5-290B-46E8-B877-ECCD2423D9AA}"/>
    <cellStyle name="Normal 9 2 3 3 2 2 3" xfId="12554" xr:uid="{E099E682-F3A9-4F55-BCFC-16882EF6BF80}"/>
    <cellStyle name="Normal 9 2 3 3 2 3" xfId="5300" xr:uid="{00000000-0005-0000-0000-0000391F0000}"/>
    <cellStyle name="Normal 9 2 3 3 2 3 2" xfId="14626" xr:uid="{95CD2A6D-9511-4E65-86E4-8923AC96F0D3}"/>
    <cellStyle name="Normal 9 2 3 3 2 4" xfId="9470" xr:uid="{B46EA5E7-4A9D-405A-94B0-2C155F0DE1F1}"/>
    <cellStyle name="Normal 9 2 3 3 2 4 2" xfId="18785" xr:uid="{4821E4FE-84E5-428C-8075-036D549924E4}"/>
    <cellStyle name="Normal 9 2 3 3 2 5" xfId="10409" xr:uid="{15A697E8-AF42-4C87-953B-74FEF73DE3CF}"/>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84" xr:uid="{8497DA79-8FEB-489B-A2FD-6B4849ECE9E1}"/>
    <cellStyle name="Normal 9 2 3 3 3 2 3" xfId="12967" xr:uid="{6B4E7B3B-7636-40DA-95C9-9F7E6D8EB85B}"/>
    <cellStyle name="Normal 9 2 3 3 3 3" xfId="5713" xr:uid="{00000000-0005-0000-0000-00003D1F0000}"/>
    <cellStyle name="Normal 9 2 3 3 3 3 2" xfId="15039" xr:uid="{CA729903-5BB4-4DC9-A790-1923E4D5EC53}"/>
    <cellStyle name="Normal 9 2 3 3 3 4" xfId="10822" xr:uid="{7A8076EE-44EC-44C0-A370-BA4927AC5932}"/>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97" xr:uid="{DF466FCE-57D2-49FF-9317-E3C1254318F1}"/>
    <cellStyle name="Normal 9 2 3 3 4 2 3" xfId="13380" xr:uid="{D61566F3-E0A4-4C35-8D8F-CCF6ECD671C8}"/>
    <cellStyle name="Normal 9 2 3 3 4 3" xfId="6126" xr:uid="{00000000-0005-0000-0000-0000411F0000}"/>
    <cellStyle name="Normal 9 2 3 3 4 3 2" xfId="15452" xr:uid="{1EC3ACC1-5CEC-4EC3-87AE-B80DFDEFE992}"/>
    <cellStyle name="Normal 9 2 3 3 4 4" xfId="11235" xr:uid="{7A2624B8-1F79-44BD-AA0E-4C0E18AF9612}"/>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8010" xr:uid="{663923A1-C341-4A9D-BDE5-6953AD18569D}"/>
    <cellStyle name="Normal 9 2 3 3 5 2 3" xfId="13793" xr:uid="{DFAE5CD8-0055-4597-8B68-478B6CBE2E63}"/>
    <cellStyle name="Normal 9 2 3 3 5 3" xfId="6539" xr:uid="{00000000-0005-0000-0000-0000451F0000}"/>
    <cellStyle name="Normal 9 2 3 3 5 3 2" xfId="15865" xr:uid="{FDC622AF-326F-49B9-A38B-C5FE174B5BC4}"/>
    <cellStyle name="Normal 9 2 3 3 5 4" xfId="11648" xr:uid="{ABE2A18C-04EA-40EB-ACFC-18EFFDB05331}"/>
    <cellStyle name="Normal 9 2 3 3 6" xfId="2669" xr:uid="{00000000-0005-0000-0000-0000461F0000}"/>
    <cellStyle name="Normal 9 2 3 3 6 2" xfId="6952" xr:uid="{00000000-0005-0000-0000-0000471F0000}"/>
    <cellStyle name="Normal 9 2 3 3 6 2 2" xfId="16278" xr:uid="{3D9554FC-B598-4AA8-9EAB-C23F9BA36881}"/>
    <cellStyle name="Normal 9 2 3 3 6 3" xfId="12061" xr:uid="{32F4A3E3-162D-4B45-B94C-B9CC28111E2D}"/>
    <cellStyle name="Normal 9 2 3 3 7" xfId="4887" xr:uid="{00000000-0005-0000-0000-0000481F0000}"/>
    <cellStyle name="Normal 9 2 3 3 7 2" xfId="14213" xr:uid="{D3434246-E6C4-4B02-B636-6767D57482BE}"/>
    <cellStyle name="Normal 9 2 3 3 8" xfId="9045" xr:uid="{CD23D75F-FCE1-471A-A55A-DAC6FB15D069}"/>
    <cellStyle name="Normal 9 2 3 3 8 2" xfId="18369" xr:uid="{FA4EEE58-05B5-45DF-BD25-1C539AB3CCE6}"/>
    <cellStyle name="Normal 9 2 3 3 9" xfId="9996" xr:uid="{DA1DD30A-2079-4373-8AFD-D477ED3293FD}"/>
    <cellStyle name="Normal 9 2 3 4" xfId="987" xr:uid="{00000000-0005-0000-0000-0000491F0000}"/>
    <cellStyle name="Normal 9 2 3 4 2" xfId="3220" xr:uid="{00000000-0005-0000-0000-00004A1F0000}"/>
    <cellStyle name="Normal 9 2 3 4 2 2" xfId="7442" xr:uid="{00000000-0005-0000-0000-00004B1F0000}"/>
    <cellStyle name="Normal 9 2 3 4 2 2 2" xfId="16768" xr:uid="{EC50B56C-3DF5-4776-9D1D-7D076EFEAD82}"/>
    <cellStyle name="Normal 9 2 3 4 2 3" xfId="12551" xr:uid="{2453D0C8-A293-486D-ABEC-082F5303AA39}"/>
    <cellStyle name="Normal 9 2 3 4 3" xfId="5297" xr:uid="{00000000-0005-0000-0000-00004C1F0000}"/>
    <cellStyle name="Normal 9 2 3 4 3 2" xfId="14623" xr:uid="{47692F6C-F6A7-4339-B4A4-FFE6EA7A5DA3}"/>
    <cellStyle name="Normal 9 2 3 4 4" xfId="9263" xr:uid="{8E7B719A-F76B-4A2B-A5A7-1A883FD6976F}"/>
    <cellStyle name="Normal 9 2 3 4 4 2" xfId="18578" xr:uid="{FFF7335B-1E40-47E3-9DEC-7AC3DCB2FEA4}"/>
    <cellStyle name="Normal 9 2 3 4 5" xfId="10406" xr:uid="{E88BE08C-BE22-44ED-848B-DE1E1ABDB586}"/>
    <cellStyle name="Normal 9 2 3 5" xfId="1403" xr:uid="{00000000-0005-0000-0000-00004D1F0000}"/>
    <cellStyle name="Normal 9 2 3 5 2" xfId="3633" xr:uid="{00000000-0005-0000-0000-00004E1F0000}"/>
    <cellStyle name="Normal 9 2 3 5 2 2" xfId="7855" xr:uid="{00000000-0005-0000-0000-00004F1F0000}"/>
    <cellStyle name="Normal 9 2 3 5 2 2 2" xfId="17181" xr:uid="{B789E3E8-D152-4265-892F-55FF9E0BB47F}"/>
    <cellStyle name="Normal 9 2 3 5 2 3" xfId="12964" xr:uid="{28633404-6CC4-4CB4-BE4E-2D2B07377B52}"/>
    <cellStyle name="Normal 9 2 3 5 3" xfId="5710" xr:uid="{00000000-0005-0000-0000-0000501F0000}"/>
    <cellStyle name="Normal 9 2 3 5 3 2" xfId="15036" xr:uid="{BBC69EEE-18EE-474E-95E4-98F8E2AA3DF6}"/>
    <cellStyle name="Normal 9 2 3 5 4" xfId="10819" xr:uid="{00C38E00-78A7-4549-81D0-237E052FB47E}"/>
    <cellStyle name="Normal 9 2 3 6" xfId="1816" xr:uid="{00000000-0005-0000-0000-0000511F0000}"/>
    <cellStyle name="Normal 9 2 3 6 2" xfId="4046" xr:uid="{00000000-0005-0000-0000-0000521F0000}"/>
    <cellStyle name="Normal 9 2 3 6 2 2" xfId="8268" xr:uid="{00000000-0005-0000-0000-0000531F0000}"/>
    <cellStyle name="Normal 9 2 3 6 2 2 2" xfId="17594" xr:uid="{5A78ED5A-1E69-44D4-B0D5-592038757035}"/>
    <cellStyle name="Normal 9 2 3 6 2 3" xfId="13377" xr:uid="{9DA5AAA6-4E09-40C5-BA4C-886CCB76DA0E}"/>
    <cellStyle name="Normal 9 2 3 6 3" xfId="6123" xr:uid="{00000000-0005-0000-0000-0000541F0000}"/>
    <cellStyle name="Normal 9 2 3 6 3 2" xfId="15449" xr:uid="{02A07470-6073-4F21-9CBF-AE75C08D341A}"/>
    <cellStyle name="Normal 9 2 3 6 4" xfId="11232" xr:uid="{33C8FE4E-0307-420A-9E9F-6022EE21A4F5}"/>
    <cellStyle name="Normal 9 2 3 7" xfId="2230" xr:uid="{00000000-0005-0000-0000-0000551F0000}"/>
    <cellStyle name="Normal 9 2 3 7 2" xfId="4459" xr:uid="{00000000-0005-0000-0000-0000561F0000}"/>
    <cellStyle name="Normal 9 2 3 7 2 2" xfId="8681" xr:uid="{00000000-0005-0000-0000-0000571F0000}"/>
    <cellStyle name="Normal 9 2 3 7 2 2 2" xfId="18007" xr:uid="{A253FA7F-2098-42CE-845E-47CCE4AC3625}"/>
    <cellStyle name="Normal 9 2 3 7 2 3" xfId="13790" xr:uid="{00FCE3E4-E103-4AC7-B26C-A9D48F6ED279}"/>
    <cellStyle name="Normal 9 2 3 7 3" xfId="6536" xr:uid="{00000000-0005-0000-0000-0000581F0000}"/>
    <cellStyle name="Normal 9 2 3 7 3 2" xfId="15862" xr:uid="{930A4DFA-9EF7-4383-A6C9-F29A1F0435B9}"/>
    <cellStyle name="Normal 9 2 3 7 4" xfId="11645" xr:uid="{BBD9594E-14CD-40B0-B21B-C899F8287378}"/>
    <cellStyle name="Normal 9 2 3 8" xfId="2666" xr:uid="{00000000-0005-0000-0000-0000591F0000}"/>
    <cellStyle name="Normal 9 2 3 8 2" xfId="6949" xr:uid="{00000000-0005-0000-0000-00005A1F0000}"/>
    <cellStyle name="Normal 9 2 3 8 2 2" xfId="16275" xr:uid="{D4BC9888-0BDA-4B5E-B469-73208D500857}"/>
    <cellStyle name="Normal 9 2 3 8 3" xfId="12058" xr:uid="{1BC66AE6-68BC-4CFE-8825-ECCA04156DF0}"/>
    <cellStyle name="Normal 9 2 3 9" xfId="4884" xr:uid="{00000000-0005-0000-0000-00005B1F0000}"/>
    <cellStyle name="Normal 9 2 3 9 2" xfId="14210" xr:uid="{AA58745A-0D99-4F01-9629-B50FA1943B58}"/>
    <cellStyle name="Normal 9 2 4" xfId="524" xr:uid="{00000000-0005-0000-0000-00005C1F0000}"/>
    <cellStyle name="Normal 9 2 4 10" xfId="9997" xr:uid="{987AAEA6-D681-4593-BAE9-41361EAC87DD}"/>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73" xr:uid="{CF5507BF-9C6F-4475-A22C-29DC6A22C63E}"/>
    <cellStyle name="Normal 9 2 4 2 2 2 3" xfId="12556" xr:uid="{0A87F74F-7F1E-477D-8FE7-9DBCBE9E59AF}"/>
    <cellStyle name="Normal 9 2 4 2 2 3" xfId="5302" xr:uid="{00000000-0005-0000-0000-0000611F0000}"/>
    <cellStyle name="Normal 9 2 4 2 2 3 2" xfId="14628" xr:uid="{06153813-FB86-4C43-A0C1-F9231278B3FD}"/>
    <cellStyle name="Normal 9 2 4 2 2 4" xfId="9489" xr:uid="{4BA9DC16-58A7-4D6B-90A6-6BB0C51A0279}"/>
    <cellStyle name="Normal 9 2 4 2 2 4 2" xfId="18804" xr:uid="{10F78D2A-7575-4561-BAD0-BC6BC721E075}"/>
    <cellStyle name="Normal 9 2 4 2 2 5" xfId="10411" xr:uid="{DF16731C-1998-4B88-AE45-C9ADE581BC5A}"/>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86" xr:uid="{60FFD9B4-C71F-47EA-9340-66A5B3162641}"/>
    <cellStyle name="Normal 9 2 4 2 3 2 3" xfId="12969" xr:uid="{F42D8AFB-172A-455F-ADF1-C9F21F479D90}"/>
    <cellStyle name="Normal 9 2 4 2 3 3" xfId="5715" xr:uid="{00000000-0005-0000-0000-0000651F0000}"/>
    <cellStyle name="Normal 9 2 4 2 3 3 2" xfId="15041" xr:uid="{BDEBE9A0-2A3A-4F56-A921-5B4FE044331A}"/>
    <cellStyle name="Normal 9 2 4 2 3 4" xfId="10824" xr:uid="{A52B5A93-74C8-4844-AEE0-A504F38267FB}"/>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99" xr:uid="{B9E8F2B6-4F13-4213-AFF1-58A7EEA83953}"/>
    <cellStyle name="Normal 9 2 4 2 4 2 3" xfId="13382" xr:uid="{E5F10CFE-2458-406B-A72E-1DDF285E7218}"/>
    <cellStyle name="Normal 9 2 4 2 4 3" xfId="6128" xr:uid="{00000000-0005-0000-0000-0000691F0000}"/>
    <cellStyle name="Normal 9 2 4 2 4 3 2" xfId="15454" xr:uid="{D6B2E4FA-38FC-4F49-B129-AED3A79488F3}"/>
    <cellStyle name="Normal 9 2 4 2 4 4" xfId="11237" xr:uid="{D4C998A4-9C8F-449D-A87B-167A49C42EA2}"/>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8012" xr:uid="{72E75895-9D2D-4509-87CA-6B7A561B1C74}"/>
    <cellStyle name="Normal 9 2 4 2 5 2 3" xfId="13795" xr:uid="{23F78CAC-A767-4B9F-B8ED-01079F0CFE0D}"/>
    <cellStyle name="Normal 9 2 4 2 5 3" xfId="6541" xr:uid="{00000000-0005-0000-0000-00006D1F0000}"/>
    <cellStyle name="Normal 9 2 4 2 5 3 2" xfId="15867" xr:uid="{6CCEEE95-5117-4B69-BE84-7262F83A8DEB}"/>
    <cellStyle name="Normal 9 2 4 2 5 4" xfId="11650" xr:uid="{410B39C6-7A0E-486F-B8E4-7056AF5EEFC7}"/>
    <cellStyle name="Normal 9 2 4 2 6" xfId="2671" xr:uid="{00000000-0005-0000-0000-00006E1F0000}"/>
    <cellStyle name="Normal 9 2 4 2 6 2" xfId="6954" xr:uid="{00000000-0005-0000-0000-00006F1F0000}"/>
    <cellStyle name="Normal 9 2 4 2 6 2 2" xfId="16280" xr:uid="{D29280CF-E26D-4EA2-8F7D-D826BD94E2BA}"/>
    <cellStyle name="Normal 9 2 4 2 6 3" xfId="12063" xr:uid="{EFB80584-77DF-473C-8613-A0ACA464ACE4}"/>
    <cellStyle name="Normal 9 2 4 2 7" xfId="4889" xr:uid="{00000000-0005-0000-0000-0000701F0000}"/>
    <cellStyle name="Normal 9 2 4 2 7 2" xfId="14215" xr:uid="{FE768CC0-E88D-4802-B5D4-5D2534BC0471}"/>
    <cellStyle name="Normal 9 2 4 2 8" xfId="9064" xr:uid="{7D4090C3-C767-4FFF-8A1F-282B2C8BAE68}"/>
    <cellStyle name="Normal 9 2 4 2 8 2" xfId="18388" xr:uid="{3608BEED-E98F-4755-985D-45EA96AC9320}"/>
    <cellStyle name="Normal 9 2 4 2 9" xfId="9998" xr:uid="{71C90ED9-09FD-49FB-BCF5-9A792B600439}"/>
    <cellStyle name="Normal 9 2 4 3" xfId="991" xr:uid="{00000000-0005-0000-0000-0000711F0000}"/>
    <cellStyle name="Normal 9 2 4 3 2" xfId="3224" xr:uid="{00000000-0005-0000-0000-0000721F0000}"/>
    <cellStyle name="Normal 9 2 4 3 2 2" xfId="7446" xr:uid="{00000000-0005-0000-0000-0000731F0000}"/>
    <cellStyle name="Normal 9 2 4 3 2 2 2" xfId="16772" xr:uid="{BEE34785-2860-4854-B31E-1878575CFC95}"/>
    <cellStyle name="Normal 9 2 4 3 2 3" xfId="12555" xr:uid="{EB3C3FFF-D5D5-45D4-9D7B-55F77880EDEA}"/>
    <cellStyle name="Normal 9 2 4 3 3" xfId="5301" xr:uid="{00000000-0005-0000-0000-0000741F0000}"/>
    <cellStyle name="Normal 9 2 4 3 3 2" xfId="14627" xr:uid="{546F64C8-337F-438F-B0BB-9FA6D3C61261}"/>
    <cellStyle name="Normal 9 2 4 3 4" xfId="9282" xr:uid="{2471E5AC-3D06-4E90-9462-C54FACA9B22B}"/>
    <cellStyle name="Normal 9 2 4 3 4 2" xfId="18597" xr:uid="{FD39C308-60C2-4373-9F2B-E428DF5317F3}"/>
    <cellStyle name="Normal 9 2 4 3 5" xfId="10410" xr:uid="{756DCC09-C2E5-4784-83DB-E3D65C13C985}"/>
    <cellStyle name="Normal 9 2 4 4" xfId="1407" xr:uid="{00000000-0005-0000-0000-0000751F0000}"/>
    <cellStyle name="Normal 9 2 4 4 2" xfId="3637" xr:uid="{00000000-0005-0000-0000-0000761F0000}"/>
    <cellStyle name="Normal 9 2 4 4 2 2" xfId="7859" xr:uid="{00000000-0005-0000-0000-0000771F0000}"/>
    <cellStyle name="Normal 9 2 4 4 2 2 2" xfId="17185" xr:uid="{34F246A6-D582-4FD6-B35E-E39A31E5B74F}"/>
    <cellStyle name="Normal 9 2 4 4 2 3" xfId="12968" xr:uid="{126AA99C-CE08-48D6-B6BE-E826564D0D67}"/>
    <cellStyle name="Normal 9 2 4 4 3" xfId="5714" xr:uid="{00000000-0005-0000-0000-0000781F0000}"/>
    <cellStyle name="Normal 9 2 4 4 3 2" xfId="15040" xr:uid="{D4B0F269-7BC9-4F05-9E4A-CD5D222C5773}"/>
    <cellStyle name="Normal 9 2 4 4 4" xfId="10823" xr:uid="{FE06A96D-877C-4B56-8712-42239DD854A4}"/>
    <cellStyle name="Normal 9 2 4 5" xfId="1820" xr:uid="{00000000-0005-0000-0000-0000791F0000}"/>
    <cellStyle name="Normal 9 2 4 5 2" xfId="4050" xr:uid="{00000000-0005-0000-0000-00007A1F0000}"/>
    <cellStyle name="Normal 9 2 4 5 2 2" xfId="8272" xr:uid="{00000000-0005-0000-0000-00007B1F0000}"/>
    <cellStyle name="Normal 9 2 4 5 2 2 2" xfId="17598" xr:uid="{84C1863A-A357-4623-877E-1529C3A1FF65}"/>
    <cellStyle name="Normal 9 2 4 5 2 3" xfId="13381" xr:uid="{F5CD0E2C-DA25-4BC2-9CEE-DDF650F85761}"/>
    <cellStyle name="Normal 9 2 4 5 3" xfId="6127" xr:uid="{00000000-0005-0000-0000-00007C1F0000}"/>
    <cellStyle name="Normal 9 2 4 5 3 2" xfId="15453" xr:uid="{A14998C0-8EFA-4B2A-885E-BBDFA1A590B7}"/>
    <cellStyle name="Normal 9 2 4 5 4" xfId="11236" xr:uid="{2BD91FD5-FFE0-4D85-BE63-9D8C4C53C013}"/>
    <cellStyle name="Normal 9 2 4 6" xfId="2234" xr:uid="{00000000-0005-0000-0000-00007D1F0000}"/>
    <cellStyle name="Normal 9 2 4 6 2" xfId="4463" xr:uid="{00000000-0005-0000-0000-00007E1F0000}"/>
    <cellStyle name="Normal 9 2 4 6 2 2" xfId="8685" xr:uid="{00000000-0005-0000-0000-00007F1F0000}"/>
    <cellStyle name="Normal 9 2 4 6 2 2 2" xfId="18011" xr:uid="{9089ED4E-DAE1-4996-A3E5-ED1F15D324BE}"/>
    <cellStyle name="Normal 9 2 4 6 2 3" xfId="13794" xr:uid="{9E92A722-D824-45E7-A45F-340FD88F44A9}"/>
    <cellStyle name="Normal 9 2 4 6 3" xfId="6540" xr:uid="{00000000-0005-0000-0000-0000801F0000}"/>
    <cellStyle name="Normal 9 2 4 6 3 2" xfId="15866" xr:uid="{619EA733-1220-4CB3-BBC3-7C6D285183A0}"/>
    <cellStyle name="Normal 9 2 4 6 4" xfId="11649" xr:uid="{D76A4FBA-B6C9-4A15-A85A-B8A82EE4227D}"/>
    <cellStyle name="Normal 9 2 4 7" xfId="2670" xr:uid="{00000000-0005-0000-0000-0000811F0000}"/>
    <cellStyle name="Normal 9 2 4 7 2" xfId="6953" xr:uid="{00000000-0005-0000-0000-0000821F0000}"/>
    <cellStyle name="Normal 9 2 4 7 2 2" xfId="16279" xr:uid="{FF46197E-0534-4E69-9032-52128D686BD2}"/>
    <cellStyle name="Normal 9 2 4 7 3" xfId="12062" xr:uid="{1A3B1512-CFF8-4168-B407-6864AD1B186A}"/>
    <cellStyle name="Normal 9 2 4 8" xfId="4888" xr:uid="{00000000-0005-0000-0000-0000831F0000}"/>
    <cellStyle name="Normal 9 2 4 8 2" xfId="14214" xr:uid="{7BCE6505-B6FE-4517-B653-5BD3F2573C98}"/>
    <cellStyle name="Normal 9 2 4 9" xfId="8857" xr:uid="{D785C0E6-B403-4CCC-AB0B-78E822EF1E40}"/>
    <cellStyle name="Normal 9 2 4 9 2" xfId="18181" xr:uid="{BA2E9704-FB5B-4749-9519-06DEAB2DA46D}"/>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6774" xr:uid="{42EEFF8A-B05F-4DFA-BB49-6D2E499E3B3B}"/>
    <cellStyle name="Normal 9 2 5 2 2 3" xfId="12557" xr:uid="{A53422BD-EB09-4AD2-9738-E60D4458867C}"/>
    <cellStyle name="Normal 9 2 5 2 3" xfId="5303" xr:uid="{00000000-0005-0000-0000-0000881F0000}"/>
    <cellStyle name="Normal 9 2 5 2 3 2" xfId="14629" xr:uid="{BF737528-E9AA-4910-95CA-428F61975D7D}"/>
    <cellStyle name="Normal 9 2 5 2 4" xfId="9398" xr:uid="{5B2A416E-986C-4898-8893-9EAFDDDBCDD4}"/>
    <cellStyle name="Normal 9 2 5 2 4 2" xfId="18713" xr:uid="{641A7C3A-D5C4-4E2A-AABE-F68F2D27691D}"/>
    <cellStyle name="Normal 9 2 5 2 5" xfId="10412" xr:uid="{54187441-2070-460F-8807-8E776B48C776}"/>
    <cellStyle name="Normal 9 2 5 3" xfId="1409" xr:uid="{00000000-0005-0000-0000-0000891F0000}"/>
    <cellStyle name="Normal 9 2 5 3 2" xfId="3639" xr:uid="{00000000-0005-0000-0000-00008A1F0000}"/>
    <cellStyle name="Normal 9 2 5 3 2 2" xfId="7861" xr:uid="{00000000-0005-0000-0000-00008B1F0000}"/>
    <cellStyle name="Normal 9 2 5 3 2 2 2" xfId="17187" xr:uid="{DC31D9A2-9328-437E-AA98-FF358910A54D}"/>
    <cellStyle name="Normal 9 2 5 3 2 3" xfId="12970" xr:uid="{A45F9687-AFAC-4A5C-AD78-44723459F364}"/>
    <cellStyle name="Normal 9 2 5 3 3" xfId="5716" xr:uid="{00000000-0005-0000-0000-00008C1F0000}"/>
    <cellStyle name="Normal 9 2 5 3 3 2" xfId="15042" xr:uid="{86181BC5-CCF3-4107-8122-646E6BF4BEA0}"/>
    <cellStyle name="Normal 9 2 5 3 4" xfId="10825" xr:uid="{2B0D9BA4-A49A-46D0-87B2-A6A9E4253DE1}"/>
    <cellStyle name="Normal 9 2 5 4" xfId="1822" xr:uid="{00000000-0005-0000-0000-00008D1F0000}"/>
    <cellStyle name="Normal 9 2 5 4 2" xfId="4052" xr:uid="{00000000-0005-0000-0000-00008E1F0000}"/>
    <cellStyle name="Normal 9 2 5 4 2 2" xfId="8274" xr:uid="{00000000-0005-0000-0000-00008F1F0000}"/>
    <cellStyle name="Normal 9 2 5 4 2 2 2" xfId="17600" xr:uid="{F22A37F3-23B2-455D-BE21-2C31A97047F2}"/>
    <cellStyle name="Normal 9 2 5 4 2 3" xfId="13383" xr:uid="{A005A74A-A8F7-4B1D-8E25-1E3E863D7B79}"/>
    <cellStyle name="Normal 9 2 5 4 3" xfId="6129" xr:uid="{00000000-0005-0000-0000-0000901F0000}"/>
    <cellStyle name="Normal 9 2 5 4 3 2" xfId="15455" xr:uid="{6AD0D4DC-9EE6-47FD-B512-F830DB196B95}"/>
    <cellStyle name="Normal 9 2 5 4 4" xfId="11238" xr:uid="{C5E0EB79-C3F7-466F-B7BE-16C04D1543C9}"/>
    <cellStyle name="Normal 9 2 5 5" xfId="2236" xr:uid="{00000000-0005-0000-0000-0000911F0000}"/>
    <cellStyle name="Normal 9 2 5 5 2" xfId="4465" xr:uid="{00000000-0005-0000-0000-0000921F0000}"/>
    <cellStyle name="Normal 9 2 5 5 2 2" xfId="8687" xr:uid="{00000000-0005-0000-0000-0000931F0000}"/>
    <cellStyle name="Normal 9 2 5 5 2 2 2" xfId="18013" xr:uid="{DCB4512D-2C47-4009-ACF7-1F3DEE44A435}"/>
    <cellStyle name="Normal 9 2 5 5 2 3" xfId="13796" xr:uid="{AFCBE515-BD38-410C-AA5C-5A775A4850BA}"/>
    <cellStyle name="Normal 9 2 5 5 3" xfId="6542" xr:uid="{00000000-0005-0000-0000-0000941F0000}"/>
    <cellStyle name="Normal 9 2 5 5 3 2" xfId="15868" xr:uid="{BFB3C260-52A7-421C-8916-4E2781DA86D6}"/>
    <cellStyle name="Normal 9 2 5 5 4" xfId="11651" xr:uid="{723C5439-6BDA-432C-80BF-C54B200657CA}"/>
    <cellStyle name="Normal 9 2 5 6" xfId="2672" xr:uid="{00000000-0005-0000-0000-0000951F0000}"/>
    <cellStyle name="Normal 9 2 5 6 2" xfId="6955" xr:uid="{00000000-0005-0000-0000-0000961F0000}"/>
    <cellStyle name="Normal 9 2 5 6 2 2" xfId="16281" xr:uid="{7D2500F8-51E7-4313-B79C-6E60EA7BEC02}"/>
    <cellStyle name="Normal 9 2 5 6 3" xfId="12064" xr:uid="{F2B605D1-7802-4A99-9165-788E96B0C9DF}"/>
    <cellStyle name="Normal 9 2 5 7" xfId="4890" xr:uid="{00000000-0005-0000-0000-0000971F0000}"/>
    <cellStyle name="Normal 9 2 5 7 2" xfId="14216" xr:uid="{F34C8F6C-6FEE-4E42-91AD-963D751C2423}"/>
    <cellStyle name="Normal 9 2 5 8" xfId="8973" xr:uid="{BA9464C2-72F7-4B38-B1BD-6986FFA433D9}"/>
    <cellStyle name="Normal 9 2 5 8 2" xfId="18297" xr:uid="{99AA9499-6537-4ED8-B151-A1864106BF0F}"/>
    <cellStyle name="Normal 9 2 5 9" xfId="9999" xr:uid="{19C4FB08-6124-4309-B46D-079EE0C6B58E}"/>
    <cellStyle name="Normal 9 2 6" xfId="978" xr:uid="{00000000-0005-0000-0000-0000981F0000}"/>
    <cellStyle name="Normal 9 2 6 2" xfId="3211" xr:uid="{00000000-0005-0000-0000-0000991F0000}"/>
    <cellStyle name="Normal 9 2 6 2 2" xfId="7433" xr:uid="{00000000-0005-0000-0000-00009A1F0000}"/>
    <cellStyle name="Normal 9 2 6 2 2 2" xfId="16759" xr:uid="{CBC1121C-1BC3-4E83-8897-281BF41C1E69}"/>
    <cellStyle name="Normal 9 2 6 2 3" xfId="12542" xr:uid="{C37E6A53-46B0-4B62-9839-59E74976DF30}"/>
    <cellStyle name="Normal 9 2 6 3" xfId="5288" xr:uid="{00000000-0005-0000-0000-00009B1F0000}"/>
    <cellStyle name="Normal 9 2 6 3 2" xfId="14614" xr:uid="{45FF7454-DB9E-4458-819F-5D5AAF71A937}"/>
    <cellStyle name="Normal 9 2 6 4" xfId="9176" xr:uid="{F3933A08-5B20-47C9-B0FC-7B73F4B0BA7D}"/>
    <cellStyle name="Normal 9 2 6 4 2" xfId="18494" xr:uid="{81680E3C-A780-44FD-9B92-6FDC8A00FCA7}"/>
    <cellStyle name="Normal 9 2 6 5" xfId="10397" xr:uid="{E3A08964-0D7B-4E70-A568-D31105FFBFDC}"/>
    <cellStyle name="Normal 9 2 7" xfId="1394" xr:uid="{00000000-0005-0000-0000-00009C1F0000}"/>
    <cellStyle name="Normal 9 2 7 2" xfId="3624" xr:uid="{00000000-0005-0000-0000-00009D1F0000}"/>
    <cellStyle name="Normal 9 2 7 2 2" xfId="7846" xr:uid="{00000000-0005-0000-0000-00009E1F0000}"/>
    <cellStyle name="Normal 9 2 7 2 2 2" xfId="17172" xr:uid="{5E9CBEB7-9184-444C-90C9-4E020AA7553B}"/>
    <cellStyle name="Normal 9 2 7 2 3" xfId="12955" xr:uid="{AEE5C11E-1969-49F3-9276-FBA82150A49B}"/>
    <cellStyle name="Normal 9 2 7 3" xfId="5701" xr:uid="{00000000-0005-0000-0000-00009F1F0000}"/>
    <cellStyle name="Normal 9 2 7 3 2" xfId="15027" xr:uid="{0005F653-FA63-44DF-897D-08950D398DE7}"/>
    <cellStyle name="Normal 9 2 7 4" xfId="10810" xr:uid="{9AF197BA-2C4A-4711-BB1D-DE91A9FC1130}"/>
    <cellStyle name="Normal 9 2 8" xfId="1807" xr:uid="{00000000-0005-0000-0000-0000A01F0000}"/>
    <cellStyle name="Normal 9 2 8 2" xfId="4037" xr:uid="{00000000-0005-0000-0000-0000A11F0000}"/>
    <cellStyle name="Normal 9 2 8 2 2" xfId="8259" xr:uid="{00000000-0005-0000-0000-0000A21F0000}"/>
    <cellStyle name="Normal 9 2 8 2 2 2" xfId="17585" xr:uid="{DAC50A21-5259-49EB-9E05-BF3C37BA69AF}"/>
    <cellStyle name="Normal 9 2 8 2 3" xfId="13368" xr:uid="{F4430EF2-FAF6-47C2-8422-BACB7E60F879}"/>
    <cellStyle name="Normal 9 2 8 3" xfId="6114" xr:uid="{00000000-0005-0000-0000-0000A31F0000}"/>
    <cellStyle name="Normal 9 2 8 3 2" xfId="15440" xr:uid="{449C3AAC-16C8-4984-8630-6BED72263EC3}"/>
    <cellStyle name="Normal 9 2 8 4" xfId="11223" xr:uid="{7CA3B8AD-A8AF-48C3-976D-5DDF2EA985CE}"/>
    <cellStyle name="Normal 9 2 9" xfId="2221" xr:uid="{00000000-0005-0000-0000-0000A41F0000}"/>
    <cellStyle name="Normal 9 2 9 2" xfId="4450" xr:uid="{00000000-0005-0000-0000-0000A51F0000}"/>
    <cellStyle name="Normal 9 2 9 2 2" xfId="8672" xr:uid="{00000000-0005-0000-0000-0000A61F0000}"/>
    <cellStyle name="Normal 9 2 9 2 2 2" xfId="17998" xr:uid="{45563660-D75B-4B67-8461-68AF16207902}"/>
    <cellStyle name="Normal 9 2 9 2 3" xfId="13781" xr:uid="{D5DCDE52-32BC-430E-82BD-450132E8CE13}"/>
    <cellStyle name="Normal 9 2 9 3" xfId="6527" xr:uid="{00000000-0005-0000-0000-0000A71F0000}"/>
    <cellStyle name="Normal 9 2 9 3 2" xfId="15853" xr:uid="{F9948903-5C16-4EA0-B071-0A829E3D12AE}"/>
    <cellStyle name="Normal 9 2 9 4" xfId="11636" xr:uid="{2E4D3ED2-824A-4DEA-BB64-42A19D3BBB0A}"/>
    <cellStyle name="Normal 9 3" xfId="527" xr:uid="{00000000-0005-0000-0000-0000A81F0000}"/>
    <cellStyle name="Normal 9 3 10" xfId="4891" xr:uid="{00000000-0005-0000-0000-0000A91F0000}"/>
    <cellStyle name="Normal 9 3 10 2" xfId="14217" xr:uid="{08BE99D7-15A7-4EE1-9F91-3B37154C3ACD}"/>
    <cellStyle name="Normal 9 3 11" xfId="8777" xr:uid="{1F3D7E21-FC22-4F0C-9371-3D8250746BB7}"/>
    <cellStyle name="Normal 9 3 11 2" xfId="18101" xr:uid="{28E3BAA8-3D2C-45EF-AFCD-3C77E84C32B6}"/>
    <cellStyle name="Normal 9 3 12" xfId="10000" xr:uid="{7D11D0A7-7083-457D-9FED-51222329E605}"/>
    <cellStyle name="Normal 9 3 2" xfId="528" xr:uid="{00000000-0005-0000-0000-0000AA1F0000}"/>
    <cellStyle name="Normal 9 3 2 10" xfId="8840" xr:uid="{94797BE2-1721-4871-A768-79D4D45F48BB}"/>
    <cellStyle name="Normal 9 3 2 10 2" xfId="18164" xr:uid="{5AC1FC8A-4544-455A-A569-2D3B83EDFD8C}"/>
    <cellStyle name="Normal 9 3 2 11" xfId="10001" xr:uid="{B512C023-E7D8-41C8-A439-4A3A70F59FD2}"/>
    <cellStyle name="Normal 9 3 2 2" xfId="529" xr:uid="{00000000-0005-0000-0000-0000AB1F0000}"/>
    <cellStyle name="Normal 9 3 2 2 10" xfId="10002" xr:uid="{017BC9EA-46E7-4ECE-960D-F79426746272}"/>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78" xr:uid="{93F9DAE3-F926-4DE1-91C2-462EF0BD83BD}"/>
    <cellStyle name="Normal 9 3 2 2 2 2 2 3" xfId="12561" xr:uid="{9879A534-3E7A-4407-8116-393132596F38}"/>
    <cellStyle name="Normal 9 3 2 2 2 2 3" xfId="5307" xr:uid="{00000000-0005-0000-0000-0000B01F0000}"/>
    <cellStyle name="Normal 9 3 2 2 2 2 3 2" xfId="14633" xr:uid="{40F7F326-E145-4408-9A77-B36CEC547684}"/>
    <cellStyle name="Normal 9 3 2 2 2 2 4" xfId="9575" xr:uid="{DA05DE06-1987-4B8E-8439-C692853FF296}"/>
    <cellStyle name="Normal 9 3 2 2 2 2 4 2" xfId="18890" xr:uid="{B9DCE4E7-0049-4247-8B72-42155008E529}"/>
    <cellStyle name="Normal 9 3 2 2 2 2 5" xfId="10416" xr:uid="{AE515535-CC45-4F9E-9560-ACB52DF41E5B}"/>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91" xr:uid="{81FE9702-D95D-4D8E-874D-83A83FD1FDCC}"/>
    <cellStyle name="Normal 9 3 2 2 2 3 2 3" xfId="12974" xr:uid="{475A4715-ABAD-4D98-A021-D722A940EB5D}"/>
    <cellStyle name="Normal 9 3 2 2 2 3 3" xfId="5720" xr:uid="{00000000-0005-0000-0000-0000B41F0000}"/>
    <cellStyle name="Normal 9 3 2 2 2 3 3 2" xfId="15046" xr:uid="{9AF47815-5312-4EA5-98F9-C9E0262C806E}"/>
    <cellStyle name="Normal 9 3 2 2 2 3 4" xfId="10829" xr:uid="{68130122-F41D-4534-BE2E-A44B5501806F}"/>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604" xr:uid="{C497A830-6BE8-4635-A0DC-3E040202A371}"/>
    <cellStyle name="Normal 9 3 2 2 2 4 2 3" xfId="13387" xr:uid="{1B04442F-BFBA-40E9-8020-E9C1152DAAB5}"/>
    <cellStyle name="Normal 9 3 2 2 2 4 3" xfId="6133" xr:uid="{00000000-0005-0000-0000-0000B81F0000}"/>
    <cellStyle name="Normal 9 3 2 2 2 4 3 2" xfId="15459" xr:uid="{4F20F09A-5C28-4237-AE3B-011D6A59F6A8}"/>
    <cellStyle name="Normal 9 3 2 2 2 4 4" xfId="11242" xr:uid="{6962BE62-4286-45FF-BB4E-2B02AD51CBC5}"/>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8017" xr:uid="{6E8943AA-D26B-4639-8A32-4D7A3277DB6E}"/>
    <cellStyle name="Normal 9 3 2 2 2 5 2 3" xfId="13800" xr:uid="{E8838D30-4CBF-4A79-87C4-CC1FDD3B79AA}"/>
    <cellStyle name="Normal 9 3 2 2 2 5 3" xfId="6546" xr:uid="{00000000-0005-0000-0000-0000BC1F0000}"/>
    <cellStyle name="Normal 9 3 2 2 2 5 3 2" xfId="15872" xr:uid="{6C1BFAE4-106D-45F9-AFD0-46AB3E2539FF}"/>
    <cellStyle name="Normal 9 3 2 2 2 5 4" xfId="11655" xr:uid="{08808BD7-6C40-4388-B1A8-FA69CE3F514B}"/>
    <cellStyle name="Normal 9 3 2 2 2 6" xfId="2676" xr:uid="{00000000-0005-0000-0000-0000BD1F0000}"/>
    <cellStyle name="Normal 9 3 2 2 2 6 2" xfId="6959" xr:uid="{00000000-0005-0000-0000-0000BE1F0000}"/>
    <cellStyle name="Normal 9 3 2 2 2 6 2 2" xfId="16285" xr:uid="{E89A0E03-084F-4BFA-9B8A-DEE64731EC45}"/>
    <cellStyle name="Normal 9 3 2 2 2 6 3" xfId="12068" xr:uid="{04B697B5-EB22-4FF6-A7C1-1E6D13850A13}"/>
    <cellStyle name="Normal 9 3 2 2 2 7" xfId="4894" xr:uid="{00000000-0005-0000-0000-0000BF1F0000}"/>
    <cellStyle name="Normal 9 3 2 2 2 7 2" xfId="14220" xr:uid="{1B68B138-E201-487D-80F9-EA415F924393}"/>
    <cellStyle name="Normal 9 3 2 2 2 8" xfId="9150" xr:uid="{F54F74BE-A583-4C94-A198-8E0D27AD7F4F}"/>
    <cellStyle name="Normal 9 3 2 2 2 8 2" xfId="18474" xr:uid="{586E3803-867D-4CB9-91A5-C54C68199302}"/>
    <cellStyle name="Normal 9 3 2 2 2 9" xfId="10003" xr:uid="{7F0D47A4-1AC8-451F-8A11-04C36A005EC7}"/>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77" xr:uid="{48316F0F-CD86-458B-8D0B-F2B92BCF0A46}"/>
    <cellStyle name="Normal 9 3 2 2 3 2 3" xfId="12560" xr:uid="{85C98935-6DA1-43EA-9622-9EB6E1E5166C}"/>
    <cellStyle name="Normal 9 3 2 2 3 3" xfId="5306" xr:uid="{00000000-0005-0000-0000-0000C31F0000}"/>
    <cellStyle name="Normal 9 3 2 2 3 3 2" xfId="14632" xr:uid="{C5ECC996-345B-4502-943F-D12AC094773D}"/>
    <cellStyle name="Normal 9 3 2 2 3 4" xfId="9368" xr:uid="{B3189122-1774-442D-BD5B-8DA329618536}"/>
    <cellStyle name="Normal 9 3 2 2 3 4 2" xfId="18683" xr:uid="{192309EA-8C01-4419-B916-ACA0C94EAE40}"/>
    <cellStyle name="Normal 9 3 2 2 3 5" xfId="10415" xr:uid="{648131E9-0B74-408D-80CA-952ADE501B14}"/>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90" xr:uid="{E3D93CE2-65D0-4883-A3EB-D599B6BAF46C}"/>
    <cellStyle name="Normal 9 3 2 2 4 2 3" xfId="12973" xr:uid="{9CDF08B9-49CE-443A-8656-8ECDE2507758}"/>
    <cellStyle name="Normal 9 3 2 2 4 3" xfId="5719" xr:uid="{00000000-0005-0000-0000-0000C71F0000}"/>
    <cellStyle name="Normal 9 3 2 2 4 3 2" xfId="15045" xr:uid="{E07B9E59-9A48-43CE-AA34-3BC5B8E7B785}"/>
    <cellStyle name="Normal 9 3 2 2 4 4" xfId="10828" xr:uid="{5264BD40-206C-4D4D-A78D-F5D03E05C2B7}"/>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603" xr:uid="{DBE9A4CC-67A4-4607-AAAA-C55AA5B16136}"/>
    <cellStyle name="Normal 9 3 2 2 5 2 3" xfId="13386" xr:uid="{CFD303A6-7BB3-48B0-9074-C963DED2B22F}"/>
    <cellStyle name="Normal 9 3 2 2 5 3" xfId="6132" xr:uid="{00000000-0005-0000-0000-0000CB1F0000}"/>
    <cellStyle name="Normal 9 3 2 2 5 3 2" xfId="15458" xr:uid="{FE3F51EB-B2D2-47A3-AB21-0345E05DDE9A}"/>
    <cellStyle name="Normal 9 3 2 2 5 4" xfId="11241" xr:uid="{82EFF549-1A18-4430-8A5C-4F39B5412C76}"/>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8016" xr:uid="{C2F45511-948B-4FB9-8D94-18AC5EA2D41F}"/>
    <cellStyle name="Normal 9 3 2 2 6 2 3" xfId="13799" xr:uid="{6BDF4AB0-E24B-43EA-9657-8890E1C36D53}"/>
    <cellStyle name="Normal 9 3 2 2 6 3" xfId="6545" xr:uid="{00000000-0005-0000-0000-0000CF1F0000}"/>
    <cellStyle name="Normal 9 3 2 2 6 3 2" xfId="15871" xr:uid="{2DC547E1-8E82-4473-B5D3-8BFC57851741}"/>
    <cellStyle name="Normal 9 3 2 2 6 4" xfId="11654" xr:uid="{0D0B9C6A-17CF-45EB-8823-E31C16BED500}"/>
    <cellStyle name="Normal 9 3 2 2 7" xfId="2675" xr:uid="{00000000-0005-0000-0000-0000D01F0000}"/>
    <cellStyle name="Normal 9 3 2 2 7 2" xfId="6958" xr:uid="{00000000-0005-0000-0000-0000D11F0000}"/>
    <cellStyle name="Normal 9 3 2 2 7 2 2" xfId="16284" xr:uid="{4E809EA3-C5A6-4E51-B7AE-1C1DAE359B11}"/>
    <cellStyle name="Normal 9 3 2 2 7 3" xfId="12067" xr:uid="{9F76CFB6-F5EC-4912-8683-58A02D9B9452}"/>
    <cellStyle name="Normal 9 3 2 2 8" xfId="4893" xr:uid="{00000000-0005-0000-0000-0000D21F0000}"/>
    <cellStyle name="Normal 9 3 2 2 8 2" xfId="14219" xr:uid="{AA15B537-F837-4CCD-8216-56E6DDBE3FEA}"/>
    <cellStyle name="Normal 9 3 2 2 9" xfId="8943" xr:uid="{1E59706A-169E-45B8-A6E4-1A0514B9DDBD}"/>
    <cellStyle name="Normal 9 3 2 2 9 2" xfId="18267" xr:uid="{4B0A2DE3-E39C-4EB5-AB67-F5AEF3D7FB96}"/>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79" xr:uid="{50D6A164-DD06-4D67-95BE-86E6929E9571}"/>
    <cellStyle name="Normal 9 3 2 3 2 2 3" xfId="12562" xr:uid="{09A87EE9-7A0A-41D7-9C18-3129E24759B3}"/>
    <cellStyle name="Normal 9 3 2 3 2 3" xfId="5308" xr:uid="{00000000-0005-0000-0000-0000D71F0000}"/>
    <cellStyle name="Normal 9 3 2 3 2 3 2" xfId="14634" xr:uid="{873787FC-69EE-4A37-93ED-DF6046DC0976}"/>
    <cellStyle name="Normal 9 3 2 3 2 4" xfId="9472" xr:uid="{427A8E71-9BC4-47C0-A855-6886AF96C97E}"/>
    <cellStyle name="Normal 9 3 2 3 2 4 2" xfId="18787" xr:uid="{3815BD60-415B-444F-A4AE-2F5EA13B7745}"/>
    <cellStyle name="Normal 9 3 2 3 2 5" xfId="10417" xr:uid="{A1EA0EFF-D83C-4AB3-BF32-B195E355AC0E}"/>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92" xr:uid="{B1DE3A18-8B70-478B-BD01-4D5E8F62325B}"/>
    <cellStyle name="Normal 9 3 2 3 3 2 3" xfId="12975" xr:uid="{CF85117D-5646-4958-8D17-8C14FBD6253B}"/>
    <cellStyle name="Normal 9 3 2 3 3 3" xfId="5721" xr:uid="{00000000-0005-0000-0000-0000DB1F0000}"/>
    <cellStyle name="Normal 9 3 2 3 3 3 2" xfId="15047" xr:uid="{58B1EA9C-0FC3-4796-ADDB-C01B41F6EDCD}"/>
    <cellStyle name="Normal 9 3 2 3 3 4" xfId="10830" xr:uid="{6E9889FD-43F4-468E-BF79-2090CD179B54}"/>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605" xr:uid="{BA5E867F-8C32-4E1F-B345-E7752B2701F1}"/>
    <cellStyle name="Normal 9 3 2 3 4 2 3" xfId="13388" xr:uid="{6F794A2E-FA60-41D6-BA2B-44560BA9EC4E}"/>
    <cellStyle name="Normal 9 3 2 3 4 3" xfId="6134" xr:uid="{00000000-0005-0000-0000-0000DF1F0000}"/>
    <cellStyle name="Normal 9 3 2 3 4 3 2" xfId="15460" xr:uid="{7D28254C-6A57-4209-BD98-827911171184}"/>
    <cellStyle name="Normal 9 3 2 3 4 4" xfId="11243" xr:uid="{194FB252-DD3F-4171-8ED6-573C3EB5108A}"/>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8018" xr:uid="{5704FFBC-F148-4AF2-AE0D-9C8138C74B64}"/>
    <cellStyle name="Normal 9 3 2 3 5 2 3" xfId="13801" xr:uid="{2375D636-FA57-4D40-9256-4F857CF77EFE}"/>
    <cellStyle name="Normal 9 3 2 3 5 3" xfId="6547" xr:uid="{00000000-0005-0000-0000-0000E31F0000}"/>
    <cellStyle name="Normal 9 3 2 3 5 3 2" xfId="15873" xr:uid="{FF53E8CC-AC38-42A4-A5C6-F0929016414F}"/>
    <cellStyle name="Normal 9 3 2 3 5 4" xfId="11656" xr:uid="{2288F301-1CCA-4743-BD36-CE5987CA0227}"/>
    <cellStyle name="Normal 9 3 2 3 6" xfId="2677" xr:uid="{00000000-0005-0000-0000-0000E41F0000}"/>
    <cellStyle name="Normal 9 3 2 3 6 2" xfId="6960" xr:uid="{00000000-0005-0000-0000-0000E51F0000}"/>
    <cellStyle name="Normal 9 3 2 3 6 2 2" xfId="16286" xr:uid="{DFC0E83F-69BA-44B0-BAB1-CEA82135C3B2}"/>
    <cellStyle name="Normal 9 3 2 3 6 3" xfId="12069" xr:uid="{E9C02FDD-F11B-433A-AC40-B8F16AF221D9}"/>
    <cellStyle name="Normal 9 3 2 3 7" xfId="4895" xr:uid="{00000000-0005-0000-0000-0000E61F0000}"/>
    <cellStyle name="Normal 9 3 2 3 7 2" xfId="14221" xr:uid="{DC37776E-4695-4A10-A24E-63CC68E3B392}"/>
    <cellStyle name="Normal 9 3 2 3 8" xfId="9047" xr:uid="{4CBBBE80-D24B-484D-910E-0072EA0E95DD}"/>
    <cellStyle name="Normal 9 3 2 3 8 2" xfId="18371" xr:uid="{5ED04851-A321-47F2-BFF9-A50D7DE3C244}"/>
    <cellStyle name="Normal 9 3 2 3 9" xfId="10004" xr:uid="{F9166064-DB10-4666-970A-AFDA555190AD}"/>
    <cellStyle name="Normal 9 3 2 4" xfId="995" xr:uid="{00000000-0005-0000-0000-0000E71F0000}"/>
    <cellStyle name="Normal 9 3 2 4 2" xfId="3228" xr:uid="{00000000-0005-0000-0000-0000E81F0000}"/>
    <cellStyle name="Normal 9 3 2 4 2 2" xfId="7450" xr:uid="{00000000-0005-0000-0000-0000E91F0000}"/>
    <cellStyle name="Normal 9 3 2 4 2 2 2" xfId="16776" xr:uid="{51B440BF-42E7-4154-A446-B0B8DE820186}"/>
    <cellStyle name="Normal 9 3 2 4 2 3" xfId="12559" xr:uid="{1889F264-EE91-4A4F-8367-72181D96B9D6}"/>
    <cellStyle name="Normal 9 3 2 4 3" xfId="5305" xr:uid="{00000000-0005-0000-0000-0000EA1F0000}"/>
    <cellStyle name="Normal 9 3 2 4 3 2" xfId="14631" xr:uid="{DCC291AE-1A68-49FF-B5A0-77165F68C5FF}"/>
    <cellStyle name="Normal 9 3 2 4 4" xfId="9265" xr:uid="{BF00A9B8-67BA-48F6-8D48-0E4380D60577}"/>
    <cellStyle name="Normal 9 3 2 4 4 2" xfId="18580" xr:uid="{6BD0E858-057B-479A-BFBB-CA51C113307D}"/>
    <cellStyle name="Normal 9 3 2 4 5" xfId="10414" xr:uid="{42F7D190-1E4A-42B9-8E14-D1FA22979385}"/>
    <cellStyle name="Normal 9 3 2 5" xfId="1411" xr:uid="{00000000-0005-0000-0000-0000EB1F0000}"/>
    <cellStyle name="Normal 9 3 2 5 2" xfId="3641" xr:uid="{00000000-0005-0000-0000-0000EC1F0000}"/>
    <cellStyle name="Normal 9 3 2 5 2 2" xfId="7863" xr:uid="{00000000-0005-0000-0000-0000ED1F0000}"/>
    <cellStyle name="Normal 9 3 2 5 2 2 2" xfId="17189" xr:uid="{B21E4AA9-85B5-4EBA-9130-88408CC11F57}"/>
    <cellStyle name="Normal 9 3 2 5 2 3" xfId="12972" xr:uid="{71CE8B8A-1F7D-4F5C-A027-745A265A1227}"/>
    <cellStyle name="Normal 9 3 2 5 3" xfId="5718" xr:uid="{00000000-0005-0000-0000-0000EE1F0000}"/>
    <cellStyle name="Normal 9 3 2 5 3 2" xfId="15044" xr:uid="{170376D9-F6D6-4853-BD08-CADE3B486D8E}"/>
    <cellStyle name="Normal 9 3 2 5 4" xfId="10827" xr:uid="{86DF33E7-7292-4753-A56D-B00FCB46958C}"/>
    <cellStyle name="Normal 9 3 2 6" xfId="1824" xr:uid="{00000000-0005-0000-0000-0000EF1F0000}"/>
    <cellStyle name="Normal 9 3 2 6 2" xfId="4054" xr:uid="{00000000-0005-0000-0000-0000F01F0000}"/>
    <cellStyle name="Normal 9 3 2 6 2 2" xfId="8276" xr:uid="{00000000-0005-0000-0000-0000F11F0000}"/>
    <cellStyle name="Normal 9 3 2 6 2 2 2" xfId="17602" xr:uid="{7306CDA2-5D02-45FD-808D-1F5DF75EA3B1}"/>
    <cellStyle name="Normal 9 3 2 6 2 3" xfId="13385" xr:uid="{0F8CF63B-C2AB-4C2F-AA54-420873D170A7}"/>
    <cellStyle name="Normal 9 3 2 6 3" xfId="6131" xr:uid="{00000000-0005-0000-0000-0000F21F0000}"/>
    <cellStyle name="Normal 9 3 2 6 3 2" xfId="15457" xr:uid="{31F758A2-F839-46F7-B0EE-1BA17B214D1B}"/>
    <cellStyle name="Normal 9 3 2 6 4" xfId="11240" xr:uid="{DAA30BE2-A1AF-4208-8922-E87CE6A8460B}"/>
    <cellStyle name="Normal 9 3 2 7" xfId="2238" xr:uid="{00000000-0005-0000-0000-0000F31F0000}"/>
    <cellStyle name="Normal 9 3 2 7 2" xfId="4467" xr:uid="{00000000-0005-0000-0000-0000F41F0000}"/>
    <cellStyle name="Normal 9 3 2 7 2 2" xfId="8689" xr:uid="{00000000-0005-0000-0000-0000F51F0000}"/>
    <cellStyle name="Normal 9 3 2 7 2 2 2" xfId="18015" xr:uid="{E0EDC8F7-FC05-4A19-BD5F-9F6F95A98FF0}"/>
    <cellStyle name="Normal 9 3 2 7 2 3" xfId="13798" xr:uid="{C69F6480-BA6B-47C1-AC77-D11C524E7C52}"/>
    <cellStyle name="Normal 9 3 2 7 3" xfId="6544" xr:uid="{00000000-0005-0000-0000-0000F61F0000}"/>
    <cellStyle name="Normal 9 3 2 7 3 2" xfId="15870" xr:uid="{5A98534C-6C78-4AF0-952C-5E8C4CEEB5D4}"/>
    <cellStyle name="Normal 9 3 2 7 4" xfId="11653" xr:uid="{2B6D8E4D-86E6-4E18-8789-E0C2401637FD}"/>
    <cellStyle name="Normal 9 3 2 8" xfId="2674" xr:uid="{00000000-0005-0000-0000-0000F71F0000}"/>
    <cellStyle name="Normal 9 3 2 8 2" xfId="6957" xr:uid="{00000000-0005-0000-0000-0000F81F0000}"/>
    <cellStyle name="Normal 9 3 2 8 2 2" xfId="16283" xr:uid="{8403BA90-9600-43D9-9FC0-4F3E6ADFE8DA}"/>
    <cellStyle name="Normal 9 3 2 8 3" xfId="12066" xr:uid="{69C641F7-42BE-42CC-8F12-D3B5369F3D6F}"/>
    <cellStyle name="Normal 9 3 2 9" xfId="4892" xr:uid="{00000000-0005-0000-0000-0000F91F0000}"/>
    <cellStyle name="Normal 9 3 2 9 2" xfId="14218" xr:uid="{F78309B1-F566-4ACF-AEBF-473CAB95CC8A}"/>
    <cellStyle name="Normal 9 3 3" xfId="532" xr:uid="{00000000-0005-0000-0000-0000FA1F0000}"/>
    <cellStyle name="Normal 9 3 3 10" xfId="10005" xr:uid="{A1C665B3-937A-4DED-AAA9-ABC1E2111A51}"/>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81" xr:uid="{929C4FEC-A812-45D7-8689-EBA774432FA5}"/>
    <cellStyle name="Normal 9 3 3 2 2 2 3" xfId="12564" xr:uid="{0CDED607-0B46-43EF-AF6A-938B1E76081B}"/>
    <cellStyle name="Normal 9 3 3 2 2 3" xfId="5310" xr:uid="{00000000-0005-0000-0000-0000FF1F0000}"/>
    <cellStyle name="Normal 9 3 3 2 2 3 2" xfId="14636" xr:uid="{C04CD89D-CDC1-4AA7-BB66-C864F4FFA925}"/>
    <cellStyle name="Normal 9 3 3 2 2 4" xfId="9512" xr:uid="{2D87B26D-94B2-43FF-B3AD-59DF0A117D21}"/>
    <cellStyle name="Normal 9 3 3 2 2 4 2" xfId="18827" xr:uid="{FFAC2500-C9B8-4954-BD77-E61C610B959E}"/>
    <cellStyle name="Normal 9 3 3 2 2 5" xfId="10419" xr:uid="{7E3B534C-10B7-40E4-BC2A-E04B7BDEB1F8}"/>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94" xr:uid="{C6EA14C6-D7E6-4ED0-ACCA-E339B1A16980}"/>
    <cellStyle name="Normal 9 3 3 2 3 2 3" xfId="12977" xr:uid="{21E2A074-C9B7-4EC4-9FB0-A25BE8F52D57}"/>
    <cellStyle name="Normal 9 3 3 2 3 3" xfId="5723" xr:uid="{00000000-0005-0000-0000-000003200000}"/>
    <cellStyle name="Normal 9 3 3 2 3 3 2" xfId="15049" xr:uid="{DC68DA51-4CBD-44FB-BC36-E21CBB77A378}"/>
    <cellStyle name="Normal 9 3 3 2 3 4" xfId="10832" xr:uid="{036EEEC7-7148-4C58-95BF-B25D2873D991}"/>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607" xr:uid="{7837F452-9B08-4B02-A5C1-B0E0C49AC715}"/>
    <cellStyle name="Normal 9 3 3 2 4 2 3" xfId="13390" xr:uid="{8D24CD00-E186-416D-883F-4F9D5680AA05}"/>
    <cellStyle name="Normal 9 3 3 2 4 3" xfId="6136" xr:uid="{00000000-0005-0000-0000-000007200000}"/>
    <cellStyle name="Normal 9 3 3 2 4 3 2" xfId="15462" xr:uid="{CD5DBDD0-E0DE-4A41-A434-23190D727A3F}"/>
    <cellStyle name="Normal 9 3 3 2 4 4" xfId="11245" xr:uid="{7B99C025-6E0C-4676-BBF6-D354CA003B22}"/>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8020" xr:uid="{D171CCBE-9476-4415-9932-51F3C1E4424C}"/>
    <cellStyle name="Normal 9 3 3 2 5 2 3" xfId="13803" xr:uid="{23491B0D-6B3C-47F2-BCD3-9B9A9E8D730F}"/>
    <cellStyle name="Normal 9 3 3 2 5 3" xfId="6549" xr:uid="{00000000-0005-0000-0000-00000B200000}"/>
    <cellStyle name="Normal 9 3 3 2 5 3 2" xfId="15875" xr:uid="{15278DA7-D966-419A-9F71-531C6A99A3E5}"/>
    <cellStyle name="Normal 9 3 3 2 5 4" xfId="11658" xr:uid="{8BF92157-DFC4-42D1-9378-CA440177402C}"/>
    <cellStyle name="Normal 9 3 3 2 6" xfId="2679" xr:uid="{00000000-0005-0000-0000-00000C200000}"/>
    <cellStyle name="Normal 9 3 3 2 6 2" xfId="6962" xr:uid="{00000000-0005-0000-0000-00000D200000}"/>
    <cellStyle name="Normal 9 3 3 2 6 2 2" xfId="16288" xr:uid="{750749C2-F662-4AA6-AD64-413FC19A9844}"/>
    <cellStyle name="Normal 9 3 3 2 6 3" xfId="12071" xr:uid="{3F1CF671-A731-4E3A-B639-2F24ED6BC80E}"/>
    <cellStyle name="Normal 9 3 3 2 7" xfId="4897" xr:uid="{00000000-0005-0000-0000-00000E200000}"/>
    <cellStyle name="Normal 9 3 3 2 7 2" xfId="14223" xr:uid="{1EEE3CFC-6282-4836-AA2E-7560E3DF8760}"/>
    <cellStyle name="Normal 9 3 3 2 8" xfId="9087" xr:uid="{B1C8DB1F-59B6-4D6A-B3E7-0CFC4D29D9A9}"/>
    <cellStyle name="Normal 9 3 3 2 8 2" xfId="18411" xr:uid="{979173F9-0610-480E-88D4-57EAAA6B38A0}"/>
    <cellStyle name="Normal 9 3 3 2 9" xfId="10006" xr:uid="{10BF728D-57F3-45CE-BBC7-535563CDCC0D}"/>
    <cellStyle name="Normal 9 3 3 3" xfId="999" xr:uid="{00000000-0005-0000-0000-00000F200000}"/>
    <cellStyle name="Normal 9 3 3 3 2" xfId="3232" xr:uid="{00000000-0005-0000-0000-000010200000}"/>
    <cellStyle name="Normal 9 3 3 3 2 2" xfId="7454" xr:uid="{00000000-0005-0000-0000-000011200000}"/>
    <cellStyle name="Normal 9 3 3 3 2 2 2" xfId="16780" xr:uid="{3E68341D-DAFD-4BCD-B0CA-9DC6D361BE0A}"/>
    <cellStyle name="Normal 9 3 3 3 2 3" xfId="12563" xr:uid="{7CB8825B-969F-4ADC-8CC5-53EA0FC3199B}"/>
    <cellStyle name="Normal 9 3 3 3 3" xfId="5309" xr:uid="{00000000-0005-0000-0000-000012200000}"/>
    <cellStyle name="Normal 9 3 3 3 3 2" xfId="14635" xr:uid="{C2E34884-FA7F-4183-B112-2F8743880340}"/>
    <cellStyle name="Normal 9 3 3 3 4" xfId="9305" xr:uid="{F54F3A88-B268-4905-B4D1-34B996B920C6}"/>
    <cellStyle name="Normal 9 3 3 3 4 2" xfId="18620" xr:uid="{A559346B-A449-44AC-A353-A425504E4A89}"/>
    <cellStyle name="Normal 9 3 3 3 5" xfId="10418" xr:uid="{0F8192B8-F5F8-43B4-AD3E-829CCB293A9E}"/>
    <cellStyle name="Normal 9 3 3 4" xfId="1415" xr:uid="{00000000-0005-0000-0000-000013200000}"/>
    <cellStyle name="Normal 9 3 3 4 2" xfId="3645" xr:uid="{00000000-0005-0000-0000-000014200000}"/>
    <cellStyle name="Normal 9 3 3 4 2 2" xfId="7867" xr:uid="{00000000-0005-0000-0000-000015200000}"/>
    <cellStyle name="Normal 9 3 3 4 2 2 2" xfId="17193" xr:uid="{ACF4F6C7-D73B-4151-8E35-6F4E7F631235}"/>
    <cellStyle name="Normal 9 3 3 4 2 3" xfId="12976" xr:uid="{089DC769-2DCC-43DD-AE79-639A93F1D32A}"/>
    <cellStyle name="Normal 9 3 3 4 3" xfId="5722" xr:uid="{00000000-0005-0000-0000-000016200000}"/>
    <cellStyle name="Normal 9 3 3 4 3 2" xfId="15048" xr:uid="{0D8DB8F2-E234-42C7-96E0-AC2AFE0944BC}"/>
    <cellStyle name="Normal 9 3 3 4 4" xfId="10831" xr:uid="{022976BA-C669-41EC-8090-269A75E31729}"/>
    <cellStyle name="Normal 9 3 3 5" xfId="1828" xr:uid="{00000000-0005-0000-0000-000017200000}"/>
    <cellStyle name="Normal 9 3 3 5 2" xfId="4058" xr:uid="{00000000-0005-0000-0000-000018200000}"/>
    <cellStyle name="Normal 9 3 3 5 2 2" xfId="8280" xr:uid="{00000000-0005-0000-0000-000019200000}"/>
    <cellStyle name="Normal 9 3 3 5 2 2 2" xfId="17606" xr:uid="{A3971EB0-A34F-4363-9089-71EA7A2FC835}"/>
    <cellStyle name="Normal 9 3 3 5 2 3" xfId="13389" xr:uid="{580B6B42-1729-4A5B-A587-7189523AF743}"/>
    <cellStyle name="Normal 9 3 3 5 3" xfId="6135" xr:uid="{00000000-0005-0000-0000-00001A200000}"/>
    <cellStyle name="Normal 9 3 3 5 3 2" xfId="15461" xr:uid="{D9566898-B3B7-47DC-8841-04DFAD03EB5F}"/>
    <cellStyle name="Normal 9 3 3 5 4" xfId="11244" xr:uid="{74CD8535-0C74-4B43-B3E6-ADC54B185643}"/>
    <cellStyle name="Normal 9 3 3 6" xfId="2242" xr:uid="{00000000-0005-0000-0000-00001B200000}"/>
    <cellStyle name="Normal 9 3 3 6 2" xfId="4471" xr:uid="{00000000-0005-0000-0000-00001C200000}"/>
    <cellStyle name="Normal 9 3 3 6 2 2" xfId="8693" xr:uid="{00000000-0005-0000-0000-00001D200000}"/>
    <cellStyle name="Normal 9 3 3 6 2 2 2" xfId="18019" xr:uid="{CEA3D5E0-0025-49C0-9F19-4AE31A387C20}"/>
    <cellStyle name="Normal 9 3 3 6 2 3" xfId="13802" xr:uid="{4D0DAF15-AB48-4E89-B937-ACC5EFFD72D3}"/>
    <cellStyle name="Normal 9 3 3 6 3" xfId="6548" xr:uid="{00000000-0005-0000-0000-00001E200000}"/>
    <cellStyle name="Normal 9 3 3 6 3 2" xfId="15874" xr:uid="{297C1BB7-A208-4BAF-8FA2-496AF13632B3}"/>
    <cellStyle name="Normal 9 3 3 6 4" xfId="11657" xr:uid="{843B6EF2-9C41-4EF6-BF6C-BCA8B283693E}"/>
    <cellStyle name="Normal 9 3 3 7" xfId="2678" xr:uid="{00000000-0005-0000-0000-00001F200000}"/>
    <cellStyle name="Normal 9 3 3 7 2" xfId="6961" xr:uid="{00000000-0005-0000-0000-000020200000}"/>
    <cellStyle name="Normal 9 3 3 7 2 2" xfId="16287" xr:uid="{2BEE2B1A-2264-4BAE-832E-B130DE77B8F7}"/>
    <cellStyle name="Normal 9 3 3 7 3" xfId="12070" xr:uid="{4B03E3C1-3AA3-4FDD-BF61-92AFD26D2247}"/>
    <cellStyle name="Normal 9 3 3 8" xfId="4896" xr:uid="{00000000-0005-0000-0000-000021200000}"/>
    <cellStyle name="Normal 9 3 3 8 2" xfId="14222" xr:uid="{1D9F5FD7-5228-451F-8F39-5516C1AA9A88}"/>
    <cellStyle name="Normal 9 3 3 9" xfId="8880" xr:uid="{36521590-FD5B-45F7-80A9-41BA557EA820}"/>
    <cellStyle name="Normal 9 3 3 9 2" xfId="18204" xr:uid="{A2B6F8B3-888C-437D-9D74-D27917CAF325}"/>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6782" xr:uid="{783D31CE-E361-4683-9E88-B7744AD779F0}"/>
    <cellStyle name="Normal 9 3 4 2 2 3" xfId="12565" xr:uid="{5A634488-7454-4AD8-A19A-D13E0ECFDEDD}"/>
    <cellStyle name="Normal 9 3 4 2 3" xfId="5311" xr:uid="{00000000-0005-0000-0000-000026200000}"/>
    <cellStyle name="Normal 9 3 4 2 3 2" xfId="14637" xr:uid="{5208B2F4-FB54-4A69-AA20-2F6B1B479582}"/>
    <cellStyle name="Normal 9 3 4 2 4" xfId="9409" xr:uid="{F8EFC02C-357C-44AD-9BF7-6459F3C595DA}"/>
    <cellStyle name="Normal 9 3 4 2 4 2" xfId="18724" xr:uid="{363491D5-08BF-483D-B5E1-FD0CF07E6CFC}"/>
    <cellStyle name="Normal 9 3 4 2 5" xfId="10420" xr:uid="{021F8F54-5C3B-486C-84FC-89879642A97E}"/>
    <cellStyle name="Normal 9 3 4 3" xfId="1417" xr:uid="{00000000-0005-0000-0000-000027200000}"/>
    <cellStyle name="Normal 9 3 4 3 2" xfId="3647" xr:uid="{00000000-0005-0000-0000-000028200000}"/>
    <cellStyle name="Normal 9 3 4 3 2 2" xfId="7869" xr:uid="{00000000-0005-0000-0000-000029200000}"/>
    <cellStyle name="Normal 9 3 4 3 2 2 2" xfId="17195" xr:uid="{033BA960-CA21-4275-B761-9A7AE17EF1D6}"/>
    <cellStyle name="Normal 9 3 4 3 2 3" xfId="12978" xr:uid="{71951D68-66C6-4EA7-B136-5B6ECAE6C506}"/>
    <cellStyle name="Normal 9 3 4 3 3" xfId="5724" xr:uid="{00000000-0005-0000-0000-00002A200000}"/>
    <cellStyle name="Normal 9 3 4 3 3 2" xfId="15050" xr:uid="{E978A362-B8C8-4C8A-A241-0756438B1489}"/>
    <cellStyle name="Normal 9 3 4 3 4" xfId="10833" xr:uid="{838EAA44-0ECE-41AB-AC97-395A867D9C99}"/>
    <cellStyle name="Normal 9 3 4 4" xfId="1830" xr:uid="{00000000-0005-0000-0000-00002B200000}"/>
    <cellStyle name="Normal 9 3 4 4 2" xfId="4060" xr:uid="{00000000-0005-0000-0000-00002C200000}"/>
    <cellStyle name="Normal 9 3 4 4 2 2" xfId="8282" xr:uid="{00000000-0005-0000-0000-00002D200000}"/>
    <cellStyle name="Normal 9 3 4 4 2 2 2" xfId="17608" xr:uid="{55C570AB-B43F-44FF-9CDD-B3151D859BC2}"/>
    <cellStyle name="Normal 9 3 4 4 2 3" xfId="13391" xr:uid="{50B5E627-B30F-4445-9F6D-9BB529E9F352}"/>
    <cellStyle name="Normal 9 3 4 4 3" xfId="6137" xr:uid="{00000000-0005-0000-0000-00002E200000}"/>
    <cellStyle name="Normal 9 3 4 4 3 2" xfId="15463" xr:uid="{654251E2-DFB1-47D5-BA7D-51A9FAA5AF4C}"/>
    <cellStyle name="Normal 9 3 4 4 4" xfId="11246" xr:uid="{F78577E9-CFB3-4C8C-9A9F-6228A123406C}"/>
    <cellStyle name="Normal 9 3 4 5" xfId="2244" xr:uid="{00000000-0005-0000-0000-00002F200000}"/>
    <cellStyle name="Normal 9 3 4 5 2" xfId="4473" xr:uid="{00000000-0005-0000-0000-000030200000}"/>
    <cellStyle name="Normal 9 3 4 5 2 2" xfId="8695" xr:uid="{00000000-0005-0000-0000-000031200000}"/>
    <cellStyle name="Normal 9 3 4 5 2 2 2" xfId="18021" xr:uid="{7DCFD937-F04E-4E75-AA79-6DADE425FBEB}"/>
    <cellStyle name="Normal 9 3 4 5 2 3" xfId="13804" xr:uid="{5CE8F67C-192F-4BAE-B1C2-D0F14B4C5AF0}"/>
    <cellStyle name="Normal 9 3 4 5 3" xfId="6550" xr:uid="{00000000-0005-0000-0000-000032200000}"/>
    <cellStyle name="Normal 9 3 4 5 3 2" xfId="15876" xr:uid="{A09B1487-94C5-4338-8D2A-014D7E7A208E}"/>
    <cellStyle name="Normal 9 3 4 5 4" xfId="11659" xr:uid="{A534AA9E-30BF-43B9-BDB5-F64D63FDC645}"/>
    <cellStyle name="Normal 9 3 4 6" xfId="2680" xr:uid="{00000000-0005-0000-0000-000033200000}"/>
    <cellStyle name="Normal 9 3 4 6 2" xfId="6963" xr:uid="{00000000-0005-0000-0000-000034200000}"/>
    <cellStyle name="Normal 9 3 4 6 2 2" xfId="16289" xr:uid="{29FD37FE-7F7E-444C-8F5F-0D012201AB22}"/>
    <cellStyle name="Normal 9 3 4 6 3" xfId="12072" xr:uid="{09F32ED8-6A96-4DE6-A804-F5FF86F41B3C}"/>
    <cellStyle name="Normal 9 3 4 7" xfId="4898" xr:uid="{00000000-0005-0000-0000-000035200000}"/>
    <cellStyle name="Normal 9 3 4 7 2" xfId="14224" xr:uid="{7BB56445-E607-4A3C-B2EA-C0FD6BE119A8}"/>
    <cellStyle name="Normal 9 3 4 8" xfId="8984" xr:uid="{A39B104A-EAEF-4D5B-B504-6104111E924B}"/>
    <cellStyle name="Normal 9 3 4 8 2" xfId="18308" xr:uid="{9BF8B247-2B35-4EBF-A0BA-65B3FF3590C9}"/>
    <cellStyle name="Normal 9 3 4 9" xfId="10007" xr:uid="{45C6D8F7-1952-4685-929D-79F71CA2E6EC}"/>
    <cellStyle name="Normal 9 3 5" xfId="994" xr:uid="{00000000-0005-0000-0000-000036200000}"/>
    <cellStyle name="Normal 9 3 5 2" xfId="3227" xr:uid="{00000000-0005-0000-0000-000037200000}"/>
    <cellStyle name="Normal 9 3 5 2 2" xfId="7449" xr:uid="{00000000-0005-0000-0000-000038200000}"/>
    <cellStyle name="Normal 9 3 5 2 2 2" xfId="16775" xr:uid="{DB9AF61B-A9B4-40A8-9316-2CEDD38F0CFA}"/>
    <cellStyle name="Normal 9 3 5 2 3" xfId="12558" xr:uid="{8F59475E-F011-436D-A233-5F128D50A828}"/>
    <cellStyle name="Normal 9 3 5 3" xfId="5304" xr:uid="{00000000-0005-0000-0000-000039200000}"/>
    <cellStyle name="Normal 9 3 5 3 2" xfId="14630" xr:uid="{38620DAC-1A69-477A-89DB-4495BD35C8B0}"/>
    <cellStyle name="Normal 9 3 5 4" xfId="9201" xr:uid="{46D523D7-8DEB-46FB-8F1C-8CE8C2FC3AD3}"/>
    <cellStyle name="Normal 9 3 5 4 2" xfId="18517" xr:uid="{8035654D-9B0B-4343-8C09-FECA920EEF86}"/>
    <cellStyle name="Normal 9 3 5 5" xfId="10413" xr:uid="{6B826749-50B7-4E04-A815-07DD8C63A6E0}"/>
    <cellStyle name="Normal 9 3 6" xfId="1410" xr:uid="{00000000-0005-0000-0000-00003A200000}"/>
    <cellStyle name="Normal 9 3 6 2" xfId="3640" xr:uid="{00000000-0005-0000-0000-00003B200000}"/>
    <cellStyle name="Normal 9 3 6 2 2" xfId="7862" xr:uid="{00000000-0005-0000-0000-00003C200000}"/>
    <cellStyle name="Normal 9 3 6 2 2 2" xfId="17188" xr:uid="{B4980E5E-0786-4F2D-9310-496B0E394E54}"/>
    <cellStyle name="Normal 9 3 6 2 3" xfId="12971" xr:uid="{EFA84A86-8998-48EA-BBF0-B18F3017AA64}"/>
    <cellStyle name="Normal 9 3 6 3" xfId="5717" xr:uid="{00000000-0005-0000-0000-00003D200000}"/>
    <cellStyle name="Normal 9 3 6 3 2" xfId="15043" xr:uid="{C1A71638-4D1A-48C3-9389-A5A1BBD17CB8}"/>
    <cellStyle name="Normal 9 3 6 4" xfId="10826" xr:uid="{55D211ED-D0D5-423E-90DE-D02687EB0B66}"/>
    <cellStyle name="Normal 9 3 7" xfId="1823" xr:uid="{00000000-0005-0000-0000-00003E200000}"/>
    <cellStyle name="Normal 9 3 7 2" xfId="4053" xr:uid="{00000000-0005-0000-0000-00003F200000}"/>
    <cellStyle name="Normal 9 3 7 2 2" xfId="8275" xr:uid="{00000000-0005-0000-0000-000040200000}"/>
    <cellStyle name="Normal 9 3 7 2 2 2" xfId="17601" xr:uid="{AE6564D6-D9B1-4EAE-85B2-76970DB947C9}"/>
    <cellStyle name="Normal 9 3 7 2 3" xfId="13384" xr:uid="{2560151D-0CDB-43FB-AC63-19C21161740D}"/>
    <cellStyle name="Normal 9 3 7 3" xfId="6130" xr:uid="{00000000-0005-0000-0000-000041200000}"/>
    <cellStyle name="Normal 9 3 7 3 2" xfId="15456" xr:uid="{24B979A0-80E1-45C8-AC2E-7DF5732FBC29}"/>
    <cellStyle name="Normal 9 3 7 4" xfId="11239" xr:uid="{3B39560A-DCFF-463F-A2C9-A4296D591FB4}"/>
    <cellStyle name="Normal 9 3 8" xfId="2237" xr:uid="{00000000-0005-0000-0000-000042200000}"/>
    <cellStyle name="Normal 9 3 8 2" xfId="4466" xr:uid="{00000000-0005-0000-0000-000043200000}"/>
    <cellStyle name="Normal 9 3 8 2 2" xfId="8688" xr:uid="{00000000-0005-0000-0000-000044200000}"/>
    <cellStyle name="Normal 9 3 8 2 2 2" xfId="18014" xr:uid="{91CF5CCC-4FFF-49EE-89F2-F36481C928BA}"/>
    <cellStyle name="Normal 9 3 8 2 3" xfId="13797" xr:uid="{EAF8CF6D-B11D-4094-9128-21D219B7DF55}"/>
    <cellStyle name="Normal 9 3 8 3" xfId="6543" xr:uid="{00000000-0005-0000-0000-000045200000}"/>
    <cellStyle name="Normal 9 3 8 3 2" xfId="15869" xr:uid="{364405C9-DD2F-4D38-A0F4-6F30E128275C}"/>
    <cellStyle name="Normal 9 3 8 4" xfId="11652" xr:uid="{F46CC2AF-8B93-4916-A946-BE6056CA0D49}"/>
    <cellStyle name="Normal 9 3 9" xfId="2673" xr:uid="{00000000-0005-0000-0000-000046200000}"/>
    <cellStyle name="Normal 9 3 9 2" xfId="6956" xr:uid="{00000000-0005-0000-0000-000047200000}"/>
    <cellStyle name="Normal 9 3 9 2 2" xfId="16282" xr:uid="{42A50422-D660-4788-9023-7EA454792CE5}"/>
    <cellStyle name="Normal 9 3 9 3" xfId="12065" xr:uid="{067D9003-096C-433E-882D-DF9F466046E6}"/>
    <cellStyle name="Normal 9 4" xfId="535" xr:uid="{00000000-0005-0000-0000-000048200000}"/>
    <cellStyle name="Normal 9 4 2" xfId="1002" xr:uid="{00000000-0005-0000-0000-000049200000}"/>
    <cellStyle name="Normal 9 5" xfId="536" xr:uid="{00000000-0005-0000-0000-00004A200000}"/>
    <cellStyle name="Normal 9 5 10" xfId="10008" xr:uid="{361E8AE8-4CA4-4889-8E26-333F96D56EF3}"/>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6784" xr:uid="{7EA00F97-8BEF-49F5-BC24-39C1D3514856}"/>
    <cellStyle name="Normal 9 5 2 2 2 3" xfId="12567" xr:uid="{C38F8942-6BCD-47AA-899C-39461A18E411}"/>
    <cellStyle name="Normal 9 5 2 2 3" xfId="5313" xr:uid="{00000000-0005-0000-0000-00004F200000}"/>
    <cellStyle name="Normal 9 5 2 2 3 2" xfId="14639" xr:uid="{1E0D36D7-FF52-47D5-BC75-B5008C7061F1}"/>
    <cellStyle name="Normal 9 5 2 2 4" xfId="9480" xr:uid="{BC9702BE-C2B3-450A-99DF-6FFE7C7A82FD}"/>
    <cellStyle name="Normal 9 5 2 2 4 2" xfId="18795" xr:uid="{1CAD3E1B-251F-449A-B2CC-8998F64E4303}"/>
    <cellStyle name="Normal 9 5 2 2 5" xfId="10422" xr:uid="{0038899D-F7FA-4C69-82E6-60AAA01EF1C1}"/>
    <cellStyle name="Normal 9 5 2 3" xfId="1419" xr:uid="{00000000-0005-0000-0000-000050200000}"/>
    <cellStyle name="Normal 9 5 2 3 2" xfId="3649" xr:uid="{00000000-0005-0000-0000-000051200000}"/>
    <cellStyle name="Normal 9 5 2 3 2 2" xfId="7871" xr:uid="{00000000-0005-0000-0000-000052200000}"/>
    <cellStyle name="Normal 9 5 2 3 2 2 2" xfId="17197" xr:uid="{555F67FF-52F8-4C63-B583-7118AF20716C}"/>
    <cellStyle name="Normal 9 5 2 3 2 3" xfId="12980" xr:uid="{85A39CAC-C0C3-457A-AC16-5C0F546A3A7C}"/>
    <cellStyle name="Normal 9 5 2 3 3" xfId="5726" xr:uid="{00000000-0005-0000-0000-000053200000}"/>
    <cellStyle name="Normal 9 5 2 3 3 2" xfId="15052" xr:uid="{3B1C2DCD-F461-405A-A491-495108CE4B46}"/>
    <cellStyle name="Normal 9 5 2 3 4" xfId="10835" xr:uid="{9AC0C30D-17DB-4407-9453-F8879D2D8E31}"/>
    <cellStyle name="Normal 9 5 2 4" xfId="1832" xr:uid="{00000000-0005-0000-0000-000054200000}"/>
    <cellStyle name="Normal 9 5 2 4 2" xfId="4062" xr:uid="{00000000-0005-0000-0000-000055200000}"/>
    <cellStyle name="Normal 9 5 2 4 2 2" xfId="8284" xr:uid="{00000000-0005-0000-0000-000056200000}"/>
    <cellStyle name="Normal 9 5 2 4 2 2 2" xfId="17610" xr:uid="{C4476854-FED8-42AC-AFD5-5C298AE26B9E}"/>
    <cellStyle name="Normal 9 5 2 4 2 3" xfId="13393" xr:uid="{F76185B3-1A84-4042-82D5-9A629EEDFBC4}"/>
    <cellStyle name="Normal 9 5 2 4 3" xfId="6139" xr:uid="{00000000-0005-0000-0000-000057200000}"/>
    <cellStyle name="Normal 9 5 2 4 3 2" xfId="15465" xr:uid="{7DD83296-3424-40D2-996A-0B3965E4AC45}"/>
    <cellStyle name="Normal 9 5 2 4 4" xfId="11248" xr:uid="{21865AF3-84FF-47C8-BB44-80148E52ED1E}"/>
    <cellStyle name="Normal 9 5 2 5" xfId="2246" xr:uid="{00000000-0005-0000-0000-000058200000}"/>
    <cellStyle name="Normal 9 5 2 5 2" xfId="4475" xr:uid="{00000000-0005-0000-0000-000059200000}"/>
    <cellStyle name="Normal 9 5 2 5 2 2" xfId="8697" xr:uid="{00000000-0005-0000-0000-00005A200000}"/>
    <cellStyle name="Normal 9 5 2 5 2 2 2" xfId="18023" xr:uid="{C5D36357-CD3B-4810-9D75-592961C1F4B2}"/>
    <cellStyle name="Normal 9 5 2 5 2 3" xfId="13806" xr:uid="{6F2EA4D7-B83A-4B21-9902-AA12DA5E2714}"/>
    <cellStyle name="Normal 9 5 2 5 3" xfId="6552" xr:uid="{00000000-0005-0000-0000-00005B200000}"/>
    <cellStyle name="Normal 9 5 2 5 3 2" xfId="15878" xr:uid="{4CB442A5-C08F-4285-8C50-E9FB06D12206}"/>
    <cellStyle name="Normal 9 5 2 5 4" xfId="11661" xr:uid="{325875B8-8FCB-49AA-B0A4-3CC870C5424E}"/>
    <cellStyle name="Normal 9 5 2 6" xfId="2682" xr:uid="{00000000-0005-0000-0000-00005C200000}"/>
    <cellStyle name="Normal 9 5 2 6 2" xfId="6965" xr:uid="{00000000-0005-0000-0000-00005D200000}"/>
    <cellStyle name="Normal 9 5 2 6 2 2" xfId="16291" xr:uid="{B91EBEB0-4B5F-4A67-904D-9A43C520D943}"/>
    <cellStyle name="Normal 9 5 2 6 3" xfId="12074" xr:uid="{5CE490B5-2100-4F73-9ABB-0428CE879B91}"/>
    <cellStyle name="Normal 9 5 2 7" xfId="4900" xr:uid="{00000000-0005-0000-0000-00005E200000}"/>
    <cellStyle name="Normal 9 5 2 7 2" xfId="14226" xr:uid="{039EE12F-C5EB-446F-A0A4-D28DCBFAB955}"/>
    <cellStyle name="Normal 9 5 2 8" xfId="9055" xr:uid="{3DD071E2-A4B3-45E3-9F20-3C2D5AEE5CB2}"/>
    <cellStyle name="Normal 9 5 2 8 2" xfId="18379" xr:uid="{E67B5DB0-6EDB-4C19-AFE8-3A8D97E94335}"/>
    <cellStyle name="Normal 9 5 2 9" xfId="10009" xr:uid="{432B3B3A-367C-48C7-9E8A-53DDDF743F1E}"/>
    <cellStyle name="Normal 9 5 3" xfId="1003" xr:uid="{00000000-0005-0000-0000-00005F200000}"/>
    <cellStyle name="Normal 9 5 3 2" xfId="3235" xr:uid="{00000000-0005-0000-0000-000060200000}"/>
    <cellStyle name="Normal 9 5 3 2 2" xfId="7457" xr:uid="{00000000-0005-0000-0000-000061200000}"/>
    <cellStyle name="Normal 9 5 3 2 2 2" xfId="16783" xr:uid="{D3B304E8-5E03-4BF8-A00F-1F152043C075}"/>
    <cellStyle name="Normal 9 5 3 2 3" xfId="12566" xr:uid="{13E77ADE-3B12-4BDC-82DA-79D4356211D2}"/>
    <cellStyle name="Normal 9 5 3 3" xfId="5312" xr:uid="{00000000-0005-0000-0000-000062200000}"/>
    <cellStyle name="Normal 9 5 3 3 2" xfId="14638" xr:uid="{6E45C41A-ADA5-4138-BDDE-9519ECC97E7C}"/>
    <cellStyle name="Normal 9 5 3 4" xfId="9273" xr:uid="{AE6CB61B-02C5-436E-A328-3B2AC8AC9E53}"/>
    <cellStyle name="Normal 9 5 3 4 2" xfId="18588" xr:uid="{E94D2FA5-CAC0-4407-97B1-DC1CDD3535F4}"/>
    <cellStyle name="Normal 9 5 3 5" xfId="10421" xr:uid="{68D41A80-891D-4C90-BFA3-247EF560C554}"/>
    <cellStyle name="Normal 9 5 4" xfId="1418" xr:uid="{00000000-0005-0000-0000-000063200000}"/>
    <cellStyle name="Normal 9 5 4 2" xfId="3648" xr:uid="{00000000-0005-0000-0000-000064200000}"/>
    <cellStyle name="Normal 9 5 4 2 2" xfId="7870" xr:uid="{00000000-0005-0000-0000-000065200000}"/>
    <cellStyle name="Normal 9 5 4 2 2 2" xfId="17196" xr:uid="{E1A4C997-AE9F-4AA5-8206-501B6DCA3E30}"/>
    <cellStyle name="Normal 9 5 4 2 3" xfId="12979" xr:uid="{AA04201F-CE0D-4F3C-BE33-AC77FE3326C9}"/>
    <cellStyle name="Normal 9 5 4 3" xfId="5725" xr:uid="{00000000-0005-0000-0000-000066200000}"/>
    <cellStyle name="Normal 9 5 4 3 2" xfId="15051" xr:uid="{EB46D827-2618-4606-9815-D5A6D22764EB}"/>
    <cellStyle name="Normal 9 5 4 4" xfId="10834" xr:uid="{BFA31163-F58E-449D-AB63-157C7B53CCCB}"/>
    <cellStyle name="Normal 9 5 5" xfId="1831" xr:uid="{00000000-0005-0000-0000-000067200000}"/>
    <cellStyle name="Normal 9 5 5 2" xfId="4061" xr:uid="{00000000-0005-0000-0000-000068200000}"/>
    <cellStyle name="Normal 9 5 5 2 2" xfId="8283" xr:uid="{00000000-0005-0000-0000-000069200000}"/>
    <cellStyle name="Normal 9 5 5 2 2 2" xfId="17609" xr:uid="{07E0948C-2092-4828-80F8-B35EF3EE86F7}"/>
    <cellStyle name="Normal 9 5 5 2 3" xfId="13392" xr:uid="{D1EFC328-DCE0-447C-98E3-E2EB7792FFE6}"/>
    <cellStyle name="Normal 9 5 5 3" xfId="6138" xr:uid="{00000000-0005-0000-0000-00006A200000}"/>
    <cellStyle name="Normal 9 5 5 3 2" xfId="15464" xr:uid="{047548A1-364D-4A0C-939A-7B1D64D2FE51}"/>
    <cellStyle name="Normal 9 5 5 4" xfId="11247" xr:uid="{CF264242-0BD6-4288-B7FD-ED9446800734}"/>
    <cellStyle name="Normal 9 5 6" xfId="2245" xr:uid="{00000000-0005-0000-0000-00006B200000}"/>
    <cellStyle name="Normal 9 5 6 2" xfId="4474" xr:uid="{00000000-0005-0000-0000-00006C200000}"/>
    <cellStyle name="Normal 9 5 6 2 2" xfId="8696" xr:uid="{00000000-0005-0000-0000-00006D200000}"/>
    <cellStyle name="Normal 9 5 6 2 2 2" xfId="18022" xr:uid="{5D90C070-C791-4E44-A722-F750B188FCBC}"/>
    <cellStyle name="Normal 9 5 6 2 3" xfId="13805" xr:uid="{312FF92F-7756-494D-B0D4-6D70FED04E1F}"/>
    <cellStyle name="Normal 9 5 6 3" xfId="6551" xr:uid="{00000000-0005-0000-0000-00006E200000}"/>
    <cellStyle name="Normal 9 5 6 3 2" xfId="15877" xr:uid="{4EDD62DC-B0F2-4F0B-A417-C7653BE8FB4B}"/>
    <cellStyle name="Normal 9 5 6 4" xfId="11660" xr:uid="{CFB3D2A3-5557-4AC9-8D6F-83604C0AE3C1}"/>
    <cellStyle name="Normal 9 5 7" xfId="2681" xr:uid="{00000000-0005-0000-0000-00006F200000}"/>
    <cellStyle name="Normal 9 5 7 2" xfId="6964" xr:uid="{00000000-0005-0000-0000-000070200000}"/>
    <cellStyle name="Normal 9 5 7 2 2" xfId="16290" xr:uid="{B6C1F7FF-FF8F-4550-AFE4-8A78FA33E25A}"/>
    <cellStyle name="Normal 9 5 7 3" xfId="12073" xr:uid="{D5743001-D64D-4B0D-AA99-17EDA9857446}"/>
    <cellStyle name="Normal 9 5 8" xfId="4899" xr:uid="{00000000-0005-0000-0000-000071200000}"/>
    <cellStyle name="Normal 9 5 8 2" xfId="14225" xr:uid="{4E0CE649-CD9B-4CCE-85EF-F110E1566AEB}"/>
    <cellStyle name="Normal 9 5 9" xfId="8848" xr:uid="{B1BE5F70-14E5-42B6-9EBA-D267F3B60A08}"/>
    <cellStyle name="Normal 9 5 9 2" xfId="18172" xr:uid="{8AAE7AEA-60C6-4531-BBB3-2DAC219C6307}"/>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6785" xr:uid="{3071EBBA-0120-4DA8-89F6-A5E526A57E62}"/>
    <cellStyle name="Normal 9 6 2 2 3" xfId="12568" xr:uid="{EDC7E70C-9CBA-4609-8291-097616389B51}"/>
    <cellStyle name="Normal 9 6 2 3" xfId="5314" xr:uid="{00000000-0005-0000-0000-000076200000}"/>
    <cellStyle name="Normal 9 6 2 3 2" xfId="14640" xr:uid="{816F2328-A67C-4FC5-AE20-D6B88510D253}"/>
    <cellStyle name="Normal 9 6 2 4" xfId="9389" xr:uid="{2A0458F6-466A-4C3B-BA39-FF09FD770FDD}"/>
    <cellStyle name="Normal 9 6 2 4 2" xfId="18704" xr:uid="{6B3C32DC-4202-4B19-8124-53443DFE3CB6}"/>
    <cellStyle name="Normal 9 6 2 5" xfId="10423" xr:uid="{5D88477C-3D4B-4040-9025-F94B550E47EA}"/>
    <cellStyle name="Normal 9 6 3" xfId="1420" xr:uid="{00000000-0005-0000-0000-000077200000}"/>
    <cellStyle name="Normal 9 6 3 2" xfId="3650" xr:uid="{00000000-0005-0000-0000-000078200000}"/>
    <cellStyle name="Normal 9 6 3 2 2" xfId="7872" xr:uid="{00000000-0005-0000-0000-000079200000}"/>
    <cellStyle name="Normal 9 6 3 2 2 2" xfId="17198" xr:uid="{0B09F9E0-B645-47BB-A0B7-9BD225837285}"/>
    <cellStyle name="Normal 9 6 3 2 3" xfId="12981" xr:uid="{36C669FE-E77A-49F8-A177-36581C9F541A}"/>
    <cellStyle name="Normal 9 6 3 3" xfId="5727" xr:uid="{00000000-0005-0000-0000-00007A200000}"/>
    <cellStyle name="Normal 9 6 3 3 2" xfId="15053" xr:uid="{0DF2E521-A3E8-418A-8077-57C0E9D99D9D}"/>
    <cellStyle name="Normal 9 6 3 4" xfId="10836" xr:uid="{61545C2B-4759-4C21-AA37-938F08D64307}"/>
    <cellStyle name="Normal 9 6 4" xfId="1833" xr:uid="{00000000-0005-0000-0000-00007B200000}"/>
    <cellStyle name="Normal 9 6 4 2" xfId="4063" xr:uid="{00000000-0005-0000-0000-00007C200000}"/>
    <cellStyle name="Normal 9 6 4 2 2" xfId="8285" xr:uid="{00000000-0005-0000-0000-00007D200000}"/>
    <cellStyle name="Normal 9 6 4 2 2 2" xfId="17611" xr:uid="{FBAA758A-322B-4FE6-B3AA-8CBEAFA5708D}"/>
    <cellStyle name="Normal 9 6 4 2 3" xfId="13394" xr:uid="{642CA72E-5DBA-461D-BDE2-39F4E798706A}"/>
    <cellStyle name="Normal 9 6 4 3" xfId="6140" xr:uid="{00000000-0005-0000-0000-00007E200000}"/>
    <cellStyle name="Normal 9 6 4 3 2" xfId="15466" xr:uid="{3B9779F8-7667-4928-9060-4B4D3375AD20}"/>
    <cellStyle name="Normal 9 6 4 4" xfId="11249" xr:uid="{5D7B071E-46B0-4E6F-BDF2-FEDBA1928E56}"/>
    <cellStyle name="Normal 9 6 5" xfId="2247" xr:uid="{00000000-0005-0000-0000-00007F200000}"/>
    <cellStyle name="Normal 9 6 5 2" xfId="4476" xr:uid="{00000000-0005-0000-0000-000080200000}"/>
    <cellStyle name="Normal 9 6 5 2 2" xfId="8698" xr:uid="{00000000-0005-0000-0000-000081200000}"/>
    <cellStyle name="Normal 9 6 5 2 2 2" xfId="18024" xr:uid="{41183D08-0C16-489A-943D-6EEAACEA448A}"/>
    <cellStyle name="Normal 9 6 5 2 3" xfId="13807" xr:uid="{72299CAD-8A34-413F-A2C6-F39D2F8937CB}"/>
    <cellStyle name="Normal 9 6 5 3" xfId="6553" xr:uid="{00000000-0005-0000-0000-000082200000}"/>
    <cellStyle name="Normal 9 6 5 3 2" xfId="15879" xr:uid="{A13379ED-A1AE-461E-A751-5E36271198B7}"/>
    <cellStyle name="Normal 9 6 5 4" xfId="11662" xr:uid="{AA62E18A-FE75-4E35-906C-38FA19F2F44B}"/>
    <cellStyle name="Normal 9 6 6" xfId="2683" xr:uid="{00000000-0005-0000-0000-000083200000}"/>
    <cellStyle name="Normal 9 6 6 2" xfId="6966" xr:uid="{00000000-0005-0000-0000-000084200000}"/>
    <cellStyle name="Normal 9 6 6 2 2" xfId="16292" xr:uid="{D9173BF7-4FA3-4D9A-A408-A7E376B71091}"/>
    <cellStyle name="Normal 9 6 6 3" xfId="12075" xr:uid="{FF2C3F24-F367-41AB-96DD-18952DB0DEBF}"/>
    <cellStyle name="Normal 9 6 7" xfId="4901" xr:uid="{00000000-0005-0000-0000-000085200000}"/>
    <cellStyle name="Normal 9 6 7 2" xfId="14227" xr:uid="{5D062BD4-3ACE-42E7-BFFD-D9C84D8CBCC1}"/>
    <cellStyle name="Normal 9 6 8" xfId="8964" xr:uid="{9BBC9C46-7A3A-4BC9-9542-DC33DFA165C2}"/>
    <cellStyle name="Normal 9 6 8 2" xfId="18288" xr:uid="{019C51FB-BA90-4A80-A4FD-33A31CBD8ABB}"/>
    <cellStyle name="Normal 9 6 9" xfId="10010" xr:uid="{0623F2AD-2A83-4EB5-B30B-00D0F4C6FC32}"/>
    <cellStyle name="Normal 9 7" xfId="977" xr:uid="{00000000-0005-0000-0000-000086200000}"/>
    <cellStyle name="Normal 9 7 2" xfId="9609" xr:uid="{1246D22D-2382-4FAF-A8D6-CB26E2B9F9CE}"/>
    <cellStyle name="Normal 9 7 3" xfId="9167" xr:uid="{F9EED645-1D44-43CF-99A5-77176BA4CE36}"/>
    <cellStyle name="Normal 9 7 3 2" xfId="18485" xr:uid="{918FEF1E-2250-4ECA-B77E-A057C7248586}"/>
    <cellStyle name="Normal 9 8" xfId="8745" xr:uid="{C1852A12-4F74-491B-976C-56AD8D4478B4}"/>
    <cellStyle name="Normal 9 8 2" xfId="18069" xr:uid="{60748CD4-A57B-4086-8E47-A423CB7C1D67}"/>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73" xr:uid="{608C1915-551D-4248-9784-634E72B9F4F8}"/>
    <cellStyle name="Note 2 2 10 3" xfId="12156" xr:uid="{54D95C9B-EC44-4854-A705-A84C1CC73225}"/>
    <cellStyle name="Note 2 2 11" xfId="4902" xr:uid="{00000000-0005-0000-0000-000094200000}"/>
    <cellStyle name="Note 2 2 11 2" xfId="14228" xr:uid="{6936191D-EC71-46C6-B518-BE31BFDF374C}"/>
    <cellStyle name="Note 2 2 12" xfId="8841" xr:uid="{E94E1FD8-31C4-4718-9658-C7A587CBF323}"/>
    <cellStyle name="Note 2 2 12 2" xfId="18165" xr:uid="{592279C4-AEDC-4446-84CF-28F7D9626998}"/>
    <cellStyle name="Note 2 2 13" xfId="10011" xr:uid="{FDF0E9DF-E9CB-4CD4-8AC3-46B42EDCCA73}"/>
    <cellStyle name="Note 2 2 2" xfId="546" xr:uid="{00000000-0005-0000-0000-000095200000}"/>
    <cellStyle name="Note 2 2 2 10" xfId="4903" xr:uid="{00000000-0005-0000-0000-000096200000}"/>
    <cellStyle name="Note 2 2 2 10 2" xfId="14229" xr:uid="{D957215C-6605-4070-BCB6-74DFC0E7297E}"/>
    <cellStyle name="Note 2 2 2 11" xfId="8944" xr:uid="{B75A3404-A4A3-41D6-B6C3-54560C6DD592}"/>
    <cellStyle name="Note 2 2 2 11 2" xfId="18268" xr:uid="{ACD8BA71-3B02-4AB0-955C-FEF24525A761}"/>
    <cellStyle name="Note 2 2 2 12" xfId="10012" xr:uid="{159105F1-1367-40D9-BC68-DDD32E8B85F5}"/>
    <cellStyle name="Note 2 2 2 2" xfId="547" xr:uid="{00000000-0005-0000-0000-000097200000}"/>
    <cellStyle name="Note 2 2 2 2 10" xfId="9151" xr:uid="{DE810DD8-00EC-4339-9CFC-C84D5E182971}"/>
    <cellStyle name="Note 2 2 2 2 10 2" xfId="18475" xr:uid="{C6739AEC-02B1-427A-A8D1-38133C53AE11}"/>
    <cellStyle name="Note 2 2 2 2 11" xfId="10013" xr:uid="{64E3B075-D4FF-4394-B042-714C58BE6D9E}"/>
    <cellStyle name="Note 2 2 2 2 2" xfId="1008" xr:uid="{00000000-0005-0000-0000-000098200000}"/>
    <cellStyle name="Note 2 2 2 2 2 2" xfId="3240" xr:uid="{00000000-0005-0000-0000-000099200000}"/>
    <cellStyle name="Note 2 2 2 2 2 2 2" xfId="7462" xr:uid="{00000000-0005-0000-0000-00009A200000}"/>
    <cellStyle name="Note 2 2 2 2 2 2 2 2" xfId="16788" xr:uid="{233BB568-1C29-41BC-A2D1-F1248F160131}"/>
    <cellStyle name="Note 2 2 2 2 2 2 3" xfId="12571" xr:uid="{A1A46134-5FB1-498F-BAF8-2394F86B7F13}"/>
    <cellStyle name="Note 2 2 2 2 2 3" xfId="5317" xr:uid="{00000000-0005-0000-0000-00009B200000}"/>
    <cellStyle name="Note 2 2 2 2 2 3 2" xfId="14643" xr:uid="{7A25974D-F9C9-4780-816E-8DF637C8751A}"/>
    <cellStyle name="Note 2 2 2 2 2 4" xfId="9576" xr:uid="{375E296C-598F-454E-B7C4-9E851CE02ED2}"/>
    <cellStyle name="Note 2 2 2 2 2 4 2" xfId="18891" xr:uid="{673343A3-5662-4FCF-9E00-A1CA601A73AD}"/>
    <cellStyle name="Note 2 2 2 2 2 5" xfId="10426" xr:uid="{B43D3ABB-E78A-46A8-8989-9F1DF4D544BD}"/>
    <cellStyle name="Note 2 2 2 2 3" xfId="1423" xr:uid="{00000000-0005-0000-0000-00009C200000}"/>
    <cellStyle name="Note 2 2 2 2 3 2" xfId="3653" xr:uid="{00000000-0005-0000-0000-00009D200000}"/>
    <cellStyle name="Note 2 2 2 2 3 2 2" xfId="7875" xr:uid="{00000000-0005-0000-0000-00009E200000}"/>
    <cellStyle name="Note 2 2 2 2 3 2 2 2" xfId="17201" xr:uid="{42D4A7F2-E1AF-441C-8C88-3F261AEB7372}"/>
    <cellStyle name="Note 2 2 2 2 3 2 3" xfId="12984" xr:uid="{61A5515E-41AE-47E4-AB03-05D1E22E650A}"/>
    <cellStyle name="Note 2 2 2 2 3 3" xfId="5730" xr:uid="{00000000-0005-0000-0000-00009F200000}"/>
    <cellStyle name="Note 2 2 2 2 3 3 2" xfId="15056" xr:uid="{B1848C79-EFC4-473B-A996-F250DCBC3DE1}"/>
    <cellStyle name="Note 2 2 2 2 3 4" xfId="10839" xr:uid="{40959753-EA92-4AD8-972C-DF77490F985A}"/>
    <cellStyle name="Note 2 2 2 2 4" xfId="1837" xr:uid="{00000000-0005-0000-0000-0000A0200000}"/>
    <cellStyle name="Note 2 2 2 2 4 2" xfId="4066" xr:uid="{00000000-0005-0000-0000-0000A1200000}"/>
    <cellStyle name="Note 2 2 2 2 4 2 2" xfId="8288" xr:uid="{00000000-0005-0000-0000-0000A2200000}"/>
    <cellStyle name="Note 2 2 2 2 4 2 2 2" xfId="17614" xr:uid="{EFCDE2D4-CE4D-45C0-BDA6-9E8F3DF87F1C}"/>
    <cellStyle name="Note 2 2 2 2 4 2 3" xfId="13397" xr:uid="{33CA8381-45A7-48D7-89E9-581FAD293285}"/>
    <cellStyle name="Note 2 2 2 2 4 3" xfId="6143" xr:uid="{00000000-0005-0000-0000-0000A3200000}"/>
    <cellStyle name="Note 2 2 2 2 4 3 2" xfId="15469" xr:uid="{BFF88015-AF51-4DE9-83A4-93231DDB5014}"/>
    <cellStyle name="Note 2 2 2 2 4 4" xfId="11252" xr:uid="{83496AFC-5AC7-4CA9-8D84-7300C97BF486}"/>
    <cellStyle name="Note 2 2 2 2 5" xfId="2250" xr:uid="{00000000-0005-0000-0000-0000A4200000}"/>
    <cellStyle name="Note 2 2 2 2 5 2" xfId="4479" xr:uid="{00000000-0005-0000-0000-0000A5200000}"/>
    <cellStyle name="Note 2 2 2 2 5 2 2" xfId="8701" xr:uid="{00000000-0005-0000-0000-0000A6200000}"/>
    <cellStyle name="Note 2 2 2 2 5 2 2 2" xfId="18027" xr:uid="{2896E844-C2CA-4C31-B8E2-B57E33DA524D}"/>
    <cellStyle name="Note 2 2 2 2 5 2 3" xfId="13810" xr:uid="{AB301FAB-5F97-4C01-A969-ECBB8E3C244E}"/>
    <cellStyle name="Note 2 2 2 2 5 3" xfId="6556" xr:uid="{00000000-0005-0000-0000-0000A7200000}"/>
    <cellStyle name="Note 2 2 2 2 5 3 2" xfId="15882" xr:uid="{A880CC03-BBF6-42F7-938C-14EC35593AB7}"/>
    <cellStyle name="Note 2 2 2 2 5 4" xfId="11665" xr:uid="{D5699914-E799-4261-B88F-8872F32B2F9F}"/>
    <cellStyle name="Note 2 2 2 2 6" xfId="2686" xr:uid="{00000000-0005-0000-0000-0000A8200000}"/>
    <cellStyle name="Note 2 2 2 2 6 2" xfId="6969" xr:uid="{00000000-0005-0000-0000-0000A9200000}"/>
    <cellStyle name="Note 2 2 2 2 6 2 2" xfId="16295" xr:uid="{32FF705E-4040-47F1-A8FA-DF07AC23A1B5}"/>
    <cellStyle name="Note 2 2 2 2 6 3" xfId="12078" xr:uid="{13CD8EAD-B9C9-4FBB-8706-C7DC293D8633}"/>
    <cellStyle name="Note 2 2 2 2 7" xfId="2745" xr:uid="{00000000-0005-0000-0000-0000AA200000}"/>
    <cellStyle name="Note 2 2 2 2 8" xfId="2826" xr:uid="{00000000-0005-0000-0000-0000AB200000}"/>
    <cellStyle name="Note 2 2 2 2 8 2" xfId="7049" xr:uid="{00000000-0005-0000-0000-0000AC200000}"/>
    <cellStyle name="Note 2 2 2 2 8 2 2" xfId="16375" xr:uid="{BC45BE17-1D7B-47A2-8B19-742FB5ECE2D8}"/>
    <cellStyle name="Note 2 2 2 2 8 3" xfId="12158" xr:uid="{F55C8A6D-CCDE-417E-8B25-03ED109A337B}"/>
    <cellStyle name="Note 2 2 2 2 9" xfId="4904" xr:uid="{00000000-0005-0000-0000-0000AD200000}"/>
    <cellStyle name="Note 2 2 2 2 9 2" xfId="14230" xr:uid="{2DE398EE-04DD-4628-9CA0-BB630998E8C4}"/>
    <cellStyle name="Note 2 2 2 3" xfId="1007" xr:uid="{00000000-0005-0000-0000-0000AE200000}"/>
    <cellStyle name="Note 2 2 2 3 2" xfId="3239" xr:uid="{00000000-0005-0000-0000-0000AF200000}"/>
    <cellStyle name="Note 2 2 2 3 2 2" xfId="7461" xr:uid="{00000000-0005-0000-0000-0000B0200000}"/>
    <cellStyle name="Note 2 2 2 3 2 2 2" xfId="16787" xr:uid="{5626AA16-975B-446D-8D6C-C21FA6845474}"/>
    <cellStyle name="Note 2 2 2 3 2 3" xfId="12570" xr:uid="{13036767-2725-4636-BCDA-5AB1AA2A129D}"/>
    <cellStyle name="Note 2 2 2 3 3" xfId="5316" xr:uid="{00000000-0005-0000-0000-0000B1200000}"/>
    <cellStyle name="Note 2 2 2 3 3 2" xfId="14642" xr:uid="{20546E8D-BA53-4270-933B-995594214843}"/>
    <cellStyle name="Note 2 2 2 3 4" xfId="9369" xr:uid="{37FCA23B-964B-404F-A343-B489211FDCDC}"/>
    <cellStyle name="Note 2 2 2 3 4 2" xfId="18684" xr:uid="{D96CE427-D0C3-4C36-851C-199F38BB507A}"/>
    <cellStyle name="Note 2 2 2 3 5" xfId="10425" xr:uid="{2C2B9FFB-7C8E-4833-A77F-BEA1B57094A1}"/>
    <cellStyle name="Note 2 2 2 4" xfId="1422" xr:uid="{00000000-0005-0000-0000-0000B2200000}"/>
    <cellStyle name="Note 2 2 2 4 2" xfId="3652" xr:uid="{00000000-0005-0000-0000-0000B3200000}"/>
    <cellStyle name="Note 2 2 2 4 2 2" xfId="7874" xr:uid="{00000000-0005-0000-0000-0000B4200000}"/>
    <cellStyle name="Note 2 2 2 4 2 2 2" xfId="17200" xr:uid="{310D6892-0603-46A9-BE46-F6D8F518A92F}"/>
    <cellStyle name="Note 2 2 2 4 2 3" xfId="12983" xr:uid="{C5EE2F46-ED3B-4AD0-8047-99633D542E48}"/>
    <cellStyle name="Note 2 2 2 4 3" xfId="5729" xr:uid="{00000000-0005-0000-0000-0000B5200000}"/>
    <cellStyle name="Note 2 2 2 4 3 2" xfId="15055" xr:uid="{FF9783CA-88F0-4ACF-981B-9EA1D0C31545}"/>
    <cellStyle name="Note 2 2 2 4 4" xfId="10838" xr:uid="{09D4053C-60C5-41B5-8C4A-297098288A47}"/>
    <cellStyle name="Note 2 2 2 5" xfId="1836" xr:uid="{00000000-0005-0000-0000-0000B6200000}"/>
    <cellStyle name="Note 2 2 2 5 2" xfId="4065" xr:uid="{00000000-0005-0000-0000-0000B7200000}"/>
    <cellStyle name="Note 2 2 2 5 2 2" xfId="8287" xr:uid="{00000000-0005-0000-0000-0000B8200000}"/>
    <cellStyle name="Note 2 2 2 5 2 2 2" xfId="17613" xr:uid="{B430CCDD-4248-41BB-AD7A-31666262654C}"/>
    <cellStyle name="Note 2 2 2 5 2 3" xfId="13396" xr:uid="{17699B4F-2C12-41DA-8B0C-975CD9877419}"/>
    <cellStyle name="Note 2 2 2 5 3" xfId="6142" xr:uid="{00000000-0005-0000-0000-0000B9200000}"/>
    <cellStyle name="Note 2 2 2 5 3 2" xfId="15468" xr:uid="{FB0539F9-B13B-4D90-AF46-6D0C6AED809C}"/>
    <cellStyle name="Note 2 2 2 5 4" xfId="11251" xr:uid="{7623F0E6-7DA4-4C64-9BC1-E40B703F97FC}"/>
    <cellStyle name="Note 2 2 2 6" xfId="2249" xr:uid="{00000000-0005-0000-0000-0000BA200000}"/>
    <cellStyle name="Note 2 2 2 6 2" xfId="4478" xr:uid="{00000000-0005-0000-0000-0000BB200000}"/>
    <cellStyle name="Note 2 2 2 6 2 2" xfId="8700" xr:uid="{00000000-0005-0000-0000-0000BC200000}"/>
    <cellStyle name="Note 2 2 2 6 2 2 2" xfId="18026" xr:uid="{877A20B3-A783-493A-8F11-9FB2D3BCCAE3}"/>
    <cellStyle name="Note 2 2 2 6 2 3" xfId="13809" xr:uid="{CC0B7949-DE1C-4D64-8FF2-59D990426351}"/>
    <cellStyle name="Note 2 2 2 6 3" xfId="6555" xr:uid="{00000000-0005-0000-0000-0000BD200000}"/>
    <cellStyle name="Note 2 2 2 6 3 2" xfId="15881" xr:uid="{DCB2DDB7-A677-4782-B67F-F0E8265F3229}"/>
    <cellStyle name="Note 2 2 2 6 4" xfId="11664" xr:uid="{BA5CC9AF-EE57-427F-B03C-4FB89A58A173}"/>
    <cellStyle name="Note 2 2 2 7" xfId="2685" xr:uid="{00000000-0005-0000-0000-0000BE200000}"/>
    <cellStyle name="Note 2 2 2 7 2" xfId="6968" xr:uid="{00000000-0005-0000-0000-0000BF200000}"/>
    <cellStyle name="Note 2 2 2 7 2 2" xfId="16294" xr:uid="{AD71BD91-E9E1-41A5-9D8C-0065E0F4912B}"/>
    <cellStyle name="Note 2 2 2 7 3" xfId="12077" xr:uid="{42B5CD05-04CE-4BDF-8796-10FD53BA6614}"/>
    <cellStyle name="Note 2 2 2 8" xfId="2744" xr:uid="{00000000-0005-0000-0000-0000C0200000}"/>
    <cellStyle name="Note 2 2 2 9" xfId="2825" xr:uid="{00000000-0005-0000-0000-0000C1200000}"/>
    <cellStyle name="Note 2 2 2 9 2" xfId="7048" xr:uid="{00000000-0005-0000-0000-0000C2200000}"/>
    <cellStyle name="Note 2 2 2 9 2 2" xfId="16374" xr:uid="{37E13F31-2451-444C-B95C-DD8803886639}"/>
    <cellStyle name="Note 2 2 2 9 3" xfId="12157" xr:uid="{65AEC434-7EDE-4278-A7B2-E22050E901BC}"/>
    <cellStyle name="Note 2 2 3" xfId="548" xr:uid="{00000000-0005-0000-0000-0000C3200000}"/>
    <cellStyle name="Note 2 2 3 10" xfId="9048" xr:uid="{894401FF-B7D8-49E8-91E6-A1C42DD04D54}"/>
    <cellStyle name="Note 2 2 3 10 2" xfId="18372" xr:uid="{24DB34E7-01FC-4AFA-AD52-7A4A8634E535}"/>
    <cellStyle name="Note 2 2 3 11" xfId="10014" xr:uid="{75E82859-C2B2-4ED4-BA11-682851D86A9B}"/>
    <cellStyle name="Note 2 2 3 2" xfId="1009" xr:uid="{00000000-0005-0000-0000-0000C4200000}"/>
    <cellStyle name="Note 2 2 3 2 2" xfId="3241" xr:uid="{00000000-0005-0000-0000-0000C5200000}"/>
    <cellStyle name="Note 2 2 3 2 2 2" xfId="7463" xr:uid="{00000000-0005-0000-0000-0000C6200000}"/>
    <cellStyle name="Note 2 2 3 2 2 2 2" xfId="16789" xr:uid="{42F22EAF-E2A3-439A-8D47-273B12CC280B}"/>
    <cellStyle name="Note 2 2 3 2 2 3" xfId="12572" xr:uid="{A1C48279-38C2-4FB8-9403-428663C2C7EC}"/>
    <cellStyle name="Note 2 2 3 2 3" xfId="5318" xr:uid="{00000000-0005-0000-0000-0000C7200000}"/>
    <cellStyle name="Note 2 2 3 2 3 2" xfId="14644" xr:uid="{F3235F0B-2979-4D48-A8C7-7A9C7397EA37}"/>
    <cellStyle name="Note 2 2 3 2 4" xfId="9473" xr:uid="{7711F4E0-385B-44CD-ACEA-5E9D7E4CD8DC}"/>
    <cellStyle name="Note 2 2 3 2 4 2" xfId="18788" xr:uid="{C0CDDBB3-8E0D-4CE6-90DD-C6489DE866D4}"/>
    <cellStyle name="Note 2 2 3 2 5" xfId="10427" xr:uid="{ED9B4BB9-0D5A-4EA4-AAC7-950E4BCCF7A5}"/>
    <cellStyle name="Note 2 2 3 3" xfId="1424" xr:uid="{00000000-0005-0000-0000-0000C8200000}"/>
    <cellStyle name="Note 2 2 3 3 2" xfId="3654" xr:uid="{00000000-0005-0000-0000-0000C9200000}"/>
    <cellStyle name="Note 2 2 3 3 2 2" xfId="7876" xr:uid="{00000000-0005-0000-0000-0000CA200000}"/>
    <cellStyle name="Note 2 2 3 3 2 2 2" xfId="17202" xr:uid="{259DEDAB-C3A7-4EA1-A3AF-62A9B2D41EC7}"/>
    <cellStyle name="Note 2 2 3 3 2 3" xfId="12985" xr:uid="{5CF5583C-AF30-43D7-A2C1-1C544C26C82E}"/>
    <cellStyle name="Note 2 2 3 3 3" xfId="5731" xr:uid="{00000000-0005-0000-0000-0000CB200000}"/>
    <cellStyle name="Note 2 2 3 3 3 2" xfId="15057" xr:uid="{C17F868D-90A4-42EA-9E9C-4FC3D2B0CAB9}"/>
    <cellStyle name="Note 2 2 3 3 4" xfId="10840" xr:uid="{D98BFAF3-D7B2-4A00-A2E0-BB8CB86481B8}"/>
    <cellStyle name="Note 2 2 3 4" xfId="1838" xr:uid="{00000000-0005-0000-0000-0000CC200000}"/>
    <cellStyle name="Note 2 2 3 4 2" xfId="4067" xr:uid="{00000000-0005-0000-0000-0000CD200000}"/>
    <cellStyle name="Note 2 2 3 4 2 2" xfId="8289" xr:uid="{00000000-0005-0000-0000-0000CE200000}"/>
    <cellStyle name="Note 2 2 3 4 2 2 2" xfId="17615" xr:uid="{79BC20A1-2C2F-4CC7-9B19-B80AE5055AEA}"/>
    <cellStyle name="Note 2 2 3 4 2 3" xfId="13398" xr:uid="{E6A5F19A-000E-406F-8D54-55CEAB37C050}"/>
    <cellStyle name="Note 2 2 3 4 3" xfId="6144" xr:uid="{00000000-0005-0000-0000-0000CF200000}"/>
    <cellStyle name="Note 2 2 3 4 3 2" xfId="15470" xr:uid="{FB62CC31-E014-48AA-AC59-05D355064FB9}"/>
    <cellStyle name="Note 2 2 3 4 4" xfId="11253" xr:uid="{EE1E0A0A-8192-4634-8FFF-76B03B653E05}"/>
    <cellStyle name="Note 2 2 3 5" xfId="2251" xr:uid="{00000000-0005-0000-0000-0000D0200000}"/>
    <cellStyle name="Note 2 2 3 5 2" xfId="4480" xr:uid="{00000000-0005-0000-0000-0000D1200000}"/>
    <cellStyle name="Note 2 2 3 5 2 2" xfId="8702" xr:uid="{00000000-0005-0000-0000-0000D2200000}"/>
    <cellStyle name="Note 2 2 3 5 2 2 2" xfId="18028" xr:uid="{95DC9718-7752-458D-8CA6-C39D40F68DDB}"/>
    <cellStyle name="Note 2 2 3 5 2 3" xfId="13811" xr:uid="{B8B8DBA7-3CE6-450C-BFC2-32D82EE1DC96}"/>
    <cellStyle name="Note 2 2 3 5 3" xfId="6557" xr:uid="{00000000-0005-0000-0000-0000D3200000}"/>
    <cellStyle name="Note 2 2 3 5 3 2" xfId="15883" xr:uid="{9C809E9D-60D7-4369-B1E8-0D212C6BD5FF}"/>
    <cellStyle name="Note 2 2 3 5 4" xfId="11666" xr:uid="{351A2ABD-A110-4AAD-AA80-75206D034A2B}"/>
    <cellStyle name="Note 2 2 3 6" xfId="2687" xr:uid="{00000000-0005-0000-0000-0000D4200000}"/>
    <cellStyle name="Note 2 2 3 6 2" xfId="6970" xr:uid="{00000000-0005-0000-0000-0000D5200000}"/>
    <cellStyle name="Note 2 2 3 6 2 2" xfId="16296" xr:uid="{CE0DF0C5-519A-4C4B-88DF-A8B34C34B75A}"/>
    <cellStyle name="Note 2 2 3 6 3" xfId="12079" xr:uid="{4CB4CDCF-645A-4ED6-B5CF-B507F2D9ED29}"/>
    <cellStyle name="Note 2 2 3 7" xfId="2746" xr:uid="{00000000-0005-0000-0000-0000D6200000}"/>
    <cellStyle name="Note 2 2 3 8" xfId="2827" xr:uid="{00000000-0005-0000-0000-0000D7200000}"/>
    <cellStyle name="Note 2 2 3 8 2" xfId="7050" xr:uid="{00000000-0005-0000-0000-0000D8200000}"/>
    <cellStyle name="Note 2 2 3 8 2 2" xfId="16376" xr:uid="{F246C7D8-8855-471D-BCD0-74F135D95C58}"/>
    <cellStyle name="Note 2 2 3 8 3" xfId="12159" xr:uid="{461ED6A5-7B0F-4548-A92B-F3FACD468C15}"/>
    <cellStyle name="Note 2 2 3 9" xfId="4905" xr:uid="{00000000-0005-0000-0000-0000D9200000}"/>
    <cellStyle name="Note 2 2 3 9 2" xfId="14231" xr:uid="{39392587-705D-4945-BC60-1D795438B933}"/>
    <cellStyle name="Note 2 2 4" xfId="1006" xr:uid="{00000000-0005-0000-0000-0000DA200000}"/>
    <cellStyle name="Note 2 2 4 2" xfId="3238" xr:uid="{00000000-0005-0000-0000-0000DB200000}"/>
    <cellStyle name="Note 2 2 4 2 2" xfId="7460" xr:uid="{00000000-0005-0000-0000-0000DC200000}"/>
    <cellStyle name="Note 2 2 4 2 2 2" xfId="16786" xr:uid="{413723F8-ABB4-4876-BA48-F9E0C07CE2F3}"/>
    <cellStyle name="Note 2 2 4 2 3" xfId="12569" xr:uid="{8DAFEF95-F189-4639-9CA1-BD46F142A232}"/>
    <cellStyle name="Note 2 2 4 3" xfId="5315" xr:uid="{00000000-0005-0000-0000-0000DD200000}"/>
    <cellStyle name="Note 2 2 4 3 2" xfId="14641" xr:uid="{4008A376-DCC1-45B7-A8F4-F4FB8F56ED5F}"/>
    <cellStyle name="Note 2 2 4 4" xfId="9266" xr:uid="{8B6F7B8D-50FA-47DA-836F-17B0F9492E54}"/>
    <cellStyle name="Note 2 2 4 4 2" xfId="18581" xr:uid="{046A1C28-46F0-4676-B73B-051AEA8E67C3}"/>
    <cellStyle name="Note 2 2 4 5" xfId="10424" xr:uid="{2AC2701E-E0DF-4C20-BB2D-9D4D1F5E111B}"/>
    <cellStyle name="Note 2 2 5" xfId="1421" xr:uid="{00000000-0005-0000-0000-0000DE200000}"/>
    <cellStyle name="Note 2 2 5 2" xfId="3651" xr:uid="{00000000-0005-0000-0000-0000DF200000}"/>
    <cellStyle name="Note 2 2 5 2 2" xfId="7873" xr:uid="{00000000-0005-0000-0000-0000E0200000}"/>
    <cellStyle name="Note 2 2 5 2 2 2" xfId="17199" xr:uid="{B2FF35F5-F589-4159-BADE-2970CD9935BD}"/>
    <cellStyle name="Note 2 2 5 2 3" xfId="12982" xr:uid="{0F06BE27-0BE8-42A8-9FFB-0C0345F48CF2}"/>
    <cellStyle name="Note 2 2 5 3" xfId="5728" xr:uid="{00000000-0005-0000-0000-0000E1200000}"/>
    <cellStyle name="Note 2 2 5 3 2" xfId="15054" xr:uid="{169AFABC-ABBE-41E9-99D8-6A6C4CD936F0}"/>
    <cellStyle name="Note 2 2 5 4" xfId="10837" xr:uid="{6571C489-C707-40C7-A367-37CE22D834F8}"/>
    <cellStyle name="Note 2 2 6" xfId="1835" xr:uid="{00000000-0005-0000-0000-0000E2200000}"/>
    <cellStyle name="Note 2 2 6 2" xfId="4064" xr:uid="{00000000-0005-0000-0000-0000E3200000}"/>
    <cellStyle name="Note 2 2 6 2 2" xfId="8286" xr:uid="{00000000-0005-0000-0000-0000E4200000}"/>
    <cellStyle name="Note 2 2 6 2 2 2" xfId="17612" xr:uid="{478BB62D-188C-4B0A-B319-5832C0B3F3BE}"/>
    <cellStyle name="Note 2 2 6 2 3" xfId="13395" xr:uid="{39B01C46-6754-49C2-8ED3-0E4DCD29AB75}"/>
    <cellStyle name="Note 2 2 6 3" xfId="6141" xr:uid="{00000000-0005-0000-0000-0000E5200000}"/>
    <cellStyle name="Note 2 2 6 3 2" xfId="15467" xr:uid="{1F65EB8F-9148-4315-A75E-838C0C6FDAB7}"/>
    <cellStyle name="Note 2 2 6 4" xfId="11250" xr:uid="{6AEC0EF9-F194-4B6D-B78C-DED450256D88}"/>
    <cellStyle name="Note 2 2 7" xfId="2248" xr:uid="{00000000-0005-0000-0000-0000E6200000}"/>
    <cellStyle name="Note 2 2 7 2" xfId="4477" xr:uid="{00000000-0005-0000-0000-0000E7200000}"/>
    <cellStyle name="Note 2 2 7 2 2" xfId="8699" xr:uid="{00000000-0005-0000-0000-0000E8200000}"/>
    <cellStyle name="Note 2 2 7 2 2 2" xfId="18025" xr:uid="{EBC34943-3D90-4BF6-B47B-8DF6E8895EAE}"/>
    <cellStyle name="Note 2 2 7 2 3" xfId="13808" xr:uid="{3E2A91E9-7E35-46D3-8665-2B2D397606B0}"/>
    <cellStyle name="Note 2 2 7 3" xfId="6554" xr:uid="{00000000-0005-0000-0000-0000E9200000}"/>
    <cellStyle name="Note 2 2 7 3 2" xfId="15880" xr:uid="{A48BFF70-26F2-4FD9-83CD-D0EABE341CDF}"/>
    <cellStyle name="Note 2 2 7 4" xfId="11663" xr:uid="{BE715379-9501-4AB5-9BA1-5737C15071CC}"/>
    <cellStyle name="Note 2 2 8" xfId="2684" xr:uid="{00000000-0005-0000-0000-0000EA200000}"/>
    <cellStyle name="Note 2 2 8 2" xfId="6967" xr:uid="{00000000-0005-0000-0000-0000EB200000}"/>
    <cellStyle name="Note 2 2 8 2 2" xfId="16293" xr:uid="{7577B9E7-2CAB-4198-A50E-64F967E20C20}"/>
    <cellStyle name="Note 2 2 8 3" xfId="12076" xr:uid="{7591CA29-01CE-4622-BF63-91E4CD13F3A2}"/>
    <cellStyle name="Note 2 2 9" xfId="2743" xr:uid="{00000000-0005-0000-0000-0000EC200000}"/>
    <cellStyle name="Note 2 3" xfId="549" xr:uid="{00000000-0005-0000-0000-0000ED200000}"/>
    <cellStyle name="Note 2 3 10" xfId="4906" xr:uid="{00000000-0005-0000-0000-0000EE200000}"/>
    <cellStyle name="Note 2 3 10 2" xfId="14232" xr:uid="{FF91C63C-9A2B-4C88-8CFE-5E7A0222D73E}"/>
    <cellStyle name="Note 2 3 11" xfId="8894" xr:uid="{2BFFE8D0-DA42-4876-8895-58F80713E965}"/>
    <cellStyle name="Note 2 3 11 2" xfId="18218" xr:uid="{8BE7F6CA-5A2C-41C0-AA16-DCDA63C84A47}"/>
    <cellStyle name="Note 2 3 12" xfId="10015" xr:uid="{32EF4E62-3A15-48EB-9F65-A92B4175D882}"/>
    <cellStyle name="Note 2 3 2" xfId="550" xr:uid="{00000000-0005-0000-0000-0000EF200000}"/>
    <cellStyle name="Note 2 3 2 10" xfId="9101" xr:uid="{1822EEA2-225E-465E-B4CD-D4615440EC62}"/>
    <cellStyle name="Note 2 3 2 10 2" xfId="18425" xr:uid="{75185539-B76A-4801-8B67-60094691BAF2}"/>
    <cellStyle name="Note 2 3 2 11" xfId="10016" xr:uid="{8AEEEDB8-FA25-4BD6-997D-C37ED6683508}"/>
    <cellStyle name="Note 2 3 2 2" xfId="1011" xr:uid="{00000000-0005-0000-0000-0000F0200000}"/>
    <cellStyle name="Note 2 3 2 2 2" xfId="3243" xr:uid="{00000000-0005-0000-0000-0000F1200000}"/>
    <cellStyle name="Note 2 3 2 2 2 2" xfId="7465" xr:uid="{00000000-0005-0000-0000-0000F2200000}"/>
    <cellStyle name="Note 2 3 2 2 2 2 2" xfId="16791" xr:uid="{E6FB1C2E-FD8A-4D48-ACB7-298FF5516E03}"/>
    <cellStyle name="Note 2 3 2 2 2 3" xfId="12574" xr:uid="{EAC8BB71-591F-4164-BA2D-4874ECBA7415}"/>
    <cellStyle name="Note 2 3 2 2 3" xfId="5320" xr:uid="{00000000-0005-0000-0000-0000F3200000}"/>
    <cellStyle name="Note 2 3 2 2 3 2" xfId="14646" xr:uid="{D5A012FD-01E6-4D52-BCD8-3CEF9328BD36}"/>
    <cellStyle name="Note 2 3 2 2 4" xfId="9526" xr:uid="{1C428179-0C82-4F5D-9FE4-E11D597F9E89}"/>
    <cellStyle name="Note 2 3 2 2 4 2" xfId="18841" xr:uid="{ACBF3150-BF23-454C-9B61-F8DD1AB8EAFB}"/>
    <cellStyle name="Note 2 3 2 2 5" xfId="10429" xr:uid="{9BCA2084-64DF-463D-88D3-33B2982F52DD}"/>
    <cellStyle name="Note 2 3 2 3" xfId="1426" xr:uid="{00000000-0005-0000-0000-0000F4200000}"/>
    <cellStyle name="Note 2 3 2 3 2" xfId="3656" xr:uid="{00000000-0005-0000-0000-0000F5200000}"/>
    <cellStyle name="Note 2 3 2 3 2 2" xfId="7878" xr:uid="{00000000-0005-0000-0000-0000F6200000}"/>
    <cellStyle name="Note 2 3 2 3 2 2 2" xfId="17204" xr:uid="{EFF8CABA-8AF9-4C09-AEA2-E9ADACDC0FC3}"/>
    <cellStyle name="Note 2 3 2 3 2 3" xfId="12987" xr:uid="{0FD2E6EF-029B-489C-BC9C-81E49704E632}"/>
    <cellStyle name="Note 2 3 2 3 3" xfId="5733" xr:uid="{00000000-0005-0000-0000-0000F7200000}"/>
    <cellStyle name="Note 2 3 2 3 3 2" xfId="15059" xr:uid="{93C2D766-5D99-4CA9-AAA7-96ED6422A29E}"/>
    <cellStyle name="Note 2 3 2 3 4" xfId="10842" xr:uid="{2EE22506-A61F-4BD7-8D41-ECE009DFC586}"/>
    <cellStyle name="Note 2 3 2 4" xfId="1840" xr:uid="{00000000-0005-0000-0000-0000F8200000}"/>
    <cellStyle name="Note 2 3 2 4 2" xfId="4069" xr:uid="{00000000-0005-0000-0000-0000F9200000}"/>
    <cellStyle name="Note 2 3 2 4 2 2" xfId="8291" xr:uid="{00000000-0005-0000-0000-0000FA200000}"/>
    <cellStyle name="Note 2 3 2 4 2 2 2" xfId="17617" xr:uid="{14A8D6A0-242A-427E-9446-7A23251C5E43}"/>
    <cellStyle name="Note 2 3 2 4 2 3" xfId="13400" xr:uid="{08D74758-FB15-4327-B13A-1A898BB97700}"/>
    <cellStyle name="Note 2 3 2 4 3" xfId="6146" xr:uid="{00000000-0005-0000-0000-0000FB200000}"/>
    <cellStyle name="Note 2 3 2 4 3 2" xfId="15472" xr:uid="{CD898C88-3495-4277-9398-C275C30C93C8}"/>
    <cellStyle name="Note 2 3 2 4 4" xfId="11255" xr:uid="{7B92647C-52E5-4267-8D33-D3C4FD842B62}"/>
    <cellStyle name="Note 2 3 2 5" xfId="2253" xr:uid="{00000000-0005-0000-0000-0000FC200000}"/>
    <cellStyle name="Note 2 3 2 5 2" xfId="4482" xr:uid="{00000000-0005-0000-0000-0000FD200000}"/>
    <cellStyle name="Note 2 3 2 5 2 2" xfId="8704" xr:uid="{00000000-0005-0000-0000-0000FE200000}"/>
    <cellStyle name="Note 2 3 2 5 2 2 2" xfId="18030" xr:uid="{DE4402C9-CD7A-4FB2-A10F-AE2543B2673D}"/>
    <cellStyle name="Note 2 3 2 5 2 3" xfId="13813" xr:uid="{118AF2F1-8506-4105-ADD0-89FD493FF4A7}"/>
    <cellStyle name="Note 2 3 2 5 3" xfId="6559" xr:uid="{00000000-0005-0000-0000-0000FF200000}"/>
    <cellStyle name="Note 2 3 2 5 3 2" xfId="15885" xr:uid="{18255C74-167A-46A4-9EF5-7F47387E1CA1}"/>
    <cellStyle name="Note 2 3 2 5 4" xfId="11668" xr:uid="{C1FC656C-90F2-4EE0-93E6-D5AEE2D5C7E9}"/>
    <cellStyle name="Note 2 3 2 6" xfId="2689" xr:uid="{00000000-0005-0000-0000-000000210000}"/>
    <cellStyle name="Note 2 3 2 6 2" xfId="6972" xr:uid="{00000000-0005-0000-0000-000001210000}"/>
    <cellStyle name="Note 2 3 2 6 2 2" xfId="16298" xr:uid="{B7BC6E32-2754-4B43-9F0B-8193E77ADBC2}"/>
    <cellStyle name="Note 2 3 2 6 3" xfId="12081" xr:uid="{9D714AD5-C573-4B91-8FFF-815D461C40BA}"/>
    <cellStyle name="Note 2 3 2 7" xfId="2748" xr:uid="{00000000-0005-0000-0000-000002210000}"/>
    <cellStyle name="Note 2 3 2 8" xfId="2829" xr:uid="{00000000-0005-0000-0000-000003210000}"/>
    <cellStyle name="Note 2 3 2 8 2" xfId="7052" xr:uid="{00000000-0005-0000-0000-000004210000}"/>
    <cellStyle name="Note 2 3 2 8 2 2" xfId="16378" xr:uid="{A99D5736-0517-42DE-8917-E690DC1BF5D9}"/>
    <cellStyle name="Note 2 3 2 8 3" xfId="12161" xr:uid="{ABB1556A-DFDF-409C-95B5-696ADFAAE119}"/>
    <cellStyle name="Note 2 3 2 9" xfId="4907" xr:uid="{00000000-0005-0000-0000-000005210000}"/>
    <cellStyle name="Note 2 3 2 9 2" xfId="14233" xr:uid="{CC3EDC9E-9EC1-49A5-93B0-F54EA7DD41B7}"/>
    <cellStyle name="Note 2 3 3" xfId="1010" xr:uid="{00000000-0005-0000-0000-000006210000}"/>
    <cellStyle name="Note 2 3 3 2" xfId="3242" xr:uid="{00000000-0005-0000-0000-000007210000}"/>
    <cellStyle name="Note 2 3 3 2 2" xfId="7464" xr:uid="{00000000-0005-0000-0000-000008210000}"/>
    <cellStyle name="Note 2 3 3 2 2 2" xfId="16790" xr:uid="{9AFD836D-C530-4079-B925-EB096B72D2F4}"/>
    <cellStyle name="Note 2 3 3 2 3" xfId="12573" xr:uid="{AF20FF01-A3F1-4DF5-AE34-321C4C3F1530}"/>
    <cellStyle name="Note 2 3 3 3" xfId="5319" xr:uid="{00000000-0005-0000-0000-000009210000}"/>
    <cellStyle name="Note 2 3 3 3 2" xfId="14645" xr:uid="{A8E0B772-5903-46C2-94CA-9D3C5A8764A8}"/>
    <cellStyle name="Note 2 3 3 4" xfId="9319" xr:uid="{06E4A3C6-5CAA-4424-B4C3-41162F21AE7D}"/>
    <cellStyle name="Note 2 3 3 4 2" xfId="18634" xr:uid="{AA680E91-A939-40B1-8FC0-44C2CF27A015}"/>
    <cellStyle name="Note 2 3 3 5" xfId="10428" xr:uid="{A55D96B5-BC42-4075-90F9-9A41DB3207FF}"/>
    <cellStyle name="Note 2 3 4" xfId="1425" xr:uid="{00000000-0005-0000-0000-00000A210000}"/>
    <cellStyle name="Note 2 3 4 2" xfId="3655" xr:uid="{00000000-0005-0000-0000-00000B210000}"/>
    <cellStyle name="Note 2 3 4 2 2" xfId="7877" xr:uid="{00000000-0005-0000-0000-00000C210000}"/>
    <cellStyle name="Note 2 3 4 2 2 2" xfId="17203" xr:uid="{82888F1A-4AD3-4C26-A424-317E12B5199A}"/>
    <cellStyle name="Note 2 3 4 2 3" xfId="12986" xr:uid="{12B8542A-965B-40BC-BB4E-D7655596D786}"/>
    <cellStyle name="Note 2 3 4 3" xfId="5732" xr:uid="{00000000-0005-0000-0000-00000D210000}"/>
    <cellStyle name="Note 2 3 4 3 2" xfId="15058" xr:uid="{B60DC72C-C24E-4312-8F7B-83306B93334A}"/>
    <cellStyle name="Note 2 3 4 4" xfId="10841" xr:uid="{EA7EEBDD-E23C-44E2-BEFE-CB9FAB944731}"/>
    <cellStyle name="Note 2 3 5" xfId="1839" xr:uid="{00000000-0005-0000-0000-00000E210000}"/>
    <cellStyle name="Note 2 3 5 2" xfId="4068" xr:uid="{00000000-0005-0000-0000-00000F210000}"/>
    <cellStyle name="Note 2 3 5 2 2" xfId="8290" xr:uid="{00000000-0005-0000-0000-000010210000}"/>
    <cellStyle name="Note 2 3 5 2 2 2" xfId="17616" xr:uid="{113A60EA-6E3A-45FC-934D-647185D2BBA3}"/>
    <cellStyle name="Note 2 3 5 2 3" xfId="13399" xr:uid="{21A059CB-D2CD-415A-BA08-932AE5D6C6BE}"/>
    <cellStyle name="Note 2 3 5 3" xfId="6145" xr:uid="{00000000-0005-0000-0000-000011210000}"/>
    <cellStyle name="Note 2 3 5 3 2" xfId="15471" xr:uid="{FA7E3926-E01C-48FE-9BB6-BCC740B7EED6}"/>
    <cellStyle name="Note 2 3 5 4" xfId="11254" xr:uid="{6D6E0CEC-47D2-4184-B569-06FB2CA66EF2}"/>
    <cellStyle name="Note 2 3 6" xfId="2252" xr:uid="{00000000-0005-0000-0000-000012210000}"/>
    <cellStyle name="Note 2 3 6 2" xfId="4481" xr:uid="{00000000-0005-0000-0000-000013210000}"/>
    <cellStyle name="Note 2 3 6 2 2" xfId="8703" xr:uid="{00000000-0005-0000-0000-000014210000}"/>
    <cellStyle name="Note 2 3 6 2 2 2" xfId="18029" xr:uid="{3C9E714E-8668-4747-BA45-0D8E881AFDB1}"/>
    <cellStyle name="Note 2 3 6 2 3" xfId="13812" xr:uid="{6A6B0B84-A490-44E7-B071-B999E366A6F1}"/>
    <cellStyle name="Note 2 3 6 3" xfId="6558" xr:uid="{00000000-0005-0000-0000-000015210000}"/>
    <cellStyle name="Note 2 3 6 3 2" xfId="15884" xr:uid="{CA8ED2BC-E388-4C7A-BBC1-9AF5480D1DB5}"/>
    <cellStyle name="Note 2 3 6 4" xfId="11667" xr:uid="{01930803-C7DD-4B76-A6DB-7536AF19EE48}"/>
    <cellStyle name="Note 2 3 7" xfId="2688" xr:uid="{00000000-0005-0000-0000-000016210000}"/>
    <cellStyle name="Note 2 3 7 2" xfId="6971" xr:uid="{00000000-0005-0000-0000-000017210000}"/>
    <cellStyle name="Note 2 3 7 2 2" xfId="16297" xr:uid="{D4BDD784-39A9-4344-818F-5C71073E5CD0}"/>
    <cellStyle name="Note 2 3 7 3" xfId="12080" xr:uid="{7F6BC31B-1956-4E42-8BDA-357D35C86E5E}"/>
    <cellStyle name="Note 2 3 8" xfId="2747" xr:uid="{00000000-0005-0000-0000-000018210000}"/>
    <cellStyle name="Note 2 3 9" xfId="2828" xr:uid="{00000000-0005-0000-0000-000019210000}"/>
    <cellStyle name="Note 2 3 9 2" xfId="7051" xr:uid="{00000000-0005-0000-0000-00001A210000}"/>
    <cellStyle name="Note 2 3 9 2 2" xfId="16377" xr:uid="{5A057BE1-C1CE-4D25-93CF-DF6D3046233D}"/>
    <cellStyle name="Note 2 3 9 3" xfId="12160" xr:uid="{C7FE8BEC-55D6-4FFB-98E1-61DB6CD18691}"/>
    <cellStyle name="Note 2 4" xfId="551" xr:uid="{00000000-0005-0000-0000-00001B210000}"/>
    <cellStyle name="Note 2 4 10" xfId="8998" xr:uid="{AC87C288-14A9-4FB3-A26C-1706964E6651}"/>
    <cellStyle name="Note 2 4 10 2" xfId="18322" xr:uid="{529D35CA-D4A8-4A43-AA87-386777A6F52F}"/>
    <cellStyle name="Note 2 4 11" xfId="10017" xr:uid="{F4309796-1CC0-4434-AE57-A7B88A15C82C}"/>
    <cellStyle name="Note 2 4 2" xfId="1012" xr:uid="{00000000-0005-0000-0000-00001C210000}"/>
    <cellStyle name="Note 2 4 2 2" xfId="3244" xr:uid="{00000000-0005-0000-0000-00001D210000}"/>
    <cellStyle name="Note 2 4 2 2 2" xfId="7466" xr:uid="{00000000-0005-0000-0000-00001E210000}"/>
    <cellStyle name="Note 2 4 2 2 2 2" xfId="16792" xr:uid="{52126247-18DC-4895-821F-44B7637D180F}"/>
    <cellStyle name="Note 2 4 2 2 3" xfId="12575" xr:uid="{0226C7BE-BB88-4BAF-85F9-130BD91FF92B}"/>
    <cellStyle name="Note 2 4 2 3" xfId="5321" xr:uid="{00000000-0005-0000-0000-00001F210000}"/>
    <cellStyle name="Note 2 4 2 3 2" xfId="14647" xr:uid="{60C649DF-E292-4325-99F7-352A442FE9FF}"/>
    <cellStyle name="Note 2 4 2 4" xfId="9423" xr:uid="{43B93802-BE55-43D9-BEBC-4095E3C1FF74}"/>
    <cellStyle name="Note 2 4 2 4 2" xfId="18738" xr:uid="{121E3757-9822-419A-BCBA-2B9989D1445D}"/>
    <cellStyle name="Note 2 4 2 5" xfId="10430" xr:uid="{29D69FA0-DBCA-48B4-A415-3CAF261794B2}"/>
    <cellStyle name="Note 2 4 3" xfId="1427" xr:uid="{00000000-0005-0000-0000-000020210000}"/>
    <cellStyle name="Note 2 4 3 2" xfId="3657" xr:uid="{00000000-0005-0000-0000-000021210000}"/>
    <cellStyle name="Note 2 4 3 2 2" xfId="7879" xr:uid="{00000000-0005-0000-0000-000022210000}"/>
    <cellStyle name="Note 2 4 3 2 2 2" xfId="17205" xr:uid="{1D18F3F9-52FF-4261-8425-C274F49AA0A5}"/>
    <cellStyle name="Note 2 4 3 2 3" xfId="12988" xr:uid="{1F5F5A8A-28D9-4FDA-AD10-CBD691C9B258}"/>
    <cellStyle name="Note 2 4 3 3" xfId="5734" xr:uid="{00000000-0005-0000-0000-000023210000}"/>
    <cellStyle name="Note 2 4 3 3 2" xfId="15060" xr:uid="{8AAB2198-A224-49A0-9613-003454303A31}"/>
    <cellStyle name="Note 2 4 3 4" xfId="10843" xr:uid="{A91C0AD7-5E2D-4790-ACF0-4E3CA3EC3BD0}"/>
    <cellStyle name="Note 2 4 4" xfId="1841" xr:uid="{00000000-0005-0000-0000-000024210000}"/>
    <cellStyle name="Note 2 4 4 2" xfId="4070" xr:uid="{00000000-0005-0000-0000-000025210000}"/>
    <cellStyle name="Note 2 4 4 2 2" xfId="8292" xr:uid="{00000000-0005-0000-0000-000026210000}"/>
    <cellStyle name="Note 2 4 4 2 2 2" xfId="17618" xr:uid="{D6EB88E6-B04F-433D-8190-A4D6740D8662}"/>
    <cellStyle name="Note 2 4 4 2 3" xfId="13401" xr:uid="{643A5CCB-DA1E-472C-B369-A0A921054C8D}"/>
    <cellStyle name="Note 2 4 4 3" xfId="6147" xr:uid="{00000000-0005-0000-0000-000027210000}"/>
    <cellStyle name="Note 2 4 4 3 2" xfId="15473" xr:uid="{499B784E-9E20-403D-9F0F-A555A1B1C029}"/>
    <cellStyle name="Note 2 4 4 4" xfId="11256" xr:uid="{F527EF5B-0D4B-49A4-9FCC-0502C7F1D202}"/>
    <cellStyle name="Note 2 4 5" xfId="2254" xr:uid="{00000000-0005-0000-0000-000028210000}"/>
    <cellStyle name="Note 2 4 5 2" xfId="4483" xr:uid="{00000000-0005-0000-0000-000029210000}"/>
    <cellStyle name="Note 2 4 5 2 2" xfId="8705" xr:uid="{00000000-0005-0000-0000-00002A210000}"/>
    <cellStyle name="Note 2 4 5 2 2 2" xfId="18031" xr:uid="{3EB6D53C-8810-4E60-AE28-EBD1D205568C}"/>
    <cellStyle name="Note 2 4 5 2 3" xfId="13814" xr:uid="{9834E3BC-7633-4D4E-B245-555AB5C026FD}"/>
    <cellStyle name="Note 2 4 5 3" xfId="6560" xr:uid="{00000000-0005-0000-0000-00002B210000}"/>
    <cellStyle name="Note 2 4 5 3 2" xfId="15886" xr:uid="{7383FEF7-95FD-4A05-A7B6-076EBD7A14E2}"/>
    <cellStyle name="Note 2 4 5 4" xfId="11669" xr:uid="{3D7306D1-235E-4C18-A443-629FDCF4C1E5}"/>
    <cellStyle name="Note 2 4 6" xfId="2690" xr:uid="{00000000-0005-0000-0000-00002C210000}"/>
    <cellStyle name="Note 2 4 6 2" xfId="6973" xr:uid="{00000000-0005-0000-0000-00002D210000}"/>
    <cellStyle name="Note 2 4 6 2 2" xfId="16299" xr:uid="{72939CB6-CB4A-489E-8D6A-DCCCA7261570}"/>
    <cellStyle name="Note 2 4 6 3" xfId="12082" xr:uid="{C9E84688-B432-4DDD-9174-AF91DC2AF5EE}"/>
    <cellStyle name="Note 2 4 7" xfId="2749" xr:uid="{00000000-0005-0000-0000-00002E210000}"/>
    <cellStyle name="Note 2 4 8" xfId="2830" xr:uid="{00000000-0005-0000-0000-00002F210000}"/>
    <cellStyle name="Note 2 4 8 2" xfId="7053" xr:uid="{00000000-0005-0000-0000-000030210000}"/>
    <cellStyle name="Note 2 4 8 2 2" xfId="16379" xr:uid="{1C0DB0E8-ABE6-4395-98E0-261C3195064E}"/>
    <cellStyle name="Note 2 4 8 3" xfId="12162" xr:uid="{B8D58212-E662-471A-8FD5-8F4B3CAB1A02}"/>
    <cellStyle name="Note 2 4 9" xfId="4908" xr:uid="{00000000-0005-0000-0000-000031210000}"/>
    <cellStyle name="Note 2 4 9 2" xfId="14234" xr:uid="{5E915B81-EC6A-458B-897F-5D7EAB00ED3F}"/>
    <cellStyle name="Note 2 5" xfId="552" xr:uid="{00000000-0005-0000-0000-000032210000}"/>
    <cellStyle name="Note 2 5 10" xfId="9215" xr:uid="{69947D86-0683-476F-9E74-96CA08091560}"/>
    <cellStyle name="Note 2 5 10 2" xfId="18531" xr:uid="{BF35E726-B0AF-4F37-9AF2-445ED31B5C7F}"/>
    <cellStyle name="Note 2 5 11" xfId="10018" xr:uid="{BE1C5C60-AC49-4E64-904F-E0DC74BB7DE5}"/>
    <cellStyle name="Note 2 5 2" xfId="1013" xr:uid="{00000000-0005-0000-0000-000033210000}"/>
    <cellStyle name="Note 2 5 2 2" xfId="3245" xr:uid="{00000000-0005-0000-0000-000034210000}"/>
    <cellStyle name="Note 2 5 2 2 2" xfId="7467" xr:uid="{00000000-0005-0000-0000-000035210000}"/>
    <cellStyle name="Note 2 5 2 2 2 2" xfId="16793" xr:uid="{E06D0E4A-6EC7-4B62-9AB0-3927D98769A5}"/>
    <cellStyle name="Note 2 5 2 2 3" xfId="12576" xr:uid="{BF75605B-4E2C-49E3-863B-22D800B01ACB}"/>
    <cellStyle name="Note 2 5 2 3" xfId="5322" xr:uid="{00000000-0005-0000-0000-000036210000}"/>
    <cellStyle name="Note 2 5 2 3 2" xfId="14648" xr:uid="{633EB641-2232-4487-B118-005BA2CB4D95}"/>
    <cellStyle name="Note 2 5 2 4" xfId="9610" xr:uid="{26530D10-1DF8-4FA4-8FC9-4C945AA92A94}"/>
    <cellStyle name="Note 2 5 2 4 2" xfId="18910" xr:uid="{F0E7D72D-267A-4296-BFB3-A464B7FBC623}"/>
    <cellStyle name="Note 2 5 2 5" xfId="10431" xr:uid="{2D994CD7-E2DF-4A96-B35D-05BD4A653F73}"/>
    <cellStyle name="Note 2 5 3" xfId="1428" xr:uid="{00000000-0005-0000-0000-000037210000}"/>
    <cellStyle name="Note 2 5 3 2" xfId="3658" xr:uid="{00000000-0005-0000-0000-000038210000}"/>
    <cellStyle name="Note 2 5 3 2 2" xfId="7880" xr:uid="{00000000-0005-0000-0000-000039210000}"/>
    <cellStyle name="Note 2 5 3 2 2 2" xfId="17206" xr:uid="{19DDA6F1-F217-46C2-B6C8-8F8446B730B5}"/>
    <cellStyle name="Note 2 5 3 2 3" xfId="12989" xr:uid="{F9D4C07D-EC56-4464-920B-1159FAD011C9}"/>
    <cellStyle name="Note 2 5 3 3" xfId="5735" xr:uid="{00000000-0005-0000-0000-00003A210000}"/>
    <cellStyle name="Note 2 5 3 3 2" xfId="15061" xr:uid="{653E57B8-FF78-4029-8005-4EEBD3715FC2}"/>
    <cellStyle name="Note 2 5 3 4" xfId="10844" xr:uid="{50A6C50E-B0DA-495F-9CF8-735A05588E2E}"/>
    <cellStyle name="Note 2 5 4" xfId="1842" xr:uid="{00000000-0005-0000-0000-00003B210000}"/>
    <cellStyle name="Note 2 5 4 2" xfId="4071" xr:uid="{00000000-0005-0000-0000-00003C210000}"/>
    <cellStyle name="Note 2 5 4 2 2" xfId="8293" xr:uid="{00000000-0005-0000-0000-00003D210000}"/>
    <cellStyle name="Note 2 5 4 2 2 2" xfId="17619" xr:uid="{C45D7625-D049-4FD1-925C-1BBE4AE205A2}"/>
    <cellStyle name="Note 2 5 4 2 3" xfId="13402" xr:uid="{E8BDA296-C053-4EA8-88EE-09090D9F9749}"/>
    <cellStyle name="Note 2 5 4 3" xfId="6148" xr:uid="{00000000-0005-0000-0000-00003E210000}"/>
    <cellStyle name="Note 2 5 4 3 2" xfId="15474" xr:uid="{6986E8CC-5670-4AB9-8D5C-374356B375E0}"/>
    <cellStyle name="Note 2 5 4 4" xfId="11257" xr:uid="{7DE18E57-EE0B-4C50-AE58-3CAF67924B32}"/>
    <cellStyle name="Note 2 5 5" xfId="2255" xr:uid="{00000000-0005-0000-0000-00003F210000}"/>
    <cellStyle name="Note 2 5 5 2" xfId="4484" xr:uid="{00000000-0005-0000-0000-000040210000}"/>
    <cellStyle name="Note 2 5 5 2 2" xfId="8706" xr:uid="{00000000-0005-0000-0000-000041210000}"/>
    <cellStyle name="Note 2 5 5 2 2 2" xfId="18032" xr:uid="{59855B9C-C7A9-41B4-8D0B-D744932297E5}"/>
    <cellStyle name="Note 2 5 5 2 3" xfId="13815" xr:uid="{C344EE40-8D1F-4CAD-B0D9-C560E1C5500D}"/>
    <cellStyle name="Note 2 5 5 3" xfId="6561" xr:uid="{00000000-0005-0000-0000-000042210000}"/>
    <cellStyle name="Note 2 5 5 3 2" xfId="15887" xr:uid="{681192FB-C593-4C07-A065-31F13C048A4B}"/>
    <cellStyle name="Note 2 5 5 4" xfId="11670" xr:uid="{61630240-FE1B-4791-975B-789B1BBB9F9C}"/>
    <cellStyle name="Note 2 5 6" xfId="2691" xr:uid="{00000000-0005-0000-0000-000043210000}"/>
    <cellStyle name="Note 2 5 6 2" xfId="6974" xr:uid="{00000000-0005-0000-0000-000044210000}"/>
    <cellStyle name="Note 2 5 6 2 2" xfId="16300" xr:uid="{50F88915-6E7D-49BD-BC60-9932F8C2CA77}"/>
    <cellStyle name="Note 2 5 6 3" xfId="12083" xr:uid="{105A8740-2121-4A10-ABCF-FD53B11F0E0E}"/>
    <cellStyle name="Note 2 5 7" xfId="2750" xr:uid="{00000000-0005-0000-0000-000045210000}"/>
    <cellStyle name="Note 2 5 8" xfId="2831" xr:uid="{00000000-0005-0000-0000-000046210000}"/>
    <cellStyle name="Note 2 5 8 2" xfId="7054" xr:uid="{00000000-0005-0000-0000-000047210000}"/>
    <cellStyle name="Note 2 5 8 2 2" xfId="16380" xr:uid="{7ED8F74B-2D7F-4C0F-8876-8825C114EB2B}"/>
    <cellStyle name="Note 2 5 8 3" xfId="12163" xr:uid="{81DE0CA5-649D-4E7C-96F5-6B736C7692B5}"/>
    <cellStyle name="Note 2 5 9" xfId="4909" xr:uid="{00000000-0005-0000-0000-000048210000}"/>
    <cellStyle name="Note 2 5 9 2" xfId="14235" xr:uid="{A7E5A717-DCCD-4BAD-8631-6A1F9F36F5EC}"/>
    <cellStyle name="Note 2 6" xfId="9587" xr:uid="{DE0DCBC9-1C06-4AD6-BDCF-10B3C6A625B6}"/>
    <cellStyle name="Note 2 7" xfId="8791" xr:uid="{7AC3614D-154D-4BB0-B207-B3151ECF2433}"/>
    <cellStyle name="Note 2 7 2" xfId="18115" xr:uid="{56BB1EF3-FF84-4602-9D50-EA217BCD631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81" xr:uid="{CDD63F32-CF09-4965-9349-8D2EEDAD177D}"/>
    <cellStyle name="Note 3 2 10 3" xfId="12164" xr:uid="{4FB7F869-89B0-43FD-92DB-6913A11B464B}"/>
    <cellStyle name="Note 3 2 11" xfId="4910" xr:uid="{00000000-0005-0000-0000-00004D210000}"/>
    <cellStyle name="Note 3 2 11 2" xfId="14236" xr:uid="{0AC3719B-45F0-414D-B3C9-598B4A340317}"/>
    <cellStyle name="Note 3 2 12" xfId="8842" xr:uid="{646587AC-B7A9-43E2-AC1E-1B77745805D8}"/>
    <cellStyle name="Note 3 2 12 2" xfId="18166" xr:uid="{4C6DC6A3-D11E-4DAA-88FE-FF5CEDE3A7C6}"/>
    <cellStyle name="Note 3 2 13" xfId="10019" xr:uid="{D4D1BDC2-239C-450D-A43C-7661ED51B25B}"/>
    <cellStyle name="Note 3 2 2" xfId="555" xr:uid="{00000000-0005-0000-0000-00004E210000}"/>
    <cellStyle name="Note 3 2 2 10" xfId="4911" xr:uid="{00000000-0005-0000-0000-00004F210000}"/>
    <cellStyle name="Note 3 2 2 10 2" xfId="14237" xr:uid="{86FFD1AD-6183-4FCA-BCFA-A169C5BF25AD}"/>
    <cellStyle name="Note 3 2 2 11" xfId="8945" xr:uid="{D320AF38-4F47-4266-9CB9-3BD7E15BFDAE}"/>
    <cellStyle name="Note 3 2 2 11 2" xfId="18269" xr:uid="{7E8BD9EA-D0D7-4D15-9EEC-CF563176C971}"/>
    <cellStyle name="Note 3 2 2 12" xfId="10020" xr:uid="{51FD9DE7-7767-4C17-BB3E-975DC3F603CF}"/>
    <cellStyle name="Note 3 2 2 2" xfId="556" xr:uid="{00000000-0005-0000-0000-000050210000}"/>
    <cellStyle name="Note 3 2 2 2 10" xfId="9152" xr:uid="{24874F5B-4700-44ED-9556-84C4E89A274D}"/>
    <cellStyle name="Note 3 2 2 2 10 2" xfId="18476" xr:uid="{EBEA5329-53E1-4320-BE7B-0ED604586038}"/>
    <cellStyle name="Note 3 2 2 2 11" xfId="10021" xr:uid="{59CB4E41-50EE-489E-915D-3651975228CB}"/>
    <cellStyle name="Note 3 2 2 2 2" xfId="1016" xr:uid="{00000000-0005-0000-0000-000051210000}"/>
    <cellStyle name="Note 3 2 2 2 2 2" xfId="3248" xr:uid="{00000000-0005-0000-0000-000052210000}"/>
    <cellStyle name="Note 3 2 2 2 2 2 2" xfId="7470" xr:uid="{00000000-0005-0000-0000-000053210000}"/>
    <cellStyle name="Note 3 2 2 2 2 2 2 2" xfId="16796" xr:uid="{B3BAE2E3-A7ED-4446-9D24-BF1277C39772}"/>
    <cellStyle name="Note 3 2 2 2 2 2 3" xfId="12579" xr:uid="{A1C3E21B-F7C8-40DF-8A73-BA01FCB1D4EB}"/>
    <cellStyle name="Note 3 2 2 2 2 3" xfId="5325" xr:uid="{00000000-0005-0000-0000-000054210000}"/>
    <cellStyle name="Note 3 2 2 2 2 3 2" xfId="14651" xr:uid="{6A95237E-45E2-47FE-B219-FD09CA1C0347}"/>
    <cellStyle name="Note 3 2 2 2 2 4" xfId="9577" xr:uid="{7C0C89D7-CA14-4942-89B2-D584AC810EDC}"/>
    <cellStyle name="Note 3 2 2 2 2 4 2" xfId="18892" xr:uid="{B4411CBC-0899-4381-8E7C-F280AB66EFB9}"/>
    <cellStyle name="Note 3 2 2 2 2 5" xfId="10434" xr:uid="{1E49CD5A-A394-4017-BBCF-BF606A9306F9}"/>
    <cellStyle name="Note 3 2 2 2 3" xfId="1431" xr:uid="{00000000-0005-0000-0000-000055210000}"/>
    <cellStyle name="Note 3 2 2 2 3 2" xfId="3661" xr:uid="{00000000-0005-0000-0000-000056210000}"/>
    <cellStyle name="Note 3 2 2 2 3 2 2" xfId="7883" xr:uid="{00000000-0005-0000-0000-000057210000}"/>
    <cellStyle name="Note 3 2 2 2 3 2 2 2" xfId="17209" xr:uid="{3142F09C-416B-4C19-B213-8436B6081369}"/>
    <cellStyle name="Note 3 2 2 2 3 2 3" xfId="12992" xr:uid="{8AE7E3AA-67EC-4399-A00C-9DC506C16255}"/>
    <cellStyle name="Note 3 2 2 2 3 3" xfId="5738" xr:uid="{00000000-0005-0000-0000-000058210000}"/>
    <cellStyle name="Note 3 2 2 2 3 3 2" xfId="15064" xr:uid="{B3080F0E-D562-4AC0-8354-8629D0665295}"/>
    <cellStyle name="Note 3 2 2 2 3 4" xfId="10847" xr:uid="{81503C25-E532-44EB-A7AD-A2F3A8513EBA}"/>
    <cellStyle name="Note 3 2 2 2 4" xfId="1845" xr:uid="{00000000-0005-0000-0000-000059210000}"/>
    <cellStyle name="Note 3 2 2 2 4 2" xfId="4074" xr:uid="{00000000-0005-0000-0000-00005A210000}"/>
    <cellStyle name="Note 3 2 2 2 4 2 2" xfId="8296" xr:uid="{00000000-0005-0000-0000-00005B210000}"/>
    <cellStyle name="Note 3 2 2 2 4 2 2 2" xfId="17622" xr:uid="{2BB5A54A-5140-428A-93D5-0584E74E35CB}"/>
    <cellStyle name="Note 3 2 2 2 4 2 3" xfId="13405" xr:uid="{7E5C71BC-02F8-431E-A831-8D3AEBD81A5A}"/>
    <cellStyle name="Note 3 2 2 2 4 3" xfId="6151" xr:uid="{00000000-0005-0000-0000-00005C210000}"/>
    <cellStyle name="Note 3 2 2 2 4 3 2" xfId="15477" xr:uid="{5D17426E-314D-45B0-9D62-14F7F0F66A7A}"/>
    <cellStyle name="Note 3 2 2 2 4 4" xfId="11260" xr:uid="{45D80B26-35CD-4506-B102-ABDDA4D4A9A6}"/>
    <cellStyle name="Note 3 2 2 2 5" xfId="2258" xr:uid="{00000000-0005-0000-0000-00005D210000}"/>
    <cellStyle name="Note 3 2 2 2 5 2" xfId="4487" xr:uid="{00000000-0005-0000-0000-00005E210000}"/>
    <cellStyle name="Note 3 2 2 2 5 2 2" xfId="8709" xr:uid="{00000000-0005-0000-0000-00005F210000}"/>
    <cellStyle name="Note 3 2 2 2 5 2 2 2" xfId="18035" xr:uid="{26F27461-612E-460C-83DD-D8212E9ECA91}"/>
    <cellStyle name="Note 3 2 2 2 5 2 3" xfId="13818" xr:uid="{BEE5ACE0-1D51-4865-BD77-BFE94C66F4DC}"/>
    <cellStyle name="Note 3 2 2 2 5 3" xfId="6564" xr:uid="{00000000-0005-0000-0000-000060210000}"/>
    <cellStyle name="Note 3 2 2 2 5 3 2" xfId="15890" xr:uid="{C81A0D84-CC83-472B-9029-56EE0AE8C5F9}"/>
    <cellStyle name="Note 3 2 2 2 5 4" xfId="11673" xr:uid="{DF9B4CCA-512E-496A-8820-6728ED92A768}"/>
    <cellStyle name="Note 3 2 2 2 6" xfId="2694" xr:uid="{00000000-0005-0000-0000-000061210000}"/>
    <cellStyle name="Note 3 2 2 2 6 2" xfId="6977" xr:uid="{00000000-0005-0000-0000-000062210000}"/>
    <cellStyle name="Note 3 2 2 2 6 2 2" xfId="16303" xr:uid="{BA3BCF99-8952-4D07-8ECA-A74E61E81910}"/>
    <cellStyle name="Note 3 2 2 2 6 3" xfId="12086" xr:uid="{7609248F-2688-4309-89DF-426FC1227FC8}"/>
    <cellStyle name="Note 3 2 2 2 7" xfId="2753" xr:uid="{00000000-0005-0000-0000-000063210000}"/>
    <cellStyle name="Note 3 2 2 2 8" xfId="2834" xr:uid="{00000000-0005-0000-0000-000064210000}"/>
    <cellStyle name="Note 3 2 2 2 8 2" xfId="7057" xr:uid="{00000000-0005-0000-0000-000065210000}"/>
    <cellStyle name="Note 3 2 2 2 8 2 2" xfId="16383" xr:uid="{0B453FF2-7374-4A59-A0ED-B0EEBD148E51}"/>
    <cellStyle name="Note 3 2 2 2 8 3" xfId="12166" xr:uid="{4A8D3E1D-5639-4599-BACF-45B4E4E720F7}"/>
    <cellStyle name="Note 3 2 2 2 9" xfId="4912" xr:uid="{00000000-0005-0000-0000-000066210000}"/>
    <cellStyle name="Note 3 2 2 2 9 2" xfId="14238" xr:uid="{012AA22D-3AC9-47CE-AB2E-A859866734BD}"/>
    <cellStyle name="Note 3 2 2 3" xfId="1015" xr:uid="{00000000-0005-0000-0000-000067210000}"/>
    <cellStyle name="Note 3 2 2 3 2" xfId="3247" xr:uid="{00000000-0005-0000-0000-000068210000}"/>
    <cellStyle name="Note 3 2 2 3 2 2" xfId="7469" xr:uid="{00000000-0005-0000-0000-000069210000}"/>
    <cellStyle name="Note 3 2 2 3 2 2 2" xfId="16795" xr:uid="{23B77DAD-987D-4444-9ED3-BD822DB323BE}"/>
    <cellStyle name="Note 3 2 2 3 2 3" xfId="12578" xr:uid="{AEC257F5-4235-4EFC-9FC3-5BFD139FEA88}"/>
    <cellStyle name="Note 3 2 2 3 3" xfId="5324" xr:uid="{00000000-0005-0000-0000-00006A210000}"/>
    <cellStyle name="Note 3 2 2 3 3 2" xfId="14650" xr:uid="{DDFF5054-295C-43B3-8910-A3C854E74D5E}"/>
    <cellStyle name="Note 3 2 2 3 4" xfId="9370" xr:uid="{7A803908-679B-4EF0-9BD4-89724B1FB321}"/>
    <cellStyle name="Note 3 2 2 3 4 2" xfId="18685" xr:uid="{CBACE280-5FDF-415C-8FFF-BF3C02B26E03}"/>
    <cellStyle name="Note 3 2 2 3 5" xfId="10433" xr:uid="{358ACCF2-02C9-4C9A-BF32-D1B51552502D}"/>
    <cellStyle name="Note 3 2 2 4" xfId="1430" xr:uid="{00000000-0005-0000-0000-00006B210000}"/>
    <cellStyle name="Note 3 2 2 4 2" xfId="3660" xr:uid="{00000000-0005-0000-0000-00006C210000}"/>
    <cellStyle name="Note 3 2 2 4 2 2" xfId="7882" xr:uid="{00000000-0005-0000-0000-00006D210000}"/>
    <cellStyle name="Note 3 2 2 4 2 2 2" xfId="17208" xr:uid="{058F7761-6971-471F-B162-4F3BAA703AE5}"/>
    <cellStyle name="Note 3 2 2 4 2 3" xfId="12991" xr:uid="{73B24F90-87DD-4449-B9F5-BD2E419F4BBE}"/>
    <cellStyle name="Note 3 2 2 4 3" xfId="5737" xr:uid="{00000000-0005-0000-0000-00006E210000}"/>
    <cellStyle name="Note 3 2 2 4 3 2" xfId="15063" xr:uid="{7A8ADC8B-BFDE-49CD-A736-291D160B8D3A}"/>
    <cellStyle name="Note 3 2 2 4 4" xfId="10846" xr:uid="{1B881EE4-8973-45FC-BF99-09B4A4BDC263}"/>
    <cellStyle name="Note 3 2 2 5" xfId="1844" xr:uid="{00000000-0005-0000-0000-00006F210000}"/>
    <cellStyle name="Note 3 2 2 5 2" xfId="4073" xr:uid="{00000000-0005-0000-0000-000070210000}"/>
    <cellStyle name="Note 3 2 2 5 2 2" xfId="8295" xr:uid="{00000000-0005-0000-0000-000071210000}"/>
    <cellStyle name="Note 3 2 2 5 2 2 2" xfId="17621" xr:uid="{2B1C2B98-B1B6-46A0-939D-1E4815E4095E}"/>
    <cellStyle name="Note 3 2 2 5 2 3" xfId="13404" xr:uid="{9BB5774E-B6AC-49DC-9533-0B939583C56A}"/>
    <cellStyle name="Note 3 2 2 5 3" xfId="6150" xr:uid="{00000000-0005-0000-0000-000072210000}"/>
    <cellStyle name="Note 3 2 2 5 3 2" xfId="15476" xr:uid="{291549B9-55ED-4BB8-B0B6-A58B0DB3DEBB}"/>
    <cellStyle name="Note 3 2 2 5 4" xfId="11259" xr:uid="{74D50A7E-3564-46D7-BA65-FB4C2EC52176}"/>
    <cellStyle name="Note 3 2 2 6" xfId="2257" xr:uid="{00000000-0005-0000-0000-000073210000}"/>
    <cellStyle name="Note 3 2 2 6 2" xfId="4486" xr:uid="{00000000-0005-0000-0000-000074210000}"/>
    <cellStyle name="Note 3 2 2 6 2 2" xfId="8708" xr:uid="{00000000-0005-0000-0000-000075210000}"/>
    <cellStyle name="Note 3 2 2 6 2 2 2" xfId="18034" xr:uid="{F45B791A-0EBF-4419-826D-96A19DE23040}"/>
    <cellStyle name="Note 3 2 2 6 2 3" xfId="13817" xr:uid="{28DB5263-DBF2-4B49-B674-FD0046C5D02D}"/>
    <cellStyle name="Note 3 2 2 6 3" xfId="6563" xr:uid="{00000000-0005-0000-0000-000076210000}"/>
    <cellStyle name="Note 3 2 2 6 3 2" xfId="15889" xr:uid="{45E260AF-3352-4F19-9102-E53383C4E58B}"/>
    <cellStyle name="Note 3 2 2 6 4" xfId="11672" xr:uid="{3CD5D853-C25E-4DA4-A254-04ECB4867B37}"/>
    <cellStyle name="Note 3 2 2 7" xfId="2693" xr:uid="{00000000-0005-0000-0000-000077210000}"/>
    <cellStyle name="Note 3 2 2 7 2" xfId="6976" xr:uid="{00000000-0005-0000-0000-000078210000}"/>
    <cellStyle name="Note 3 2 2 7 2 2" xfId="16302" xr:uid="{90210F5C-733C-4EB9-99E8-2109BB6FE74B}"/>
    <cellStyle name="Note 3 2 2 7 3" xfId="12085" xr:uid="{6B75AF06-ACCD-4508-8A07-03B02D24E12F}"/>
    <cellStyle name="Note 3 2 2 8" xfId="2752" xr:uid="{00000000-0005-0000-0000-000079210000}"/>
    <cellStyle name="Note 3 2 2 9" xfId="2833" xr:uid="{00000000-0005-0000-0000-00007A210000}"/>
    <cellStyle name="Note 3 2 2 9 2" xfId="7056" xr:uid="{00000000-0005-0000-0000-00007B210000}"/>
    <cellStyle name="Note 3 2 2 9 2 2" xfId="16382" xr:uid="{37A5A530-36A0-4D5A-AD75-49B9C8711669}"/>
    <cellStyle name="Note 3 2 2 9 3" xfId="12165" xr:uid="{4F3E68CF-AF1B-4C73-89D4-5AE09CF36D01}"/>
    <cellStyle name="Note 3 2 3" xfId="557" xr:uid="{00000000-0005-0000-0000-00007C210000}"/>
    <cellStyle name="Note 3 2 3 10" xfId="9049" xr:uid="{98DA21AE-8EED-4AF2-A5D5-94394E9C9EFE}"/>
    <cellStyle name="Note 3 2 3 10 2" xfId="18373" xr:uid="{E45EF480-E32B-40D0-81E2-3EE74AFD25E6}"/>
    <cellStyle name="Note 3 2 3 11" xfId="10022" xr:uid="{3D36510A-2991-4BDE-883A-0794C6EDBB16}"/>
    <cellStyle name="Note 3 2 3 2" xfId="1017" xr:uid="{00000000-0005-0000-0000-00007D210000}"/>
    <cellStyle name="Note 3 2 3 2 2" xfId="3249" xr:uid="{00000000-0005-0000-0000-00007E210000}"/>
    <cellStyle name="Note 3 2 3 2 2 2" xfId="7471" xr:uid="{00000000-0005-0000-0000-00007F210000}"/>
    <cellStyle name="Note 3 2 3 2 2 2 2" xfId="16797" xr:uid="{2F20D507-856B-423E-9198-26EB1392AAAC}"/>
    <cellStyle name="Note 3 2 3 2 2 3" xfId="12580" xr:uid="{13D8BE37-3FAF-48F1-AA54-1803BEFAD035}"/>
    <cellStyle name="Note 3 2 3 2 3" xfId="5326" xr:uid="{00000000-0005-0000-0000-000080210000}"/>
    <cellStyle name="Note 3 2 3 2 3 2" xfId="14652" xr:uid="{39F25FD9-41C6-429D-AF7F-930830D3055F}"/>
    <cellStyle name="Note 3 2 3 2 4" xfId="9474" xr:uid="{8827394E-7DCF-4E58-BF45-94E8587F7D91}"/>
    <cellStyle name="Note 3 2 3 2 4 2" xfId="18789" xr:uid="{162DCBF0-DD66-432B-AF5A-F627B22A0F4D}"/>
    <cellStyle name="Note 3 2 3 2 5" xfId="10435" xr:uid="{F1E60E29-A8C1-4B53-8419-6056E4A14D61}"/>
    <cellStyle name="Note 3 2 3 3" xfId="1432" xr:uid="{00000000-0005-0000-0000-000081210000}"/>
    <cellStyle name="Note 3 2 3 3 2" xfId="3662" xr:uid="{00000000-0005-0000-0000-000082210000}"/>
    <cellStyle name="Note 3 2 3 3 2 2" xfId="7884" xr:uid="{00000000-0005-0000-0000-000083210000}"/>
    <cellStyle name="Note 3 2 3 3 2 2 2" xfId="17210" xr:uid="{2EDE4C1E-F3E2-43AF-8E2D-C7C7BA643B93}"/>
    <cellStyle name="Note 3 2 3 3 2 3" xfId="12993" xr:uid="{6D0A4AA2-C5A1-4556-AEA8-C44BF82C6FB8}"/>
    <cellStyle name="Note 3 2 3 3 3" xfId="5739" xr:uid="{00000000-0005-0000-0000-000084210000}"/>
    <cellStyle name="Note 3 2 3 3 3 2" xfId="15065" xr:uid="{6DCF0A52-B6FB-4123-8E17-38CB0AF14C07}"/>
    <cellStyle name="Note 3 2 3 3 4" xfId="10848" xr:uid="{FD4C52D2-CA9A-4607-AF30-3F64F91BFAC6}"/>
    <cellStyle name="Note 3 2 3 4" xfId="1846" xr:uid="{00000000-0005-0000-0000-000085210000}"/>
    <cellStyle name="Note 3 2 3 4 2" xfId="4075" xr:uid="{00000000-0005-0000-0000-000086210000}"/>
    <cellStyle name="Note 3 2 3 4 2 2" xfId="8297" xr:uid="{00000000-0005-0000-0000-000087210000}"/>
    <cellStyle name="Note 3 2 3 4 2 2 2" xfId="17623" xr:uid="{08517D17-71CF-4F73-9973-C302A4C64EEC}"/>
    <cellStyle name="Note 3 2 3 4 2 3" xfId="13406" xr:uid="{B82BECFF-3DE9-4B84-8497-BB73C91EF5C8}"/>
    <cellStyle name="Note 3 2 3 4 3" xfId="6152" xr:uid="{00000000-0005-0000-0000-000088210000}"/>
    <cellStyle name="Note 3 2 3 4 3 2" xfId="15478" xr:uid="{520F2A78-7567-474E-896C-B4F786325BE0}"/>
    <cellStyle name="Note 3 2 3 4 4" xfId="11261" xr:uid="{80C2731C-E28E-4F7B-AD4E-18BA1F6EC90D}"/>
    <cellStyle name="Note 3 2 3 5" xfId="2259" xr:uid="{00000000-0005-0000-0000-000089210000}"/>
    <cellStyle name="Note 3 2 3 5 2" xfId="4488" xr:uid="{00000000-0005-0000-0000-00008A210000}"/>
    <cellStyle name="Note 3 2 3 5 2 2" xfId="8710" xr:uid="{00000000-0005-0000-0000-00008B210000}"/>
    <cellStyle name="Note 3 2 3 5 2 2 2" xfId="18036" xr:uid="{4F6901E3-ED05-4A3F-B8DB-57F57396D3E4}"/>
    <cellStyle name="Note 3 2 3 5 2 3" xfId="13819" xr:uid="{BE371B3E-2D68-4F9D-990D-F62B3BAD85BF}"/>
    <cellStyle name="Note 3 2 3 5 3" xfId="6565" xr:uid="{00000000-0005-0000-0000-00008C210000}"/>
    <cellStyle name="Note 3 2 3 5 3 2" xfId="15891" xr:uid="{B415AD39-3AFF-4377-A7E3-34399F7C266C}"/>
    <cellStyle name="Note 3 2 3 5 4" xfId="11674" xr:uid="{8DAE021D-9F32-4763-BDFC-BE44D1A7CF54}"/>
    <cellStyle name="Note 3 2 3 6" xfId="2695" xr:uid="{00000000-0005-0000-0000-00008D210000}"/>
    <cellStyle name="Note 3 2 3 6 2" xfId="6978" xr:uid="{00000000-0005-0000-0000-00008E210000}"/>
    <cellStyle name="Note 3 2 3 6 2 2" xfId="16304" xr:uid="{59D213FC-171E-4444-8BC7-A318FE9EF5E9}"/>
    <cellStyle name="Note 3 2 3 6 3" xfId="12087" xr:uid="{09E2F5AE-C70A-4D75-90C9-C327014C7FCD}"/>
    <cellStyle name="Note 3 2 3 7" xfId="2754" xr:uid="{00000000-0005-0000-0000-00008F210000}"/>
    <cellStyle name="Note 3 2 3 8" xfId="2835" xr:uid="{00000000-0005-0000-0000-000090210000}"/>
    <cellStyle name="Note 3 2 3 8 2" xfId="7058" xr:uid="{00000000-0005-0000-0000-000091210000}"/>
    <cellStyle name="Note 3 2 3 8 2 2" xfId="16384" xr:uid="{5AE73B62-A9D0-498E-BE7D-F4BA4FD91E1E}"/>
    <cellStyle name="Note 3 2 3 8 3" xfId="12167" xr:uid="{D9E46BDB-62D9-4EA4-8323-5131DBC8BFF2}"/>
    <cellStyle name="Note 3 2 3 9" xfId="4913" xr:uid="{00000000-0005-0000-0000-000092210000}"/>
    <cellStyle name="Note 3 2 3 9 2" xfId="14239" xr:uid="{784215E3-B198-4855-9308-9B6D23F2DD6A}"/>
    <cellStyle name="Note 3 2 4" xfId="1014" xr:uid="{00000000-0005-0000-0000-000093210000}"/>
    <cellStyle name="Note 3 2 4 2" xfId="3246" xr:uid="{00000000-0005-0000-0000-000094210000}"/>
    <cellStyle name="Note 3 2 4 2 2" xfId="7468" xr:uid="{00000000-0005-0000-0000-000095210000}"/>
    <cellStyle name="Note 3 2 4 2 2 2" xfId="16794" xr:uid="{F5CA3F32-054F-4E55-99EC-71FFA78601DF}"/>
    <cellStyle name="Note 3 2 4 2 3" xfId="12577" xr:uid="{B9D71B65-D971-4E5E-9952-085CDA761681}"/>
    <cellStyle name="Note 3 2 4 3" xfId="5323" xr:uid="{00000000-0005-0000-0000-000096210000}"/>
    <cellStyle name="Note 3 2 4 3 2" xfId="14649" xr:uid="{1901C7CF-7D19-4FD6-AD91-BB91D396FF94}"/>
    <cellStyle name="Note 3 2 4 4" xfId="9267" xr:uid="{1291CED5-E18E-4F1A-8856-A132B18F5C81}"/>
    <cellStyle name="Note 3 2 4 4 2" xfId="18582" xr:uid="{4C849B4C-E610-4242-8D59-994B7B9126D6}"/>
    <cellStyle name="Note 3 2 4 5" xfId="10432" xr:uid="{EBAFAC02-DF4C-4265-B1F9-9FF56A38A8A0}"/>
    <cellStyle name="Note 3 2 5" xfId="1429" xr:uid="{00000000-0005-0000-0000-000097210000}"/>
    <cellStyle name="Note 3 2 5 2" xfId="3659" xr:uid="{00000000-0005-0000-0000-000098210000}"/>
    <cellStyle name="Note 3 2 5 2 2" xfId="7881" xr:uid="{00000000-0005-0000-0000-000099210000}"/>
    <cellStyle name="Note 3 2 5 2 2 2" xfId="17207" xr:uid="{8BF49AA6-DB9E-4A78-A20E-4BCD2557CB0B}"/>
    <cellStyle name="Note 3 2 5 2 3" xfId="12990" xr:uid="{777140AA-2C00-47EF-A65D-372F6FB3FDF3}"/>
    <cellStyle name="Note 3 2 5 3" xfId="5736" xr:uid="{00000000-0005-0000-0000-00009A210000}"/>
    <cellStyle name="Note 3 2 5 3 2" xfId="15062" xr:uid="{ADAAD319-386F-4099-A545-75113B583D17}"/>
    <cellStyle name="Note 3 2 5 4" xfId="10845" xr:uid="{6AB12A66-F493-4909-8B22-2E22FA65310E}"/>
    <cellStyle name="Note 3 2 6" xfId="1843" xr:uid="{00000000-0005-0000-0000-00009B210000}"/>
    <cellStyle name="Note 3 2 6 2" xfId="4072" xr:uid="{00000000-0005-0000-0000-00009C210000}"/>
    <cellStyle name="Note 3 2 6 2 2" xfId="8294" xr:uid="{00000000-0005-0000-0000-00009D210000}"/>
    <cellStyle name="Note 3 2 6 2 2 2" xfId="17620" xr:uid="{B9D57E69-0EB4-408A-B925-31541E7EE52A}"/>
    <cellStyle name="Note 3 2 6 2 3" xfId="13403" xr:uid="{E6AA89B0-6295-43C4-97FF-8063413FCE5A}"/>
    <cellStyle name="Note 3 2 6 3" xfId="6149" xr:uid="{00000000-0005-0000-0000-00009E210000}"/>
    <cellStyle name="Note 3 2 6 3 2" xfId="15475" xr:uid="{E97D5F7A-078D-4AE4-8029-F98CFF5E419F}"/>
    <cellStyle name="Note 3 2 6 4" xfId="11258" xr:uid="{BDFE1F69-F466-4AE9-88D8-99CB5017D0B3}"/>
    <cellStyle name="Note 3 2 7" xfId="2256" xr:uid="{00000000-0005-0000-0000-00009F210000}"/>
    <cellStyle name="Note 3 2 7 2" xfId="4485" xr:uid="{00000000-0005-0000-0000-0000A0210000}"/>
    <cellStyle name="Note 3 2 7 2 2" xfId="8707" xr:uid="{00000000-0005-0000-0000-0000A1210000}"/>
    <cellStyle name="Note 3 2 7 2 2 2" xfId="18033" xr:uid="{A71B6018-707C-4B88-BC10-9B121BAFAA4A}"/>
    <cellStyle name="Note 3 2 7 2 3" xfId="13816" xr:uid="{BBB6CA5D-ED0E-4FD3-94F9-CC6A59419302}"/>
    <cellStyle name="Note 3 2 7 3" xfId="6562" xr:uid="{00000000-0005-0000-0000-0000A2210000}"/>
    <cellStyle name="Note 3 2 7 3 2" xfId="15888" xr:uid="{6AD2AE05-73F6-4F0D-B8D5-24423DF63519}"/>
    <cellStyle name="Note 3 2 7 4" xfId="11671" xr:uid="{F206D30E-9A0C-4275-BAB8-5A8D52E77CE2}"/>
    <cellStyle name="Note 3 2 8" xfId="2692" xr:uid="{00000000-0005-0000-0000-0000A3210000}"/>
    <cellStyle name="Note 3 2 8 2" xfId="6975" xr:uid="{00000000-0005-0000-0000-0000A4210000}"/>
    <cellStyle name="Note 3 2 8 2 2" xfId="16301" xr:uid="{14343FFF-E286-488F-8E99-D00B6CE18BC4}"/>
    <cellStyle name="Note 3 2 8 3" xfId="12084" xr:uid="{A098B729-E9AA-4B57-A216-28851C664579}"/>
    <cellStyle name="Note 3 2 9" xfId="2751" xr:uid="{00000000-0005-0000-0000-0000A5210000}"/>
    <cellStyle name="Note 3 3" xfId="558" xr:uid="{00000000-0005-0000-0000-0000A6210000}"/>
    <cellStyle name="Note 3 3 10" xfId="4914" xr:uid="{00000000-0005-0000-0000-0000A7210000}"/>
    <cellStyle name="Note 3 3 10 2" xfId="14240" xr:uid="{AE3D064E-210F-49CB-9038-E59B7CFE57C7}"/>
    <cellStyle name="Note 3 3 11" xfId="8892" xr:uid="{8511F94A-7472-4DD0-A9AB-40754FEE5F47}"/>
    <cellStyle name="Note 3 3 11 2" xfId="18216" xr:uid="{27CDDE82-6EA2-4E02-90FF-8CC696419B30}"/>
    <cellStyle name="Note 3 3 12" xfId="10023" xr:uid="{5333AD9A-E73D-4A25-809D-1CBA9E7F275C}"/>
    <cellStyle name="Note 3 3 2" xfId="559" xr:uid="{00000000-0005-0000-0000-0000A8210000}"/>
    <cellStyle name="Note 3 3 2 10" xfId="9099" xr:uid="{29F3AC20-D296-4B59-BA53-0A5C025B0569}"/>
    <cellStyle name="Note 3 3 2 10 2" xfId="18423" xr:uid="{5B5754DF-F25D-4EBC-9259-7F993FAC9A23}"/>
    <cellStyle name="Note 3 3 2 11" xfId="10024" xr:uid="{7A2C16E1-DF7E-41D0-8083-8E4119FA0EE0}"/>
    <cellStyle name="Note 3 3 2 2" xfId="1019" xr:uid="{00000000-0005-0000-0000-0000A9210000}"/>
    <cellStyle name="Note 3 3 2 2 2" xfId="3251" xr:uid="{00000000-0005-0000-0000-0000AA210000}"/>
    <cellStyle name="Note 3 3 2 2 2 2" xfId="7473" xr:uid="{00000000-0005-0000-0000-0000AB210000}"/>
    <cellStyle name="Note 3 3 2 2 2 2 2" xfId="16799" xr:uid="{6C9484F3-5D9D-4BFC-B76E-8EE3F5D26454}"/>
    <cellStyle name="Note 3 3 2 2 2 3" xfId="12582" xr:uid="{BF5E5AEB-2D4E-4C84-81CD-3B3053FF2457}"/>
    <cellStyle name="Note 3 3 2 2 3" xfId="5328" xr:uid="{00000000-0005-0000-0000-0000AC210000}"/>
    <cellStyle name="Note 3 3 2 2 3 2" xfId="14654" xr:uid="{6DBDCE08-3728-4AF7-AE3F-8C668BBDEA77}"/>
    <cellStyle name="Note 3 3 2 2 4" xfId="9524" xr:uid="{D03F5DE7-D9AB-48C0-A1E3-0A929D2C18C5}"/>
    <cellStyle name="Note 3 3 2 2 4 2" xfId="18839" xr:uid="{55F9C11D-304A-4C79-B685-F31634E0A288}"/>
    <cellStyle name="Note 3 3 2 2 5" xfId="10437" xr:uid="{C89974E2-5D87-4C2A-9A53-48EC6BF25728}"/>
    <cellStyle name="Note 3 3 2 3" xfId="1434" xr:uid="{00000000-0005-0000-0000-0000AD210000}"/>
    <cellStyle name="Note 3 3 2 3 2" xfId="3664" xr:uid="{00000000-0005-0000-0000-0000AE210000}"/>
    <cellStyle name="Note 3 3 2 3 2 2" xfId="7886" xr:uid="{00000000-0005-0000-0000-0000AF210000}"/>
    <cellStyle name="Note 3 3 2 3 2 2 2" xfId="17212" xr:uid="{FA36E84A-0A61-405C-ADC4-EC5A2C27B280}"/>
    <cellStyle name="Note 3 3 2 3 2 3" xfId="12995" xr:uid="{1227A09F-B3F2-4E16-A85B-D94AB28636C8}"/>
    <cellStyle name="Note 3 3 2 3 3" xfId="5741" xr:uid="{00000000-0005-0000-0000-0000B0210000}"/>
    <cellStyle name="Note 3 3 2 3 3 2" xfId="15067" xr:uid="{AF6E0C91-AFB4-4D9C-AA88-4605F687B9AD}"/>
    <cellStyle name="Note 3 3 2 3 4" xfId="10850" xr:uid="{D9064907-DAEE-4919-9114-2D5DBB4534C7}"/>
    <cellStyle name="Note 3 3 2 4" xfId="1848" xr:uid="{00000000-0005-0000-0000-0000B1210000}"/>
    <cellStyle name="Note 3 3 2 4 2" xfId="4077" xr:uid="{00000000-0005-0000-0000-0000B2210000}"/>
    <cellStyle name="Note 3 3 2 4 2 2" xfId="8299" xr:uid="{00000000-0005-0000-0000-0000B3210000}"/>
    <cellStyle name="Note 3 3 2 4 2 2 2" xfId="17625" xr:uid="{B78ABF0C-73AE-4749-AB3A-4D567D4ECCF4}"/>
    <cellStyle name="Note 3 3 2 4 2 3" xfId="13408" xr:uid="{B5E5BA7D-E4C8-4392-A2BC-9F9491ADD94B}"/>
    <cellStyle name="Note 3 3 2 4 3" xfId="6154" xr:uid="{00000000-0005-0000-0000-0000B4210000}"/>
    <cellStyle name="Note 3 3 2 4 3 2" xfId="15480" xr:uid="{D5F2CAF8-FE3D-4C64-878D-B7E45E2F157C}"/>
    <cellStyle name="Note 3 3 2 4 4" xfId="11263" xr:uid="{9A102287-6783-443E-8E82-F9ADEAB298F5}"/>
    <cellStyle name="Note 3 3 2 5" xfId="2261" xr:uid="{00000000-0005-0000-0000-0000B5210000}"/>
    <cellStyle name="Note 3 3 2 5 2" xfId="4490" xr:uid="{00000000-0005-0000-0000-0000B6210000}"/>
    <cellStyle name="Note 3 3 2 5 2 2" xfId="8712" xr:uid="{00000000-0005-0000-0000-0000B7210000}"/>
    <cellStyle name="Note 3 3 2 5 2 2 2" xfId="18038" xr:uid="{6862160A-FD0C-44E3-9714-45319744EB15}"/>
    <cellStyle name="Note 3 3 2 5 2 3" xfId="13821" xr:uid="{12464AA1-E28C-4717-BA95-550CA498C27C}"/>
    <cellStyle name="Note 3 3 2 5 3" xfId="6567" xr:uid="{00000000-0005-0000-0000-0000B8210000}"/>
    <cellStyle name="Note 3 3 2 5 3 2" xfId="15893" xr:uid="{B4E9B21E-B055-4690-BF3B-42DC10E48BB6}"/>
    <cellStyle name="Note 3 3 2 5 4" xfId="11676" xr:uid="{6ABD38F6-01A1-4BFC-BFA4-C8B8C6CD8887}"/>
    <cellStyle name="Note 3 3 2 6" xfId="2697" xr:uid="{00000000-0005-0000-0000-0000B9210000}"/>
    <cellStyle name="Note 3 3 2 6 2" xfId="6980" xr:uid="{00000000-0005-0000-0000-0000BA210000}"/>
    <cellStyle name="Note 3 3 2 6 2 2" xfId="16306" xr:uid="{24C5593E-1DCD-4ECD-B718-B67E45DEED73}"/>
    <cellStyle name="Note 3 3 2 6 3" xfId="12089" xr:uid="{DE72D991-4D59-4A36-9679-E253DE599D8F}"/>
    <cellStyle name="Note 3 3 2 7" xfId="2756" xr:uid="{00000000-0005-0000-0000-0000BB210000}"/>
    <cellStyle name="Note 3 3 2 8" xfId="2837" xr:uid="{00000000-0005-0000-0000-0000BC210000}"/>
    <cellStyle name="Note 3 3 2 8 2" xfId="7060" xr:uid="{00000000-0005-0000-0000-0000BD210000}"/>
    <cellStyle name="Note 3 3 2 8 2 2" xfId="16386" xr:uid="{8F930E30-0193-4732-9050-BE5EE5B6EE61}"/>
    <cellStyle name="Note 3 3 2 8 3" xfId="12169" xr:uid="{006F64AF-8D91-42C6-98DC-8D839F173215}"/>
    <cellStyle name="Note 3 3 2 9" xfId="4915" xr:uid="{00000000-0005-0000-0000-0000BE210000}"/>
    <cellStyle name="Note 3 3 2 9 2" xfId="14241" xr:uid="{5CB7AD4E-0B3C-4706-808E-BA8C44214FF8}"/>
    <cellStyle name="Note 3 3 3" xfId="1018" xr:uid="{00000000-0005-0000-0000-0000BF210000}"/>
    <cellStyle name="Note 3 3 3 2" xfId="3250" xr:uid="{00000000-0005-0000-0000-0000C0210000}"/>
    <cellStyle name="Note 3 3 3 2 2" xfId="7472" xr:uid="{00000000-0005-0000-0000-0000C1210000}"/>
    <cellStyle name="Note 3 3 3 2 2 2" xfId="16798" xr:uid="{899EEC51-A813-459F-8179-6EAE7851B910}"/>
    <cellStyle name="Note 3 3 3 2 3" xfId="12581" xr:uid="{F878838D-0B59-46F5-ADF4-2FF0D7390434}"/>
    <cellStyle name="Note 3 3 3 3" xfId="5327" xr:uid="{00000000-0005-0000-0000-0000C2210000}"/>
    <cellStyle name="Note 3 3 3 3 2" xfId="14653" xr:uid="{7529B1EF-3FBD-4BDB-B6DA-3CF34BA3061B}"/>
    <cellStyle name="Note 3 3 3 4" xfId="9317" xr:uid="{171D8024-554D-4F15-BFD3-81CBE1A601EA}"/>
    <cellStyle name="Note 3 3 3 4 2" xfId="18632" xr:uid="{B7E2E73B-2744-42C8-8E64-25E9B3C6B9B2}"/>
    <cellStyle name="Note 3 3 3 5" xfId="10436" xr:uid="{4EFE6F5B-587A-4D60-9088-C0B826BC687A}"/>
    <cellStyle name="Note 3 3 4" xfId="1433" xr:uid="{00000000-0005-0000-0000-0000C3210000}"/>
    <cellStyle name="Note 3 3 4 2" xfId="3663" xr:uid="{00000000-0005-0000-0000-0000C4210000}"/>
    <cellStyle name="Note 3 3 4 2 2" xfId="7885" xr:uid="{00000000-0005-0000-0000-0000C5210000}"/>
    <cellStyle name="Note 3 3 4 2 2 2" xfId="17211" xr:uid="{EBF53161-0367-41F2-BE27-2F1671FDB03C}"/>
    <cellStyle name="Note 3 3 4 2 3" xfId="12994" xr:uid="{3C6275F7-40A3-4B74-AF8E-E3BC3BCE9C11}"/>
    <cellStyle name="Note 3 3 4 3" xfId="5740" xr:uid="{00000000-0005-0000-0000-0000C6210000}"/>
    <cellStyle name="Note 3 3 4 3 2" xfId="15066" xr:uid="{1602A152-F866-45AD-B9AD-F8EB2D9335D1}"/>
    <cellStyle name="Note 3 3 4 4" xfId="10849" xr:uid="{46EBB803-45C0-4F68-BFBE-23A7DCCBFCAA}"/>
    <cellStyle name="Note 3 3 5" xfId="1847" xr:uid="{00000000-0005-0000-0000-0000C7210000}"/>
    <cellStyle name="Note 3 3 5 2" xfId="4076" xr:uid="{00000000-0005-0000-0000-0000C8210000}"/>
    <cellStyle name="Note 3 3 5 2 2" xfId="8298" xr:uid="{00000000-0005-0000-0000-0000C9210000}"/>
    <cellStyle name="Note 3 3 5 2 2 2" xfId="17624" xr:uid="{71D2774C-11A4-435A-910B-64021549E2B4}"/>
    <cellStyle name="Note 3 3 5 2 3" xfId="13407" xr:uid="{745CDD0C-952C-46DB-BA4E-30FB628A4DFB}"/>
    <cellStyle name="Note 3 3 5 3" xfId="6153" xr:uid="{00000000-0005-0000-0000-0000CA210000}"/>
    <cellStyle name="Note 3 3 5 3 2" xfId="15479" xr:uid="{6D47E15A-898A-4907-810B-442109166AAE}"/>
    <cellStyle name="Note 3 3 5 4" xfId="11262" xr:uid="{FB8F864A-7088-41EF-9D35-0C47FE00AE25}"/>
    <cellStyle name="Note 3 3 6" xfId="2260" xr:uid="{00000000-0005-0000-0000-0000CB210000}"/>
    <cellStyle name="Note 3 3 6 2" xfId="4489" xr:uid="{00000000-0005-0000-0000-0000CC210000}"/>
    <cellStyle name="Note 3 3 6 2 2" xfId="8711" xr:uid="{00000000-0005-0000-0000-0000CD210000}"/>
    <cellStyle name="Note 3 3 6 2 2 2" xfId="18037" xr:uid="{068CF16B-7B9D-4536-8653-093009D3ED6A}"/>
    <cellStyle name="Note 3 3 6 2 3" xfId="13820" xr:uid="{006C212F-93B7-46BE-A91B-B8DF8B1E3B80}"/>
    <cellStyle name="Note 3 3 6 3" xfId="6566" xr:uid="{00000000-0005-0000-0000-0000CE210000}"/>
    <cellStyle name="Note 3 3 6 3 2" xfId="15892" xr:uid="{4BCB4D40-6049-40AA-BA31-6B92F1C5CD4C}"/>
    <cellStyle name="Note 3 3 6 4" xfId="11675" xr:uid="{556367BA-243C-4CDC-95F0-381723542046}"/>
    <cellStyle name="Note 3 3 7" xfId="2696" xr:uid="{00000000-0005-0000-0000-0000CF210000}"/>
    <cellStyle name="Note 3 3 7 2" xfId="6979" xr:uid="{00000000-0005-0000-0000-0000D0210000}"/>
    <cellStyle name="Note 3 3 7 2 2" xfId="16305" xr:uid="{2F723A26-F2B0-4FB8-9EC0-EF24BD58C24F}"/>
    <cellStyle name="Note 3 3 7 3" xfId="12088" xr:uid="{27DD7B43-7178-46CA-B18A-EF2EC7D9B7B2}"/>
    <cellStyle name="Note 3 3 8" xfId="2755" xr:uid="{00000000-0005-0000-0000-0000D1210000}"/>
    <cellStyle name="Note 3 3 9" xfId="2836" xr:uid="{00000000-0005-0000-0000-0000D2210000}"/>
    <cellStyle name="Note 3 3 9 2" xfId="7059" xr:uid="{00000000-0005-0000-0000-0000D3210000}"/>
    <cellStyle name="Note 3 3 9 2 2" xfId="16385" xr:uid="{8702FD9F-D45A-4BD4-A29F-521EAF3085F2}"/>
    <cellStyle name="Note 3 3 9 3" xfId="12168" xr:uid="{1F55CC18-DD81-4EE3-B055-BC68DF8B24D8}"/>
    <cellStyle name="Note 3 4" xfId="560" xr:uid="{00000000-0005-0000-0000-0000D4210000}"/>
    <cellStyle name="Note 3 4 10" xfId="8996" xr:uid="{0D704BEA-0820-4E61-9EA3-F4C1E73C6543}"/>
    <cellStyle name="Note 3 4 10 2" xfId="18320" xr:uid="{E0B2FDE4-ABA4-4DB0-9AB7-5E748ECF3B93}"/>
    <cellStyle name="Note 3 4 11" xfId="10025" xr:uid="{33E22BE2-4D9C-4E57-A285-404FC0AF91C8}"/>
    <cellStyle name="Note 3 4 2" xfId="1020" xr:uid="{00000000-0005-0000-0000-0000D5210000}"/>
    <cellStyle name="Note 3 4 2 2" xfId="3252" xr:uid="{00000000-0005-0000-0000-0000D6210000}"/>
    <cellStyle name="Note 3 4 2 2 2" xfId="7474" xr:uid="{00000000-0005-0000-0000-0000D7210000}"/>
    <cellStyle name="Note 3 4 2 2 2 2" xfId="16800" xr:uid="{F231AECF-0C79-4C32-8592-1DCF8C4925FE}"/>
    <cellStyle name="Note 3 4 2 2 3" xfId="12583" xr:uid="{C2AC1CDA-B277-4C2A-91C5-4B21711EA1A3}"/>
    <cellStyle name="Note 3 4 2 3" xfId="5329" xr:uid="{00000000-0005-0000-0000-0000D8210000}"/>
    <cellStyle name="Note 3 4 2 3 2" xfId="14655" xr:uid="{F024BF59-E055-40E0-941F-3E27749AA115}"/>
    <cellStyle name="Note 3 4 2 4" xfId="9421" xr:uid="{EC0A57E0-416C-4EC5-866A-A09E44531CB5}"/>
    <cellStyle name="Note 3 4 2 4 2" xfId="18736" xr:uid="{4F78AAC9-325A-43EE-8AE6-BB27C85FA3AE}"/>
    <cellStyle name="Note 3 4 2 5" xfId="10438" xr:uid="{948FEEC1-CE43-4938-AF39-F62AB3CF3418}"/>
    <cellStyle name="Note 3 4 3" xfId="1435" xr:uid="{00000000-0005-0000-0000-0000D9210000}"/>
    <cellStyle name="Note 3 4 3 2" xfId="3665" xr:uid="{00000000-0005-0000-0000-0000DA210000}"/>
    <cellStyle name="Note 3 4 3 2 2" xfId="7887" xr:uid="{00000000-0005-0000-0000-0000DB210000}"/>
    <cellStyle name="Note 3 4 3 2 2 2" xfId="17213" xr:uid="{843C87BA-5947-4759-8D5C-75EA83AF0A89}"/>
    <cellStyle name="Note 3 4 3 2 3" xfId="12996" xr:uid="{7C3AC749-816C-49A8-A812-ADBA6183853C}"/>
    <cellStyle name="Note 3 4 3 3" xfId="5742" xr:uid="{00000000-0005-0000-0000-0000DC210000}"/>
    <cellStyle name="Note 3 4 3 3 2" xfId="15068" xr:uid="{B144BA43-02D2-4C48-8A5C-FA0A8BBB6491}"/>
    <cellStyle name="Note 3 4 3 4" xfId="10851" xr:uid="{ED110558-CCAC-4E5B-94DC-2E05AA03E430}"/>
    <cellStyle name="Note 3 4 4" xfId="1849" xr:uid="{00000000-0005-0000-0000-0000DD210000}"/>
    <cellStyle name="Note 3 4 4 2" xfId="4078" xr:uid="{00000000-0005-0000-0000-0000DE210000}"/>
    <cellStyle name="Note 3 4 4 2 2" xfId="8300" xr:uid="{00000000-0005-0000-0000-0000DF210000}"/>
    <cellStyle name="Note 3 4 4 2 2 2" xfId="17626" xr:uid="{7E2869C5-E870-4F33-88E8-F52B6644BDA9}"/>
    <cellStyle name="Note 3 4 4 2 3" xfId="13409" xr:uid="{76A6FDB0-619A-47DB-953B-155F7C5BD44B}"/>
    <cellStyle name="Note 3 4 4 3" xfId="6155" xr:uid="{00000000-0005-0000-0000-0000E0210000}"/>
    <cellStyle name="Note 3 4 4 3 2" xfId="15481" xr:uid="{2D3EC0CA-0B1E-45A1-B3BA-A8ED88E6001D}"/>
    <cellStyle name="Note 3 4 4 4" xfId="11264" xr:uid="{39407E43-B4E1-4092-8A65-883B0EDF4F39}"/>
    <cellStyle name="Note 3 4 5" xfId="2262" xr:uid="{00000000-0005-0000-0000-0000E1210000}"/>
    <cellStyle name="Note 3 4 5 2" xfId="4491" xr:uid="{00000000-0005-0000-0000-0000E2210000}"/>
    <cellStyle name="Note 3 4 5 2 2" xfId="8713" xr:uid="{00000000-0005-0000-0000-0000E3210000}"/>
    <cellStyle name="Note 3 4 5 2 2 2" xfId="18039" xr:uid="{9D85E632-0EBB-4B88-AA77-6017AE29B6E6}"/>
    <cellStyle name="Note 3 4 5 2 3" xfId="13822" xr:uid="{3C4EE920-4241-41A7-98B2-29D25F51E1AC}"/>
    <cellStyle name="Note 3 4 5 3" xfId="6568" xr:uid="{00000000-0005-0000-0000-0000E4210000}"/>
    <cellStyle name="Note 3 4 5 3 2" xfId="15894" xr:uid="{0FF6921E-FB76-4981-A478-A921C5276243}"/>
    <cellStyle name="Note 3 4 5 4" xfId="11677" xr:uid="{412639F7-166F-4DA7-95AD-0A71EBE6EA03}"/>
    <cellStyle name="Note 3 4 6" xfId="2698" xr:uid="{00000000-0005-0000-0000-0000E5210000}"/>
    <cellStyle name="Note 3 4 6 2" xfId="6981" xr:uid="{00000000-0005-0000-0000-0000E6210000}"/>
    <cellStyle name="Note 3 4 6 2 2" xfId="16307" xr:uid="{E79337DB-2F36-440E-8076-3AF0C37F052F}"/>
    <cellStyle name="Note 3 4 6 3" xfId="12090" xr:uid="{8768BE4C-0386-4864-9AA3-C1E1FD481855}"/>
    <cellStyle name="Note 3 4 7" xfId="2757" xr:uid="{00000000-0005-0000-0000-0000E7210000}"/>
    <cellStyle name="Note 3 4 8" xfId="2838" xr:uid="{00000000-0005-0000-0000-0000E8210000}"/>
    <cellStyle name="Note 3 4 8 2" xfId="7061" xr:uid="{00000000-0005-0000-0000-0000E9210000}"/>
    <cellStyle name="Note 3 4 8 2 2" xfId="16387" xr:uid="{AA088842-7179-4ABC-BF71-039DC9D79527}"/>
    <cellStyle name="Note 3 4 8 3" xfId="12170" xr:uid="{5392E45B-C93B-4B0F-9165-A1E193C07AD7}"/>
    <cellStyle name="Note 3 4 9" xfId="4916" xr:uid="{00000000-0005-0000-0000-0000EA210000}"/>
    <cellStyle name="Note 3 4 9 2" xfId="14242" xr:uid="{FF738173-D8EB-4EA4-947F-D1E69A697673}"/>
    <cellStyle name="Note 3 5" xfId="561" xr:uid="{00000000-0005-0000-0000-0000EB210000}"/>
    <cellStyle name="Note 3 5 10" xfId="9213" xr:uid="{D9D7FB9A-B03C-4A97-A778-36731B43DF3F}"/>
    <cellStyle name="Note 3 5 10 2" xfId="18529" xr:uid="{01EE0CF5-B867-4435-8E26-BAD5BDE0010A}"/>
    <cellStyle name="Note 3 5 11" xfId="10026" xr:uid="{F0437784-1A9A-4429-8A41-9A60BC5218A2}"/>
    <cellStyle name="Note 3 5 2" xfId="1021" xr:uid="{00000000-0005-0000-0000-0000EC210000}"/>
    <cellStyle name="Note 3 5 2 2" xfId="3253" xr:uid="{00000000-0005-0000-0000-0000ED210000}"/>
    <cellStyle name="Note 3 5 2 2 2" xfId="7475" xr:uid="{00000000-0005-0000-0000-0000EE210000}"/>
    <cellStyle name="Note 3 5 2 2 2 2" xfId="16801" xr:uid="{831256AA-B520-4208-BDD3-85F863BB35D7}"/>
    <cellStyle name="Note 3 5 2 2 3" xfId="12584" xr:uid="{01F309D6-5BB0-4ACF-890F-1FDD1CCB2C8A}"/>
    <cellStyle name="Note 3 5 2 3" xfId="5330" xr:uid="{00000000-0005-0000-0000-0000EF210000}"/>
    <cellStyle name="Note 3 5 2 3 2" xfId="14656" xr:uid="{AE829A38-7D6F-4906-A437-E8E717FA9ADF}"/>
    <cellStyle name="Note 3 5 2 4" xfId="9611" xr:uid="{74765414-66B3-4FDA-BA21-3BFFEF98E338}"/>
    <cellStyle name="Note 3 5 2 4 2" xfId="18911" xr:uid="{153DF8FF-CA2A-4318-B6E7-4340C5CAD490}"/>
    <cellStyle name="Note 3 5 2 5" xfId="10439" xr:uid="{0E895D83-B61B-464C-A758-CFAE51F9D9CE}"/>
    <cellStyle name="Note 3 5 3" xfId="1436" xr:uid="{00000000-0005-0000-0000-0000F0210000}"/>
    <cellStyle name="Note 3 5 3 2" xfId="3666" xr:uid="{00000000-0005-0000-0000-0000F1210000}"/>
    <cellStyle name="Note 3 5 3 2 2" xfId="7888" xr:uid="{00000000-0005-0000-0000-0000F2210000}"/>
    <cellStyle name="Note 3 5 3 2 2 2" xfId="17214" xr:uid="{4D6DEDC3-747A-4A34-82D5-F8BEEE62D63B}"/>
    <cellStyle name="Note 3 5 3 2 3" xfId="12997" xr:uid="{3B5DF564-5C97-4E59-A6A9-E74D6D0C47BE}"/>
    <cellStyle name="Note 3 5 3 3" xfId="5743" xr:uid="{00000000-0005-0000-0000-0000F3210000}"/>
    <cellStyle name="Note 3 5 3 3 2" xfId="15069" xr:uid="{EC38A32D-070F-40BE-BF62-41CB0C958851}"/>
    <cellStyle name="Note 3 5 3 4" xfId="10852" xr:uid="{6705FDAC-FB39-4F4A-A18D-CCD2859E0EAA}"/>
    <cellStyle name="Note 3 5 4" xfId="1850" xr:uid="{00000000-0005-0000-0000-0000F4210000}"/>
    <cellStyle name="Note 3 5 4 2" xfId="4079" xr:uid="{00000000-0005-0000-0000-0000F5210000}"/>
    <cellStyle name="Note 3 5 4 2 2" xfId="8301" xr:uid="{00000000-0005-0000-0000-0000F6210000}"/>
    <cellStyle name="Note 3 5 4 2 2 2" xfId="17627" xr:uid="{4B2EBB4B-CC69-4FEE-A6C6-B0D92DD26755}"/>
    <cellStyle name="Note 3 5 4 2 3" xfId="13410" xr:uid="{19F5E868-6A18-43A4-B7D3-217118A207B5}"/>
    <cellStyle name="Note 3 5 4 3" xfId="6156" xr:uid="{00000000-0005-0000-0000-0000F7210000}"/>
    <cellStyle name="Note 3 5 4 3 2" xfId="15482" xr:uid="{B26B8C2E-06C7-4FDA-9416-32900DAAA4FD}"/>
    <cellStyle name="Note 3 5 4 4" xfId="11265" xr:uid="{31F40ED6-C34A-4D10-8824-F50C6D1DC9F8}"/>
    <cellStyle name="Note 3 5 5" xfId="2263" xr:uid="{00000000-0005-0000-0000-0000F8210000}"/>
    <cellStyle name="Note 3 5 5 2" xfId="4492" xr:uid="{00000000-0005-0000-0000-0000F9210000}"/>
    <cellStyle name="Note 3 5 5 2 2" xfId="8714" xr:uid="{00000000-0005-0000-0000-0000FA210000}"/>
    <cellStyle name="Note 3 5 5 2 2 2" xfId="18040" xr:uid="{85578061-1FC7-4644-8CAB-5E0BC479DBFA}"/>
    <cellStyle name="Note 3 5 5 2 3" xfId="13823" xr:uid="{CE10CFF2-0B85-4E4A-A731-F0EB91827667}"/>
    <cellStyle name="Note 3 5 5 3" xfId="6569" xr:uid="{00000000-0005-0000-0000-0000FB210000}"/>
    <cellStyle name="Note 3 5 5 3 2" xfId="15895" xr:uid="{80355B5B-4CAB-4130-AD14-DBBA3C6B9567}"/>
    <cellStyle name="Note 3 5 5 4" xfId="11678" xr:uid="{FC19FF4A-E528-46E7-8CFB-77C8D526E140}"/>
    <cellStyle name="Note 3 5 6" xfId="2699" xr:uid="{00000000-0005-0000-0000-0000FC210000}"/>
    <cellStyle name="Note 3 5 6 2" xfId="6982" xr:uid="{00000000-0005-0000-0000-0000FD210000}"/>
    <cellStyle name="Note 3 5 6 2 2" xfId="16308" xr:uid="{B41BFCE8-E445-45F8-8768-C9E52CF34CFB}"/>
    <cellStyle name="Note 3 5 6 3" xfId="12091" xr:uid="{5AE6C3BA-9A14-454E-8A96-68198C821526}"/>
    <cellStyle name="Note 3 5 7" xfId="2758" xr:uid="{00000000-0005-0000-0000-0000FE210000}"/>
    <cellStyle name="Note 3 5 8" xfId="2839" xr:uid="{00000000-0005-0000-0000-0000FF210000}"/>
    <cellStyle name="Note 3 5 8 2" xfId="7062" xr:uid="{00000000-0005-0000-0000-000000220000}"/>
    <cellStyle name="Note 3 5 8 2 2" xfId="16388" xr:uid="{75016C30-CBBD-4E9B-A867-CC5BE10EDBDD}"/>
    <cellStyle name="Note 3 5 8 3" xfId="12171" xr:uid="{A48545B9-DB1E-4D6D-85B0-DF48BB79CBC1}"/>
    <cellStyle name="Note 3 5 9" xfId="4917" xr:uid="{00000000-0005-0000-0000-000001220000}"/>
    <cellStyle name="Note 3 5 9 2" xfId="14243" xr:uid="{495BEAC6-8424-45E6-8C60-319F36DBCE7D}"/>
    <cellStyle name="Note 3 6" xfId="9588" xr:uid="{4A2A2C5B-BA67-4FBC-A2F1-7546BE1E0E7F}"/>
    <cellStyle name="Note 3 7" xfId="8789" xr:uid="{EE6BC007-A514-4F23-A927-A69B937DFEC6}"/>
    <cellStyle name="Note 3 7 2" xfId="18113" xr:uid="{219EE190-0047-4F63-8142-A95EA174DEE9}"/>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2 2" xfId="18896" xr:uid="{5370CD95-9AD9-4E00-9829-AC77ABB712CE}"/>
    <cellStyle name="Percent 3 3" xfId="13826" xr:uid="{03B9D924-E76F-48B5-99D4-A50BA452211E}"/>
    <cellStyle name="Percent 4" xfId="4502" xr:uid="{00000000-0005-0000-0000-000007220000}"/>
    <cellStyle name="Percent 4 2" xfId="8717" xr:uid="{00000000-0005-0000-0000-000008220000}"/>
    <cellStyle name="Percent 4 2 2" xfId="18043" xr:uid="{D085DDE1-B313-4A0E-8AB7-478644C2AF1E}"/>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2 2" xfId="18062" xr:uid="{168B7411-8005-47DD-A0E5-F0A32DB5B027}"/>
    <cellStyle name="Percent 4 3 2 2 2 2 3" xfId="18059" xr:uid="{55F496B7-095B-431B-802E-C34747870142}"/>
    <cellStyle name="Percent 4 3 2 2 2 3" xfId="18056" xr:uid="{13AFBE51-C33E-4CE8-BD16-E7B36651D000}"/>
    <cellStyle name="Percent 4 3 2 2 3" xfId="18052" xr:uid="{A007074D-DDD1-443D-894D-999C061F3FF2}"/>
    <cellStyle name="Percent 4 3 2 3" xfId="18049" xr:uid="{F662E467-768A-41A0-A33E-70E4CEFD232E}"/>
    <cellStyle name="Percent 4 3 3" xfId="18046" xr:uid="{D8E332F9-7475-4D5F-B8AE-3ADA0A44E375}"/>
    <cellStyle name="Percent 4 4" xfId="13829" xr:uid="{130BB465-4AF7-48CD-8844-C94C935D3466}"/>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6" t="s">
        <v>549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 thickTop="1"/>
    <row r="4" spans="1:38" s="5" customFormat="1" ht="13">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8" t="s">
        <v>1993</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ht="13">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ht="13">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8" t="s">
        <v>1994</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ht="13">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ht="13">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8" t="s">
        <v>2528</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1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ht="13">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ht="13">
      <c r="A18" s="204"/>
      <c r="B18" s="204"/>
      <c r="C18" s="205"/>
      <c r="D18" s="519" t="s">
        <v>2527</v>
      </c>
      <c r="E18" s="441"/>
      <c r="G18" s="441"/>
      <c r="H18" s="441"/>
      <c r="I18" s="441"/>
      <c r="J18" s="1270" t="s">
        <v>2526</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8" t="s">
        <v>1995</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ht="13">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ht="13">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1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ht="13">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ht="13">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ht="13">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ht="13">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ht="13">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8" t="s">
        <v>1996</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ht="13">
      <c r="A31" s="204"/>
      <c r="B31" s="204"/>
      <c r="C31" s="205"/>
      <c r="D31" s="455"/>
      <c r="E31" s="1276" t="s">
        <v>2606</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ht="13">
      <c r="A32" s="4"/>
      <c r="C32" s="2"/>
    </row>
    <row r="33" spans="1:38">
      <c r="A33" s="4"/>
      <c r="D33" s="1269" t="s">
        <v>2096</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ht="13">
      <c r="A35" s="4"/>
      <c r="D35" s="120"/>
      <c r="E35" s="1275" t="s">
        <v>2607</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ht="13">
      <c r="A36" s="4"/>
      <c r="D36" s="120"/>
      <c r="E36" s="1275" t="s">
        <v>2608</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15" customHeight="1">
      <c r="A40" s="4"/>
      <c r="B40"/>
      <c r="C40" s="2"/>
      <c r="D40" s="4"/>
      <c r="E40" s="4" t="s">
        <v>652</v>
      </c>
      <c r="F40" s="1268" t="s">
        <v>1163</v>
      </c>
    </row>
    <row r="41" spans="1:38" s="1268" customFormat="1" ht="13.15" customHeight="1">
      <c r="A41" s="4"/>
      <c r="B41"/>
      <c r="C41" s="2"/>
      <c r="D41" s="4"/>
      <c r="E41" s="4"/>
    </row>
    <row r="42" spans="1:38" ht="13">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73" t="s">
        <v>1245</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ht="13">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1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ht="13">
      <c r="A46" s="4"/>
      <c r="C46" s="2"/>
      <c r="D46" s="4"/>
      <c r="E46" s="4"/>
      <c r="F46" s="118" t="s">
        <v>686</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ht="13">
      <c r="A48" s="4"/>
      <c r="C48" s="2"/>
      <c r="D48" s="4"/>
      <c r="E48" s="3" t="s">
        <v>348</v>
      </c>
      <c r="F48" s="1268" t="s">
        <v>1998</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ht="13">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ht="13">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71" t="s">
        <v>1190</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71" t="s">
        <v>1999</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ht="13">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ht="13">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268" t="s">
        <v>1165</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ht="13">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ht="13">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15" customHeight="1">
      <c r="A67" s="4"/>
      <c r="C67" s="2"/>
      <c r="D67" s="4"/>
      <c r="E67" s="4"/>
      <c r="F67" t="s">
        <v>508</v>
      </c>
      <c r="G67" s="1268" t="s">
        <v>1166</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ht="13">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686</v>
      </c>
      <c r="G70" s="1268" t="s">
        <v>1167</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ht="13">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ht="13">
      <c r="A72" s="4"/>
      <c r="C72" s="2"/>
      <c r="D72" s="4"/>
      <c r="E72" s="4"/>
      <c r="F72" s="8" t="s">
        <v>508</v>
      </c>
      <c r="G72" s="1268" t="s">
        <v>1168</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ht="13">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506</v>
      </c>
      <c r="H77" s="4" t="s">
        <v>864</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8" t="s">
        <v>1169</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ht="13">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ht="13">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ht="13">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8" t="s">
        <v>1170</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ht="13">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ht="13">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ht="13">
      <c r="A87" s="4"/>
      <c r="C87" s="2"/>
      <c r="D87" s="4"/>
      <c r="E87" s="4" t="s">
        <v>261</v>
      </c>
      <c r="F87" t="s">
        <v>865</v>
      </c>
      <c r="G87" s="4"/>
      <c r="L87" s="4"/>
      <c r="M87" s="4"/>
      <c r="P87" s="4"/>
      <c r="Q87" s="4"/>
      <c r="R87" s="4"/>
      <c r="S87" s="4"/>
      <c r="T87" s="4"/>
      <c r="U87" s="4"/>
      <c r="V87" s="4"/>
      <c r="W87" s="4"/>
      <c r="X87" s="4"/>
      <c r="Y87" s="4"/>
      <c r="Z87" s="4"/>
      <c r="AA87" s="4"/>
      <c r="AB87" s="4"/>
    </row>
    <row r="88" spans="1:37" ht="13">
      <c r="A88" s="4"/>
      <c r="C88" s="2"/>
      <c r="D88" s="4"/>
      <c r="E88" s="4"/>
      <c r="G88" s="1278" t="s">
        <v>1171</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ht="13">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ht="13">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ht="13">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8" t="s">
        <v>1172</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ht="13">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ht="13">
      <c r="A94" s="4"/>
      <c r="C94" s="2"/>
      <c r="D94" s="4"/>
      <c r="E94" s="4" t="s">
        <v>903</v>
      </c>
      <c r="F94" s="204" t="s">
        <v>904</v>
      </c>
      <c r="G94" s="204"/>
      <c r="L94" s="4"/>
      <c r="M94" s="4"/>
      <c r="P94" s="4"/>
      <c r="Q94" s="4"/>
      <c r="R94" s="4"/>
      <c r="S94" s="4"/>
      <c r="T94" s="4"/>
      <c r="U94" s="4"/>
      <c r="V94" s="4"/>
      <c r="W94" s="4"/>
      <c r="X94" s="4"/>
      <c r="Y94" s="4"/>
      <c r="Z94" s="4"/>
      <c r="AA94" s="4"/>
      <c r="AB94" s="4"/>
    </row>
    <row r="95" spans="1:37" ht="13">
      <c r="A95" s="4"/>
      <c r="C95" s="2"/>
      <c r="D95" s="4"/>
      <c r="E95" s="4"/>
      <c r="G95" s="1268" t="s">
        <v>1173</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ht="13">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ht="13">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ht="13">
      <c r="A98" s="4"/>
      <c r="D98" s="99"/>
      <c r="E98" s="1279" t="s">
        <v>1174</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ht="13">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1185</v>
      </c>
      <c r="H103" s="2"/>
      <c r="I103" s="2"/>
      <c r="K103" s="2"/>
    </row>
    <row r="104" spans="1:38" ht="13">
      <c r="B104" s="2"/>
      <c r="C104" s="2"/>
      <c r="D104" s="2" t="s">
        <v>206</v>
      </c>
      <c r="E104" s="2" t="s">
        <v>1187</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ht="13">
      <c r="F117" s="4" t="s">
        <v>1014</v>
      </c>
      <c r="G117" s="4"/>
    </row>
    <row r="118" spans="2:10" ht="13">
      <c r="F118" s="99" t="s">
        <v>1186</v>
      </c>
      <c r="G118" s="99"/>
    </row>
    <row r="119" spans="2:10" ht="13">
      <c r="G119" s="99"/>
    </row>
    <row r="120" spans="2:10">
      <c r="E120" s="4" t="s">
        <v>762</v>
      </c>
      <c r="F120" s="98" t="s">
        <v>377</v>
      </c>
    </row>
    <row r="121" spans="2:10">
      <c r="E121" s="4"/>
      <c r="F121" s="4" t="s">
        <v>1006</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922</v>
      </c>
      <c r="F125" s="4"/>
    </row>
    <row r="126" spans="2:10"/>
    <row r="127" spans="2:10" ht="13">
      <c r="D127" s="2" t="s">
        <v>340</v>
      </c>
      <c r="E127" s="2" t="s">
        <v>576</v>
      </c>
    </row>
    <row r="128" spans="2:10">
      <c r="E128" s="4" t="s">
        <v>922</v>
      </c>
      <c r="F128" s="4"/>
    </row>
    <row r="129" spans="4:37"/>
    <row r="130" spans="4:37" ht="13">
      <c r="D130" s="2" t="s">
        <v>573</v>
      </c>
      <c r="E130" s="2" t="s">
        <v>723</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513</v>
      </c>
      <c r="E135" s="2" t="s">
        <v>516</v>
      </c>
      <c r="F135" s="2"/>
    </row>
    <row r="136" spans="4:37">
      <c r="E136" s="3" t="s">
        <v>1212</v>
      </c>
      <c r="F136" s="4"/>
    </row>
    <row r="137" spans="4:37">
      <c r="F137" s="4"/>
    </row>
    <row r="138" spans="4:37" ht="13">
      <c r="D138" s="2" t="s">
        <v>302</v>
      </c>
      <c r="E138" s="2" t="s">
        <v>2000</v>
      </c>
      <c r="F138" s="2"/>
      <c r="G138" s="2"/>
      <c r="H138" s="2"/>
    </row>
    <row r="139" spans="4:37">
      <c r="E139" t="s">
        <v>112</v>
      </c>
      <c r="F139" t="s">
        <v>52</v>
      </c>
    </row>
    <row r="140" spans="4:37">
      <c r="E140" t="s">
        <v>113</v>
      </c>
      <c r="F140" t="s">
        <v>465</v>
      </c>
    </row>
    <row r="141" spans="4:37"/>
    <row r="142" spans="4:37" ht="13">
      <c r="D142" s="2" t="s">
        <v>428</v>
      </c>
      <c r="E142" s="2" t="s">
        <v>2001</v>
      </c>
    </row>
    <row r="143" spans="4:37">
      <c r="E143" s="204" t="s">
        <v>2002</v>
      </c>
      <c r="F143" s="204"/>
    </row>
    <row r="144" spans="4:37"/>
    <row r="145" spans="3:7" ht="13">
      <c r="C145" s="2" t="s">
        <v>6</v>
      </c>
      <c r="G145" s="2" t="s">
        <v>379</v>
      </c>
    </row>
    <row r="146" spans="3:7" ht="13">
      <c r="D146" s="2" t="s">
        <v>206</v>
      </c>
      <c r="E146" s="2" t="s">
        <v>135</v>
      </c>
    </row>
    <row r="147" spans="3:7">
      <c r="E147" t="s">
        <v>796</v>
      </c>
    </row>
    <row r="148" spans="3:7"/>
    <row r="149" spans="3:7" ht="13">
      <c r="D149" s="2" t="s">
        <v>340</v>
      </c>
      <c r="E149" s="2" t="s">
        <v>523</v>
      </c>
      <c r="F149" s="2"/>
    </row>
    <row r="150" spans="3:7">
      <c r="E150" s="4" t="s">
        <v>924</v>
      </c>
      <c r="F150" s="4"/>
    </row>
    <row r="151" spans="3:7"/>
    <row r="152" spans="3:7" ht="13">
      <c r="D152" s="2" t="s">
        <v>573</v>
      </c>
      <c r="E152" s="2" t="s">
        <v>552</v>
      </c>
    </row>
    <row r="153" spans="3:7">
      <c r="E153" s="4" t="s">
        <v>925</v>
      </c>
    </row>
    <row r="154" spans="3:7">
      <c r="E154" s="4" t="s">
        <v>923</v>
      </c>
      <c r="G154" s="4"/>
    </row>
    <row r="155" spans="3:7"/>
    <row r="156" spans="3:7" ht="13">
      <c r="D156" s="2" t="s">
        <v>513</v>
      </c>
      <c r="E156" s="2" t="s">
        <v>532</v>
      </c>
    </row>
    <row r="157" spans="3:7">
      <c r="E157" t="s">
        <v>112</v>
      </c>
      <c r="F157" s="4" t="s">
        <v>926</v>
      </c>
    </row>
    <row r="158" spans="3:7">
      <c r="E158" s="4" t="s">
        <v>113</v>
      </c>
      <c r="F158" s="4" t="s">
        <v>927</v>
      </c>
    </row>
    <row r="159" spans="3:7">
      <c r="E159" s="4" t="s">
        <v>119</v>
      </c>
      <c r="F159" t="s">
        <v>724</v>
      </c>
    </row>
    <row r="160" spans="3:7"/>
    <row r="161" spans="3:20" ht="13">
      <c r="D161" s="2" t="s">
        <v>302</v>
      </c>
      <c r="E161" s="2" t="s">
        <v>380</v>
      </c>
    </row>
    <row r="162" spans="3:20">
      <c r="E162" s="4" t="s">
        <v>928</v>
      </c>
      <c r="F162" s="4"/>
    </row>
    <row r="163" spans="3:20"/>
    <row r="164" spans="3:20" ht="13">
      <c r="D164" s="2" t="s">
        <v>428</v>
      </c>
      <c r="E164" s="2" t="s">
        <v>171</v>
      </c>
    </row>
    <row r="165" spans="3:20">
      <c r="E165" s="4" t="s">
        <v>930</v>
      </c>
    </row>
    <row r="166" spans="3:20">
      <c r="E166" s="4" t="s">
        <v>929</v>
      </c>
    </row>
    <row r="167" spans="3:20"/>
    <row r="168" spans="3:20" ht="13">
      <c r="D168" s="2" t="s">
        <v>556</v>
      </c>
      <c r="E168" s="2" t="s">
        <v>621</v>
      </c>
    </row>
    <row r="169" spans="3:20">
      <c r="E169" t="s">
        <v>112</v>
      </c>
      <c r="F169" t="s">
        <v>725</v>
      </c>
    </row>
    <row r="170" spans="3:20">
      <c r="E170" t="s">
        <v>113</v>
      </c>
      <c r="F170" t="s">
        <v>296</v>
      </c>
    </row>
    <row r="171" spans="3:20">
      <c r="F171" s="4"/>
    </row>
    <row r="172" spans="3:20" ht="13">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576</v>
      </c>
    </row>
    <row r="176" spans="3:20" ht="13">
      <c r="D176" s="2" t="s">
        <v>206</v>
      </c>
      <c r="E176" s="2" t="s">
        <v>297</v>
      </c>
      <c r="G176" s="4"/>
      <c r="H176" s="4"/>
      <c r="I176" s="4"/>
      <c r="J176" s="4"/>
      <c r="K176" s="4"/>
      <c r="L176" s="4"/>
      <c r="M176" s="4"/>
      <c r="N176" s="4"/>
    </row>
    <row r="177" spans="2:19">
      <c r="E177" t="s">
        <v>112</v>
      </c>
      <c r="F177" s="4" t="s">
        <v>931</v>
      </c>
    </row>
    <row r="178" spans="2:19" ht="13">
      <c r="F178" s="120" t="s">
        <v>1147</v>
      </c>
      <c r="I178" s="120"/>
    </row>
    <row r="179" spans="2:19" ht="13">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340</v>
      </c>
      <c r="E183" s="2" t="s">
        <v>1007</v>
      </c>
    </row>
    <row r="184" spans="2:19">
      <c r="B184" s="4"/>
      <c r="C184" s="4"/>
      <c r="E184" s="4" t="s">
        <v>708</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573</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513</v>
      </c>
      <c r="E190" s="2" t="s">
        <v>111</v>
      </c>
    </row>
    <row r="191" spans="2:19" ht="13">
      <c r="B191" s="4"/>
      <c r="C191" s="2"/>
      <c r="E191" t="s">
        <v>112</v>
      </c>
      <c r="F191" s="4" t="s">
        <v>1015</v>
      </c>
      <c r="G191" s="4"/>
      <c r="H191" s="4"/>
      <c r="I191" s="4"/>
    </row>
    <row r="192" spans="2:19" ht="13">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ht="13">
      <c r="B204" s="4"/>
      <c r="C204" s="4"/>
      <c r="D204" s="2"/>
      <c r="E204" s="4" t="s">
        <v>580</v>
      </c>
      <c r="F204" s="4" t="s">
        <v>936</v>
      </c>
      <c r="M204" s="4"/>
      <c r="N204" s="4"/>
      <c r="O204" s="4"/>
      <c r="P204" s="4"/>
      <c r="Q204" s="4"/>
      <c r="R204" s="4"/>
      <c r="S204" s="4"/>
    </row>
    <row r="205" spans="2:37" ht="13">
      <c r="B205" s="4"/>
      <c r="C205" s="4"/>
      <c r="D205" s="2"/>
      <c r="F205" t="s">
        <v>652</v>
      </c>
      <c r="G205" s="1268" t="s">
        <v>1175</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ht="13">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ht="13">
      <c r="B207" s="4"/>
      <c r="C207" s="4"/>
      <c r="D207" s="2"/>
      <c r="M207" s="4"/>
      <c r="N207" s="4"/>
      <c r="O207" s="4"/>
      <c r="P207" s="4"/>
      <c r="Q207" s="4"/>
      <c r="R207" s="4"/>
      <c r="S207" s="4"/>
    </row>
    <row r="208" spans="2:37" ht="13">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554</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451</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652</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4" t="s">
        <v>652</v>
      </c>
      <c r="G253" s="204" t="s">
        <v>810</v>
      </c>
      <c r="I253" s="3"/>
      <c r="K253" s="3"/>
      <c r="L253" s="3"/>
      <c r="M253" s="3"/>
      <c r="N253" s="3"/>
      <c r="O253" s="3"/>
      <c r="Q253" s="4"/>
      <c r="R253" s="4"/>
      <c r="S253" s="4"/>
      <c r="T253" s="4"/>
      <c r="U253" s="4"/>
    </row>
    <row r="254" spans="2:21" ht="13">
      <c r="B254" s="2"/>
      <c r="C254" s="2"/>
      <c r="E254" s="4"/>
      <c r="F254" s="204"/>
      <c r="G254" s="204" t="s">
        <v>811</v>
      </c>
      <c r="I254" s="3"/>
      <c r="K254" s="3"/>
      <c r="L254" s="3"/>
      <c r="M254" s="3"/>
      <c r="N254" s="3"/>
      <c r="O254" s="3"/>
      <c r="P254" s="3"/>
    </row>
    <row r="255" spans="2:21" ht="13">
      <c r="B255" s="2"/>
      <c r="C255" s="2"/>
      <c r="E255" s="4"/>
      <c r="F255" s="204" t="s">
        <v>347</v>
      </c>
      <c r="G255" s="204" t="s">
        <v>943</v>
      </c>
      <c r="I255" s="4"/>
      <c r="K255" s="4"/>
      <c r="L255" s="4"/>
      <c r="M255" s="4"/>
      <c r="N255" s="4"/>
      <c r="O255" s="4"/>
      <c r="P255" s="3"/>
    </row>
    <row r="256" spans="2:21" ht="13">
      <c r="B256" s="2"/>
      <c r="C256" s="2"/>
      <c r="E256" s="4"/>
      <c r="F256" s="204"/>
      <c r="G256" s="204"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580</v>
      </c>
      <c r="F263" s="204"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573</v>
      </c>
      <c r="E268" s="2" t="s">
        <v>286</v>
      </c>
      <c r="G268" s="4"/>
    </row>
    <row r="269" spans="2:21" ht="13">
      <c r="B269" s="2"/>
      <c r="C269" s="2"/>
      <c r="E269" s="4" t="s">
        <v>254</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513</v>
      </c>
      <c r="E272" s="2" t="s">
        <v>611</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49"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556</v>
      </c>
      <c r="E286" s="2" t="s">
        <v>557</v>
      </c>
      <c r="K286" s="4"/>
      <c r="L286" s="4"/>
      <c r="M286" s="4"/>
      <c r="N286" s="4"/>
    </row>
    <row r="287" spans="2:23" ht="13">
      <c r="B287" s="2"/>
      <c r="D287" s="4"/>
      <c r="E287" s="4" t="s">
        <v>112</v>
      </c>
      <c r="F287" s="4" t="s">
        <v>558</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559</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652</v>
      </c>
      <c r="G291" s="4" t="s">
        <v>259</v>
      </c>
      <c r="K291" s="4"/>
      <c r="L291" s="4"/>
      <c r="M291" s="4"/>
      <c r="N291" s="4"/>
      <c r="O291" s="4"/>
      <c r="P291" s="4"/>
      <c r="Q291" s="4"/>
      <c r="R291" s="4"/>
      <c r="S291" s="4"/>
      <c r="T291" s="4"/>
      <c r="U291" s="4"/>
      <c r="V291" s="4"/>
      <c r="W291" s="4"/>
    </row>
    <row r="292" spans="2:23" ht="13">
      <c r="B292" s="2"/>
      <c r="D292" s="4"/>
      <c r="E292" s="4"/>
      <c r="F292" s="4" t="s">
        <v>347</v>
      </c>
      <c r="G292" s="4" t="s">
        <v>939</v>
      </c>
      <c r="H292" s="4"/>
      <c r="K292" s="4"/>
      <c r="L292" s="4"/>
      <c r="M292" s="4"/>
      <c r="N292" s="4"/>
      <c r="O292" s="4"/>
      <c r="P292" s="4"/>
      <c r="Q292" s="4"/>
      <c r="R292" s="4"/>
      <c r="S292" s="4"/>
      <c r="T292" s="4"/>
      <c r="U292" s="4"/>
      <c r="V292" s="4"/>
      <c r="W292" s="4"/>
    </row>
    <row r="293" spans="2:23" ht="13">
      <c r="B293" s="2"/>
      <c r="D293" s="4"/>
      <c r="E293" s="4"/>
      <c r="F293" s="4" t="s">
        <v>348</v>
      </c>
      <c r="G293" s="4" t="s">
        <v>560</v>
      </c>
      <c r="K293" s="4"/>
      <c r="L293" s="4"/>
      <c r="M293" s="4"/>
      <c r="N293" s="4"/>
      <c r="O293" s="4"/>
      <c r="P293" s="4"/>
      <c r="Q293" s="4"/>
      <c r="R293" s="4"/>
      <c r="S293" s="4"/>
      <c r="T293" s="4"/>
      <c r="U293" s="4"/>
      <c r="V293" s="4"/>
      <c r="W293" s="4"/>
    </row>
    <row r="294" spans="2:23" ht="13">
      <c r="B294" s="2"/>
      <c r="D294" s="4"/>
      <c r="E294" s="4"/>
      <c r="F294" s="4" t="s">
        <v>443</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580</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554</v>
      </c>
      <c r="E303" s="2" t="s">
        <v>288</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613</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798</v>
      </c>
      <c r="F310" s="4"/>
      <c r="G310" s="4"/>
      <c r="I310" s="4"/>
      <c r="K310" s="4"/>
    </row>
    <row r="311" spans="2:23" ht="13">
      <c r="B311" s="2"/>
      <c r="D311" s="2"/>
      <c r="E311" s="4" t="s">
        <v>948</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340</v>
      </c>
      <c r="E314" s="2" t="s">
        <v>750</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573</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614</v>
      </c>
      <c r="I322" s="4"/>
      <c r="J322" s="4"/>
      <c r="K322" s="4"/>
      <c r="L322" s="4"/>
      <c r="M322" s="4"/>
      <c r="N322" s="4"/>
      <c r="O322" s="4"/>
      <c r="P322" s="4"/>
      <c r="Q322" s="4"/>
      <c r="R322" s="4"/>
      <c r="S322" s="4"/>
    </row>
    <row r="323" spans="1:38" ht="13">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268" t="s">
        <v>1154</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ht="13">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ht="13">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ht="13">
      <c r="B339" s="2"/>
      <c r="F339" s="4"/>
      <c r="H339" s="4"/>
      <c r="I339" s="4"/>
      <c r="J339" s="4"/>
      <c r="K339" s="4"/>
      <c r="L339" s="4"/>
      <c r="M339" s="4"/>
      <c r="N339" s="4"/>
      <c r="O339" s="4"/>
      <c r="P339" s="4"/>
      <c r="Q339" s="4"/>
      <c r="R339" s="4"/>
      <c r="S339" s="4"/>
    </row>
    <row r="340" spans="2:37" ht="13">
      <c r="B340" s="2"/>
      <c r="C340" s="2" t="s">
        <v>430</v>
      </c>
      <c r="G340" s="2" t="s">
        <v>1227</v>
      </c>
      <c r="I340" s="2"/>
      <c r="J340" s="4"/>
      <c r="K340" s="4"/>
      <c r="L340" s="4"/>
      <c r="M340" s="4"/>
      <c r="N340" s="4"/>
      <c r="O340" s="4"/>
      <c r="P340" s="4"/>
      <c r="Q340" s="4"/>
      <c r="R340" s="4"/>
      <c r="S340" s="4"/>
    </row>
    <row r="341" spans="2:37" ht="13.15" customHeight="1">
      <c r="B341" s="2"/>
      <c r="E341" s="1271" t="s">
        <v>1234</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ht="13">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ht="13">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ht="13">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ht="13">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ht="13">
      <c r="B346" s="2"/>
      <c r="E346" s="3" t="s">
        <v>112</v>
      </c>
      <c r="F346" s="1268" t="s">
        <v>1236</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ht="13">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ht="13">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ht="13">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ht="13">
      <c r="B350" s="2"/>
      <c r="E350" s="3" t="s">
        <v>113</v>
      </c>
      <c r="F350" s="1268" t="s">
        <v>1235</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ht="13">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ht="13">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ht="13">
      <c r="B353" s="2"/>
      <c r="F353" s="4"/>
      <c r="H353" s="4"/>
      <c r="I353" s="4"/>
      <c r="J353" s="4"/>
      <c r="K353" s="4"/>
      <c r="L353" s="4"/>
      <c r="M353" s="4"/>
      <c r="N353" s="4"/>
      <c r="O353" s="4"/>
      <c r="P353" s="4"/>
      <c r="Q353" s="4"/>
      <c r="R353" s="4"/>
      <c r="S353" s="4"/>
    </row>
    <row r="354" spans="1:38" ht="13">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272" t="s">
        <v>1225</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ht="13">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ht="13">
      <c r="A367"/>
      <c r="B367" s="2"/>
      <c r="C367"/>
      <c r="D367"/>
      <c r="E367" s="1273" t="s">
        <v>1257</v>
      </c>
    </row>
    <row r="368" spans="1:38" s="1274"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567</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573</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513</v>
      </c>
      <c r="E379" s="2" t="s">
        <v>1258</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8" t="s">
        <v>1268</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ht="13">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ht="13">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163" sqref="I163"/>
    </sheetView>
  </sheetViews>
  <sheetFormatPr defaultColWidth="9.1796875" defaultRowHeight="14"/>
  <cols>
    <col min="1" max="1" width="2.453125" style="1039" customWidth="1"/>
    <col min="2" max="9" width="14.7265625" style="1039" customWidth="1"/>
    <col min="10" max="10" width="2.26953125" style="1039" customWidth="1"/>
    <col min="11" max="11" width="11.81640625" style="1040" customWidth="1"/>
    <col min="12" max="12" width="10.72656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53" t="s">
        <v>1573</v>
      </c>
      <c r="B1" s="2653"/>
      <c r="C1" s="2653"/>
      <c r="D1" s="2653"/>
      <c r="E1" s="2653"/>
      <c r="F1" s="2653"/>
      <c r="G1" s="2653"/>
      <c r="H1" s="2653"/>
      <c r="I1" s="2653"/>
      <c r="J1" s="2653"/>
    </row>
    <row r="2" spans="1:13" ht="15" customHeight="1" thickBot="1">
      <c r="A2" s="1041"/>
      <c r="B2" s="1041"/>
      <c r="I2" s="1042"/>
      <c r="K2" s="1043"/>
    </row>
    <row r="3" spans="1:13" s="1046" customFormat="1" ht="20.149999999999999" customHeight="1">
      <c r="A3" s="1094"/>
      <c r="B3" s="1095"/>
      <c r="C3" s="1096"/>
      <c r="D3" s="1101"/>
      <c r="E3" s="1096"/>
      <c r="F3" s="1097" t="s">
        <v>1962</v>
      </c>
      <c r="G3" s="1096"/>
      <c r="H3" s="1098">
        <f>E18</f>
        <v>20773200</v>
      </c>
      <c r="I3" s="1099"/>
    </row>
    <row r="4" spans="1:13" s="1046" customFormat="1" ht="20.149999999999999" customHeight="1">
      <c r="B4" s="1088"/>
      <c r="D4" s="1102"/>
      <c r="F4" s="1087" t="s">
        <v>1964</v>
      </c>
      <c r="G4" s="1086" t="s">
        <v>1963</v>
      </c>
      <c r="H4" s="1201">
        <f>I18</f>
        <v>8747192.1428571437</v>
      </c>
      <c r="I4" s="1089"/>
      <c r="K4" s="1050"/>
    </row>
    <row r="5" spans="1:13" s="1046" customFormat="1" ht="20.149999999999999" customHeight="1" thickBot="1">
      <c r="B5" s="1090"/>
      <c r="C5" s="1091"/>
      <c r="D5" s="1103"/>
      <c r="E5" s="1092"/>
      <c r="F5" s="1103" t="s">
        <v>1914</v>
      </c>
      <c r="G5" s="1104"/>
      <c r="H5" s="1100">
        <f>IFERROR(H3/H4,0)</f>
        <v>2.3748420819774898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6" t="s">
        <v>1912</v>
      </c>
      <c r="C8" s="2657"/>
      <c r="D8" s="2657"/>
      <c r="E8" s="2658"/>
      <c r="G8" s="2659" t="s">
        <v>1913</v>
      </c>
      <c r="H8" s="2660"/>
      <c r="I8" s="2661"/>
      <c r="K8" s="1052"/>
    </row>
    <row r="9" spans="1:13" ht="15" customHeight="1">
      <c r="A9" s="1041"/>
      <c r="B9" s="2654" t="s">
        <v>1946</v>
      </c>
      <c r="C9" s="2654"/>
      <c r="D9" s="2654"/>
      <c r="E9" s="1054">
        <f>G33</f>
        <v>3000000</v>
      </c>
      <c r="G9" s="2650" t="s">
        <v>1944</v>
      </c>
      <c r="H9" s="2650"/>
      <c r="I9" s="1055">
        <f>MAX(SUMIF(Application!M562:M573,"Loan, Tax-Exempt",Application!AM562:AM573),27.5%*SUM('Sources and Uses Budget'!C8,'Sources and Uses Budget'!S105,'Sources and Uses Budget'!T105))</f>
        <v>8942000</v>
      </c>
      <c r="K9" s="1056"/>
      <c r="M9" s="1057"/>
    </row>
    <row r="10" spans="1:13" ht="15" customHeight="1" thickBot="1">
      <c r="A10" s="1041"/>
      <c r="B10" s="2654" t="s">
        <v>1947</v>
      </c>
      <c r="C10" s="2654"/>
      <c r="D10" s="2654"/>
      <c r="E10" s="1055">
        <f>G47</f>
        <v>13273200</v>
      </c>
      <c r="G10" s="2652" t="s">
        <v>1915</v>
      </c>
      <c r="H10" s="2652"/>
      <c r="I10" s="1134">
        <f>IF(OR(Application!Z205="State Farmworker Credit",Application!Z205="$500M (Farmworker Housing)"),0,'Basis &amp; Credits'!AB78)</f>
        <v>0</v>
      </c>
      <c r="M10" s="1057"/>
    </row>
    <row r="11" spans="1:13" ht="15" customHeight="1">
      <c r="A11" s="1041"/>
      <c r="B11" s="2663" t="s">
        <v>2209</v>
      </c>
      <c r="C11" s="2664"/>
      <c r="D11" s="2665"/>
      <c r="E11" s="1055">
        <f>SUM(E13,E12)</f>
        <v>600000</v>
      </c>
      <c r="G11" s="2662" t="s">
        <v>1955</v>
      </c>
      <c r="H11" s="2662"/>
      <c r="I11" s="1133">
        <f>I9+I10</f>
        <v>8942000</v>
      </c>
      <c r="M11" s="1057"/>
    </row>
    <row r="12" spans="1:13" ht="15" customHeight="1">
      <c r="A12" s="1058"/>
      <c r="B12" s="2655" t="s">
        <v>2572</v>
      </c>
      <c r="C12" s="2655"/>
      <c r="D12" s="2655"/>
      <c r="E12" s="1158">
        <f>G56</f>
        <v>600000</v>
      </c>
      <c r="M12" s="1057"/>
    </row>
    <row r="13" spans="1:13" ht="15" customHeight="1">
      <c r="A13" s="1044"/>
      <c r="B13" s="2655" t="s">
        <v>2573</v>
      </c>
      <c r="C13" s="2655"/>
      <c r="D13" s="2655"/>
      <c r="E13" s="1158">
        <f>IF(G67,MAX(G65,G79),G65)</f>
        <v>0</v>
      </c>
      <c r="G13" s="2659" t="s">
        <v>1978</v>
      </c>
      <c r="H13" s="2660"/>
      <c r="I13" s="2661"/>
    </row>
    <row r="14" spans="1:13" ht="15" customHeight="1">
      <c r="A14" s="1044"/>
      <c r="B14" s="2663" t="s">
        <v>2210</v>
      </c>
      <c r="C14" s="2664"/>
      <c r="D14" s="2665"/>
      <c r="E14" s="1160">
        <f>MAX(E15,E16)+E17</f>
        <v>3900000</v>
      </c>
      <c r="G14" s="2650" t="s">
        <v>2589</v>
      </c>
      <c r="H14" s="2650"/>
      <c r="I14" s="1059">
        <f>IF(AND(G134="Yes",G136&lt;&gt;""),IF(OR(G141="Yes",G145="Yes"),18%,15%),0)</f>
        <v>0</v>
      </c>
      <c r="M14" s="1057"/>
    </row>
    <row r="15" spans="1:13" ht="15" customHeight="1">
      <c r="A15" s="1044"/>
      <c r="B15" s="2666" t="s">
        <v>2586</v>
      </c>
      <c r="C15" s="2667"/>
      <c r="D15" s="2668"/>
      <c r="E15" s="1158">
        <f>G94</f>
        <v>0</v>
      </c>
      <c r="G15" s="1131" t="s">
        <v>1956</v>
      </c>
      <c r="H15" s="1131"/>
      <c r="I15" s="1059">
        <f>IF(Application!AJ1041&gt;0,10%,IF(Application!AJ1045&gt;0,5%,0))</f>
        <v>0</v>
      </c>
      <c r="M15" s="1057"/>
    </row>
    <row r="16" spans="1:13" ht="15" customHeight="1">
      <c r="A16" s="1044"/>
      <c r="B16" s="2666" t="s">
        <v>2587</v>
      </c>
      <c r="C16" s="2667"/>
      <c r="D16" s="2668"/>
      <c r="E16" s="1158">
        <f>G104</f>
        <v>0</v>
      </c>
      <c r="G16" s="2650" t="s">
        <v>1957</v>
      </c>
      <c r="H16" s="2650"/>
      <c r="I16" s="1059">
        <f>G155</f>
        <v>2.1785714285714287E-2</v>
      </c>
    </row>
    <row r="17" spans="1:21" ht="15" customHeight="1" thickBot="1">
      <c r="A17" s="1044"/>
      <c r="B17" s="2666" t="s">
        <v>2588</v>
      </c>
      <c r="C17" s="2667"/>
      <c r="D17" s="2668"/>
      <c r="E17" s="1158">
        <f>G129</f>
        <v>3900000</v>
      </c>
      <c r="G17" s="2650" t="s">
        <v>2218</v>
      </c>
      <c r="H17" s="2650"/>
      <c r="I17" s="1059">
        <f>IF(AND(G161="Yes",G159),IF(G165&gt;15%,15%,G165),0)</f>
        <v>0</v>
      </c>
    </row>
    <row r="18" spans="1:21" ht="15" customHeight="1">
      <c r="A18" s="1041"/>
      <c r="B18" s="2651" t="s">
        <v>1911</v>
      </c>
      <c r="C18" s="2651"/>
      <c r="D18" s="2651"/>
      <c r="E18" s="1105">
        <f>SUM(E9:E11,E14)</f>
        <v>20773200</v>
      </c>
      <c r="G18" s="1132" t="s">
        <v>1945</v>
      </c>
      <c r="H18" s="1132"/>
      <c r="I18" s="1106">
        <f>I11-((I11*I14)+(I11*I15)+(I11*I16)+(I11*I17))</f>
        <v>8747192.1428571437</v>
      </c>
      <c r="M18" s="1060">
        <f>SUM(Cdlac[Quantity])</f>
        <v>60</v>
      </c>
      <c r="O18" s="1079" t="s">
        <v>581</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30</v>
      </c>
      <c r="N20" s="1066">
        <f>Application!AC726</f>
        <v>0.3</v>
      </c>
      <c r="O20" s="1066">
        <f>IF(Cdlac[[#This Row],[Quantity]]&gt;0,IF(Cdlac[[#This Row],[Federal]],30%,IF(AND(OR(NOT($G$38),$G$38=""),$G$43),40%,Cdlac[[#This Row],[iAMI]])),"")</f>
        <v>0.3</v>
      </c>
      <c r="P20" s="1060" cm="1">
        <f t="array" ref="P20">IF(Cdlac[[#This Row],[Quantity]]&gt;0,INDEX(TcacRents,$P$18,Cdlac[[#This Row],[Bedrooms]]+1)*Cdlac[[#This Row],[AMI]],"")</f>
        <v>852</v>
      </c>
      <c r="Q20" s="1157">
        <v>852</v>
      </c>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1229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1</v>
      </c>
      <c r="M21" s="1060">
        <f>Application!G727</f>
        <v>30</v>
      </c>
      <c r="N21" s="1066">
        <f>Application!AC727</f>
        <v>0.5</v>
      </c>
      <c r="O21" s="1066">
        <f>IF(Cdlac[[#This Row],[Quantity]]&gt;0,IF(Cdlac[[#This Row],[Federal]],30%,IF(AND(OR(NOT($G$38),$G$38=""),$G$43),40%,Cdlac[[#This Row],[iAMI]])),"")</f>
        <v>0.3</v>
      </c>
      <c r="P21" s="1060" cm="1">
        <f t="array" ref="P21">IF(Cdlac[[#This Row],[Quantity]]&gt;0,INDEX(TcacRents,$P$18,Cdlac[[#This Row],[Bedrooms]]+1)*Cdlac[[#This Row],[AMI]],"")</f>
        <v>852</v>
      </c>
      <c r="Q21" s="1157">
        <v>1420</v>
      </c>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1229</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40" t="s">
        <v>1959</v>
      </c>
      <c r="D22" s="2640" t="s">
        <v>1960</v>
      </c>
      <c r="E22" s="2640" t="s">
        <v>1961</v>
      </c>
      <c r="F22" s="2640" t="s">
        <v>2533</v>
      </c>
      <c r="G22" s="2640" t="s">
        <v>1958</v>
      </c>
      <c r="H22" s="1065"/>
      <c r="I22" s="1064"/>
      <c r="L22" s="1039" t="str">
        <f>IFERROR(MIN(4,MATCH(Application!B728,UnitSizes,0)-1),"")</f>
        <v/>
      </c>
      <c r="M22" s="1060">
        <f>Application!G728</f>
        <v>0</v>
      </c>
      <c r="N22" s="1066">
        <f>Application!AC728</f>
        <v>0</v>
      </c>
      <c r="O22" s="1066" t="str">
        <f>IF(Cdlac[[#This Row],[Quantity]]&gt;0,IF(Cdlac[[#This Row],[Federal]],30%,IF(AND(OR(NOT($G$38),$G$38=""),$G$43),40%,Cdlac[[#This Row],[iAMI]])),"")</f>
        <v/>
      </c>
      <c r="P22" s="1060" t="str" cm="1">
        <f t="array" ref="P22">IF(Cdlac[[#This Row],[Quantity]]&gt;0,INDEX(TcacRents,$P$18,Cdlac[[#This Row],[Bedrooms]]+1)*Cdlac[[#This Row],[AMI]],"")</f>
        <v/>
      </c>
      <c r="Q22" s="1157"/>
      <c r="R22" s="1060" t="str" cm="1">
        <f t="array" ref="R22">IF(Cdlac[[#This Row],[Quantity]]&gt;0,INDEX(HudFmrs,$P$18,Cdlac[[#This Row],[Bedrooms]]+1),"")</f>
        <v/>
      </c>
      <c r="S22" s="1060" t="str">
        <f>IF(Cdlac[[#This Row],[Quantity]]&gt;0,MAX(0,Cdlac[[#This Row],[Fair Market Rent]]-IF(AND($G$37,$G$38,$G$38&lt;&gt;"",NOT(Cdlac[[#This Row],[Federal]]),Cdlac[[#This Row],[Preservation Rent]]&lt;&gt;""),Cdlac[[#This Row],[Preservation Rent]],Cdlac[[#This Row],[Restricted Rent]])),"")</f>
        <v/>
      </c>
      <c r="T22" s="1039" t="str">
        <f>IF(Cdlac[[#This Row],[Quantity]]&gt;0,AND(Application!AK728&lt;&gt;"N/A",Application!AK728&lt;&gt;"")*Cdlac[[#This Row],[Quantity]],"")</f>
        <v/>
      </c>
      <c r="U22" s="1039" t="b">
        <f>AND('Subsidy Contract Calculation'!F6&gt;0,OR('Subsidy Contract Calculation'!C6="Federal",'Subsidy Contract Calculation'!C6="Local - Approved by ED"),Cdlac[[#This Row],[Quantity]]&gt;0)</f>
        <v>0</v>
      </c>
    </row>
    <row r="23" spans="1:21" ht="15" customHeight="1">
      <c r="A23" s="1044"/>
      <c r="C23" s="2641"/>
      <c r="D23" s="2641"/>
      <c r="E23" s="2641"/>
      <c r="F23" s="2641"/>
      <c r="G23" s="2641"/>
      <c r="H23" s="1065"/>
      <c r="I23" s="1064"/>
      <c r="L23" s="1039" t="str">
        <f>IFERROR(MIN(4,MATCH(Application!B729,UnitSizes,0)-1),"")</f>
        <v/>
      </c>
      <c r="M23" s="1060">
        <f>Application!G729</f>
        <v>0</v>
      </c>
      <c r="N23" s="1066">
        <f>Application!AC729</f>
        <v>0</v>
      </c>
      <c r="O23" s="1066" t="str">
        <f>IF(Cdlac[[#This Row],[Quantity]]&gt;0,IF(Cdlac[[#This Row],[Federal]],30%,IF(AND(OR(NOT($G$38),$G$38=""),$G$43),40%,Cdlac[[#This Row],[iAMI]])),"")</f>
        <v/>
      </c>
      <c r="P23" s="1060" t="str" cm="1">
        <f t="array" ref="P23">IF(Cdlac[[#This Row],[Quantity]]&gt;0,INDEX(TcacRents,$P$18,Cdlac[[#This Row],[Bedrooms]]+1)*Cdlac[[#This Row],[AMI]],"")</f>
        <v/>
      </c>
      <c r="Q23" s="1157"/>
      <c r="R23" s="1060" t="str" cm="1">
        <f t="array" ref="R23">IF(Cdlac[[#This Row],[Quantity]]&gt;0,INDEX(HudFmrs,$P$18,Cdlac[[#This Row],[Bedrooms]]+1),"")</f>
        <v/>
      </c>
      <c r="S23" s="1060" t="str">
        <f>IF(Cdlac[[#This Row],[Quantity]]&gt;0,MAX(0,Cdlac[[#This Row],[Fair Market Rent]]-IF(AND($G$37,$G$38,$G$38&lt;&gt;"",NOT(Cdlac[[#This Row],[Federal]]),Cdlac[[#This Row],[Preservation Rent]]&lt;&gt;""),Cdlac[[#This Row],[Preservation Rent]],Cdlac[[#This Row],[Restricted Rent]])),"")</f>
        <v/>
      </c>
      <c r="T23" s="1039" t="str">
        <f>IF(Cdlac[[#This Row],[Quantity]]&gt;0,AND(Application!AK729&lt;&gt;"N/A",Application!AK729&lt;&gt;"")*Cdlac[[#This Row],[Quantity]],"")</f>
        <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60</v>
      </c>
      <c r="F25" s="1067">
        <f>E25</f>
        <v>60</v>
      </c>
      <c r="G25" s="1067">
        <f>D25*F25</f>
        <v>60</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0" t="s">
        <v>1574</v>
      </c>
      <c r="D29" s="2671"/>
      <c r="E29" s="1084">
        <f>SUM(E24:E28)</f>
        <v>60</v>
      </c>
      <c r="F29" s="1084">
        <f>SUM(F24:F28)</f>
        <v>60</v>
      </c>
      <c r="G29" s="1085">
        <f>SUMPRODUCT(D24:D28,F24:F28)</f>
        <v>60</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60</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3000000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2571</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t="b">
        <v>1</v>
      </c>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3"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73"/>
      <c r="E39" s="2673"/>
      <c r="F39" s="2673"/>
      <c r="G39" s="2673"/>
      <c r="H39" s="2673"/>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3"/>
      <c r="D40" s="2673"/>
      <c r="E40" s="2673"/>
      <c r="F40" s="2673"/>
      <c r="G40" s="2673"/>
      <c r="H40" s="2673"/>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3"/>
      <c r="D41" s="2673"/>
      <c r="E41" s="2673"/>
      <c r="F41" s="2673"/>
      <c r="G41" s="2673"/>
      <c r="H41" s="2673"/>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t="e" cm="1">
        <f t="array" ref="G42">SUMPRODUCT(Cdlac[Quantity],Cdlac[iAMI],IF(Cdlac[Federal],0,1))/SUMIFS(Cdlac[Quantity],Cdlac[Federal],FALSE)</f>
        <v>#DIV/0!</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e">
        <f>G42&lt;40%</f>
        <v>#DIV/0!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73740</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13273200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30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30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30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600000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30</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2576</v>
      </c>
      <c r="G67" s="1039" t="b">
        <f>Application!V227="Yes"</f>
        <v>0</v>
      </c>
    </row>
    <row r="68" spans="5:7" ht="15" customHeight="1">
      <c r="E68" s="1079" t="s">
        <v>2577</v>
      </c>
      <c r="G68" s="1202">
        <f>SUMIF(Application!AK726:AK760,"Homeless",Application!G726:G760)</f>
        <v>0</v>
      </c>
    </row>
    <row r="69" spans="5:7" ht="15" customHeight="1">
      <c r="E69" s="1079"/>
    </row>
    <row r="70" spans="5:7" ht="15" customHeight="1">
      <c r="E70" s="1079" t="s">
        <v>2578</v>
      </c>
      <c r="G70" s="1203"/>
    </row>
    <row r="71" spans="5:7" ht="15" customHeight="1">
      <c r="E71" s="1079" t="s">
        <v>2579</v>
      </c>
      <c r="G71" s="1203"/>
    </row>
    <row r="72" spans="5:7" ht="15" customHeight="1">
      <c r="E72" s="1079" t="s">
        <v>2580</v>
      </c>
      <c r="G72" s="1202">
        <f>IF(G71=0,0,(G70/G71)*100000)</f>
        <v>0</v>
      </c>
    </row>
    <row r="73" spans="5:7" ht="15" customHeight="1">
      <c r="E73" s="1079" t="s">
        <v>2581</v>
      </c>
      <c r="G73" s="1203"/>
    </row>
    <row r="74" spans="5:7" ht="15" customHeight="1">
      <c r="E74" s="1079" t="s">
        <v>2582</v>
      </c>
      <c r="G74" s="1203"/>
    </row>
    <row r="75" spans="5:7" ht="15" customHeight="1">
      <c r="E75" s="1079" t="s">
        <v>2583</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668</v>
      </c>
      <c r="L83" s="2642" t="s">
        <v>1942</v>
      </c>
      <c r="M83" s="2643"/>
      <c r="N83" s="1125">
        <v>30000</v>
      </c>
    </row>
    <row r="84" spans="2:14" ht="15" customHeight="1">
      <c r="C84" s="1072" t="s">
        <v>1954</v>
      </c>
      <c r="G84" s="1076" t="str">
        <f>IF(Application!D211="Large Family","Yes","No")</f>
        <v>No</v>
      </c>
      <c r="L84" s="2646" t="s">
        <v>1910</v>
      </c>
      <c r="M84" s="2647"/>
      <c r="N84" s="1126">
        <v>20000</v>
      </c>
    </row>
    <row r="85" spans="2:14" ht="15" customHeight="1" thickBot="1">
      <c r="C85" s="1072" t="s">
        <v>1940</v>
      </c>
      <c r="G85" s="1038" t="s">
        <v>668</v>
      </c>
      <c r="L85" s="2648" t="s">
        <v>1943</v>
      </c>
      <c r="M85" s="2649"/>
      <c r="N85" s="1127">
        <v>10000</v>
      </c>
    </row>
    <row r="86" spans="2:14" ht="15" customHeight="1" thickBot="1">
      <c r="C86" s="1072" t="s">
        <v>1941</v>
      </c>
      <c r="G86" s="1039" t="str">
        <f>Application!T193</f>
        <v>Low Resource</v>
      </c>
    </row>
    <row r="87" spans="2:14" ht="15" customHeight="1">
      <c r="C87" s="2676" t="s">
        <v>2208</v>
      </c>
      <c r="D87" s="2676"/>
      <c r="E87" s="2676"/>
      <c r="F87" s="2676"/>
      <c r="G87" s="1038" t="s">
        <v>668</v>
      </c>
      <c r="L87" s="1121" t="str">
        <f>'Points System'!H651</f>
        <v>(i)</v>
      </c>
      <c r="M87" s="2644" t="s">
        <v>1396</v>
      </c>
      <c r="N87" s="2645"/>
    </row>
    <row r="88" spans="2:14" ht="15" customHeight="1">
      <c r="C88" s="2676"/>
      <c r="D88" s="2676"/>
      <c r="E88" s="2676"/>
      <c r="F88" s="2676"/>
      <c r="L88" s="1122" t="str">
        <f>'Points System'!H663</f>
        <v>(ii)</v>
      </c>
      <c r="M88" s="2636" t="s">
        <v>1929</v>
      </c>
      <c r="N88" s="2637"/>
    </row>
    <row r="89" spans="2:14" ht="15" customHeight="1">
      <c r="C89" s="1072"/>
      <c r="L89" s="1122" t="str">
        <f>'Points System'!H698</f>
        <v>(ii)</v>
      </c>
      <c r="M89" s="2636" t="s">
        <v>1930</v>
      </c>
      <c r="N89" s="2637"/>
    </row>
    <row r="90" spans="2:14" ht="15" customHeight="1">
      <c r="E90" s="1079" t="s">
        <v>1972</v>
      </c>
      <c r="G90" s="1074" t="b">
        <f>OR(AND(COUNTIFS(G84:G85,"Yes")&gt;=1,G83="Yes"),G87="Yes")</f>
        <v>0</v>
      </c>
      <c r="L90" s="1122" t="str">
        <f>IF(OR('Points System'!H722="(ii)",'Points System'!H722="(i)"),"(i)","N/A")</f>
        <v>N/A</v>
      </c>
      <c r="M90" s="2636" t="s">
        <v>1931</v>
      </c>
      <c r="N90" s="2637"/>
    </row>
    <row r="91" spans="2:14" ht="15" customHeight="1">
      <c r="E91" s="1079"/>
      <c r="G91" s="1074"/>
      <c r="L91" s="1123" t="str">
        <f>'Points System'!H736</f>
        <v>(i)</v>
      </c>
      <c r="M91" s="2636" t="s">
        <v>1422</v>
      </c>
      <c r="N91" s="2637"/>
    </row>
    <row r="92" spans="2:14" ht="15" customHeight="1">
      <c r="E92" s="1079" t="s">
        <v>1917</v>
      </c>
      <c r="G92" s="1073">
        <f>IFERROR(IF($G$87="Yes",30000,INDEX(N83:N85,MATCH(LEFT(G86,17),L83:L85,0))),0)</f>
        <v>0</v>
      </c>
      <c r="L92" s="1122" t="str">
        <f>'Points System'!H748</f>
        <v>N/A</v>
      </c>
      <c r="M92" s="2636" t="s">
        <v>1932</v>
      </c>
      <c r="N92" s="2637"/>
    </row>
    <row r="93" spans="2:14" ht="15" customHeight="1">
      <c r="E93" s="1079" t="str">
        <f>E110</f>
        <v>Bedroom-Adjusted Low-Income Units</v>
      </c>
      <c r="F93" s="1107" t="s">
        <v>1965</v>
      </c>
      <c r="G93" s="1108">
        <f>G29</f>
        <v>60</v>
      </c>
      <c r="L93" s="1122" t="str">
        <f>'Points System'!H764</f>
        <v>(ii)</v>
      </c>
      <c r="M93" s="2636" t="s">
        <v>1933</v>
      </c>
      <c r="N93" s="2637"/>
    </row>
    <row r="94" spans="2:14" ht="15" customHeight="1" thickBot="1">
      <c r="D94" s="1041"/>
      <c r="E94" s="1112" t="s">
        <v>2211</v>
      </c>
      <c r="F94" s="1041"/>
      <c r="G94" s="1117">
        <f>G93*G92*G90</f>
        <v>0</v>
      </c>
      <c r="L94" s="1124" t="str">
        <f>'Points System'!H776</f>
        <v>(i)</v>
      </c>
      <c r="M94" s="2638" t="s">
        <v>1425</v>
      </c>
      <c r="N94" s="2639"/>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668</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60</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60</v>
      </c>
    </row>
    <row r="111" spans="2:9" ht="15" customHeight="1">
      <c r="E111" s="1112" t="s">
        <v>1934</v>
      </c>
      <c r="F111" s="1041"/>
      <c r="G111" s="1117">
        <f>G108*G109*G110</f>
        <v>1680000</v>
      </c>
    </row>
    <row r="112" spans="2:9" ht="15" customHeight="1">
      <c r="C112" s="1072"/>
      <c r="G112" s="1108"/>
    </row>
    <row r="113" spans="2:7" ht="15" customHeight="1">
      <c r="E113" s="1079" t="s">
        <v>1970</v>
      </c>
      <c r="G113" s="1108">
        <f>COUNTIFS(L87:L94,"(i)")</f>
        <v>3</v>
      </c>
    </row>
    <row r="114" spans="2:7" ht="15" customHeight="1">
      <c r="E114" s="1079" t="s">
        <v>1917</v>
      </c>
      <c r="F114" s="1107" t="s">
        <v>1965</v>
      </c>
      <c r="G114" s="1118">
        <v>4000</v>
      </c>
    </row>
    <row r="115" spans="2:7" ht="15" customHeight="1">
      <c r="E115" s="1112" t="s">
        <v>1935</v>
      </c>
      <c r="F115" s="1041"/>
      <c r="G115" s="1117">
        <f>G110*G113*G114</f>
        <v>720000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544</v>
      </c>
    </row>
    <row r="121" spans="2:7">
      <c r="C121" s="1072" t="s">
        <v>2095</v>
      </c>
      <c r="G121" s="1038"/>
    </row>
    <row r="123" spans="2:7">
      <c r="B123" s="1073"/>
      <c r="C123" s="1072"/>
      <c r="E123" s="1079" t="s">
        <v>1972</v>
      </c>
      <c r="G123" s="1074" t="b">
        <f>COUNTIFS(G118:G121,"Yes")&gt;=1</f>
        <v>1</v>
      </c>
    </row>
    <row r="124" spans="2:7">
      <c r="E124" s="1072"/>
    </row>
    <row r="125" spans="2:7" ht="14.5">
      <c r="E125" s="1079" t="s">
        <v>1969</v>
      </c>
      <c r="F125" s="1107" t="s">
        <v>1965</v>
      </c>
      <c r="G125" s="1108">
        <f>G29</f>
        <v>60</v>
      </c>
    </row>
    <row r="126" spans="2:7" ht="14.5">
      <c r="E126" s="1079" t="s">
        <v>1917</v>
      </c>
      <c r="F126" s="1107" t="s">
        <v>1965</v>
      </c>
      <c r="G126" s="1118">
        <v>25000</v>
      </c>
    </row>
    <row r="127" spans="2:7">
      <c r="E127" s="1112" t="s">
        <v>1936</v>
      </c>
      <c r="F127" s="1041"/>
      <c r="G127" s="1117">
        <f>G123*G126*G110</f>
        <v>1500000</v>
      </c>
    </row>
    <row r="128" spans="2:7">
      <c r="C128" s="1072"/>
      <c r="E128" s="1072"/>
    </row>
    <row r="129" spans="2:9">
      <c r="E129" s="1112" t="s">
        <v>2213</v>
      </c>
      <c r="G129" s="1117">
        <f>G127+G115+G111</f>
        <v>3900000</v>
      </c>
    </row>
    <row r="131" spans="2:9">
      <c r="B131" s="1061" t="s">
        <v>139</v>
      </c>
      <c r="C131" s="1062"/>
      <c r="D131" s="1062"/>
      <c r="E131" s="1062"/>
      <c r="F131" s="1062"/>
      <c r="G131" s="1062"/>
      <c r="H131" s="1062"/>
      <c r="I131" s="1063"/>
    </row>
    <row r="133" spans="2:9">
      <c r="C133" s="2672" t="s">
        <v>2180</v>
      </c>
      <c r="D133" s="2672"/>
      <c r="E133" s="2672"/>
      <c r="F133" s="2672"/>
    </row>
    <row r="134" spans="2:9">
      <c r="C134" s="2672"/>
      <c r="D134" s="2672"/>
      <c r="E134" s="2672"/>
      <c r="F134" s="2672"/>
      <c r="G134" s="1038"/>
    </row>
    <row r="135" spans="2:9" ht="14.25" customHeight="1"/>
    <row r="136" spans="2:9">
      <c r="C136" s="1039" t="s">
        <v>2182</v>
      </c>
      <c r="G136" s="2674"/>
      <c r="H136" s="2674"/>
    </row>
    <row r="137" spans="2:9">
      <c r="G137" s="2674"/>
      <c r="H137" s="2674"/>
    </row>
    <row r="138" spans="2:9">
      <c r="G138" s="2675"/>
      <c r="H138" s="2675"/>
    </row>
    <row r="140" spans="2:9">
      <c r="C140" s="2672" t="s">
        <v>2591</v>
      </c>
      <c r="D140" s="2672"/>
      <c r="E140" s="2672"/>
      <c r="F140" s="2672"/>
    </row>
    <row r="141" spans="2:9">
      <c r="C141" s="2672"/>
      <c r="D141" s="2672"/>
      <c r="E141" s="2672"/>
      <c r="F141" s="2672"/>
      <c r="G141" s="1038"/>
    </row>
    <row r="142" spans="2:9">
      <c r="C142" s="2672"/>
      <c r="D142" s="2672"/>
      <c r="E142" s="2672"/>
      <c r="F142" s="2672"/>
    </row>
    <row r="144" spans="2:9">
      <c r="C144" s="2672" t="s">
        <v>2590</v>
      </c>
      <c r="D144" s="2672"/>
      <c r="E144" s="2672"/>
      <c r="F144" s="2672"/>
    </row>
    <row r="145" spans="2:9">
      <c r="C145" s="2672"/>
      <c r="D145" s="2672"/>
      <c r="E145" s="2672"/>
      <c r="F145" s="2672"/>
      <c r="G145" s="1038"/>
    </row>
    <row r="146" spans="2:9">
      <c r="C146" s="2672"/>
      <c r="D146" s="2672"/>
      <c r="E146" s="2672"/>
      <c r="F146" s="2672"/>
    </row>
    <row r="147" spans="2:9">
      <c r="C147" s="2672"/>
      <c r="D147" s="2672"/>
      <c r="E147" s="2672"/>
      <c r="F147" s="2672"/>
    </row>
    <row r="149" spans="2:9">
      <c r="B149" s="1061" t="s">
        <v>1974</v>
      </c>
      <c r="C149" s="1062"/>
      <c r="D149" s="1062"/>
      <c r="E149" s="1062"/>
      <c r="F149" s="1062"/>
      <c r="G149" s="1062"/>
      <c r="H149" s="1062"/>
      <c r="I149" s="1063"/>
    </row>
    <row r="151" spans="2:9">
      <c r="E151" s="1079" t="s">
        <v>581</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c r="D155" s="1041"/>
      <c r="E155" s="1112" t="s">
        <v>1975</v>
      </c>
      <c r="F155" s="1128"/>
      <c r="G155" s="1129">
        <f>((G153-G154)/G154)*0.25</f>
        <v>2.1785714285714287E-2</v>
      </c>
      <c r="H155" s="1037"/>
      <c r="I155" s="1037"/>
    </row>
    <row r="156" spans="2:9">
      <c r="D156" s="1040"/>
      <c r="E156" s="1040"/>
    </row>
    <row r="157" spans="2:9">
      <c r="B157" s="1061" t="s">
        <v>2214</v>
      </c>
      <c r="C157" s="1062"/>
      <c r="D157" s="1062"/>
      <c r="E157" s="1062"/>
      <c r="F157" s="1062"/>
      <c r="G157" s="1062"/>
      <c r="H157" s="1062"/>
      <c r="I157" s="1063"/>
    </row>
    <row r="159" spans="2:9">
      <c r="E159" s="1079" t="s">
        <v>2571</v>
      </c>
      <c r="G159" s="1039" t="b">
        <f>G37</f>
        <v>1</v>
      </c>
    </row>
    <row r="160" spans="2:9">
      <c r="C160" s="2669" t="s">
        <v>2215</v>
      </c>
      <c r="D160" s="2669"/>
      <c r="E160" s="2669"/>
      <c r="F160" s="2669"/>
    </row>
    <row r="161" spans="2:7">
      <c r="B161" s="1040"/>
      <c r="C161" s="2669"/>
      <c r="D161" s="2669"/>
      <c r="E161" s="2669"/>
      <c r="F161" s="2669"/>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1341300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2" workbookViewId="0">
      <selection activeCell="F6" sqref="F6"/>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77" t="s">
        <v>908</v>
      </c>
      <c r="B1" s="2677"/>
      <c r="C1" s="2677"/>
      <c r="D1" s="2677"/>
      <c r="E1" s="2677"/>
      <c r="F1" s="2677"/>
      <c r="G1" s="2677"/>
      <c r="H1" s="2677"/>
      <c r="I1" s="2677"/>
      <c r="J1" s="2677"/>
      <c r="K1" s="204"/>
      <c r="L1" s="204"/>
    </row>
    <row r="2" spans="1:12">
      <c r="A2" s="210"/>
      <c r="B2" s="210"/>
      <c r="C2" s="210"/>
      <c r="D2" s="210"/>
      <c r="E2" s="210"/>
      <c r="F2" s="210"/>
      <c r="G2" s="210"/>
      <c r="H2" s="210"/>
      <c r="I2" s="210"/>
      <c r="J2" s="210"/>
    </row>
    <row r="3" spans="1:12" ht="84.5">
      <c r="A3" s="426" t="s">
        <v>909</v>
      </c>
      <c r="B3" s="426" t="s">
        <v>2201</v>
      </c>
      <c r="C3" s="426" t="s">
        <v>2202</v>
      </c>
      <c r="D3" s="1140" t="s">
        <v>2203</v>
      </c>
      <c r="E3" s="204"/>
      <c r="F3" s="1140" t="s">
        <v>910</v>
      </c>
      <c r="G3" s="426" t="s">
        <v>911</v>
      </c>
      <c r="H3" s="427"/>
      <c r="I3" s="426" t="s">
        <v>912</v>
      </c>
      <c r="J3" s="426" t="s">
        <v>913</v>
      </c>
      <c r="K3" s="204"/>
      <c r="L3" s="305"/>
    </row>
    <row r="4" spans="1:12">
      <c r="A4" s="428" t="str">
        <f>Application!B726</f>
        <v>1 Bedroom</v>
      </c>
      <c r="B4" s="1077">
        <f>Application!G726</f>
        <v>30</v>
      </c>
      <c r="C4" s="1155" t="s">
        <v>384</v>
      </c>
      <c r="D4" s="428">
        <f>Application!O726</f>
        <v>822</v>
      </c>
      <c r="E4" s="429"/>
      <c r="F4" s="1078">
        <v>2241</v>
      </c>
      <c r="G4" s="428">
        <f>F4*B4</f>
        <v>67230</v>
      </c>
      <c r="H4" s="429"/>
      <c r="I4" s="428">
        <f t="shared" ref="I4:I27" si="0">IF(F4=0,"",(F4-D4))</f>
        <v>1419</v>
      </c>
      <c r="J4" s="428">
        <f t="shared" ref="J4:J27" si="1">IF(F4=0,"",(I4*B4))</f>
        <v>42570</v>
      </c>
      <c r="K4" s="204"/>
      <c r="L4" s="305"/>
    </row>
    <row r="5" spans="1:12">
      <c r="A5" s="428" t="str">
        <f>Application!B727</f>
        <v>1 Bedroom</v>
      </c>
      <c r="B5" s="1077">
        <f>Application!G727</f>
        <v>30</v>
      </c>
      <c r="C5" s="1155" t="s">
        <v>384</v>
      </c>
      <c r="D5" s="428">
        <f>Application!O727</f>
        <v>1390</v>
      </c>
      <c r="E5" s="429"/>
      <c r="F5" s="1078">
        <v>2241</v>
      </c>
      <c r="G5" s="428">
        <f t="shared" ref="G5:G38" si="2">F5*B5</f>
        <v>67230</v>
      </c>
      <c r="H5" s="429"/>
      <c r="I5" s="428">
        <f t="shared" si="0"/>
        <v>851</v>
      </c>
      <c r="J5" s="428">
        <f t="shared" si="1"/>
        <v>25530</v>
      </c>
      <c r="K5" s="204"/>
      <c r="L5" s="305"/>
    </row>
    <row r="6" spans="1:12">
      <c r="A6" s="428">
        <f>Application!B728</f>
        <v>0</v>
      </c>
      <c r="B6" s="1077">
        <f>Application!G728</f>
        <v>0</v>
      </c>
      <c r="C6" s="1155"/>
      <c r="D6" s="428">
        <f>Application!O728</f>
        <v>0</v>
      </c>
      <c r="E6" s="429"/>
      <c r="F6" s="1078"/>
      <c r="G6" s="428">
        <f t="shared" si="2"/>
        <v>0</v>
      </c>
      <c r="H6" s="429"/>
      <c r="I6" s="428" t="str">
        <f t="shared" si="0"/>
        <v/>
      </c>
      <c r="J6" s="428" t="str">
        <f t="shared" si="1"/>
        <v/>
      </c>
      <c r="K6" s="204"/>
      <c r="L6" s="305"/>
    </row>
    <row r="7" spans="1:12">
      <c r="A7" s="428">
        <f>Application!B729</f>
        <v>0</v>
      </c>
      <c r="B7" s="1077">
        <f>Application!G729</f>
        <v>0</v>
      </c>
      <c r="C7" s="1155"/>
      <c r="D7" s="428">
        <f>Application!O729</f>
        <v>0</v>
      </c>
      <c r="E7" s="429"/>
      <c r="F7" s="1078"/>
      <c r="G7" s="428">
        <f t="shared" si="2"/>
        <v>0</v>
      </c>
      <c r="H7" s="429"/>
      <c r="I7" s="428" t="str">
        <f t="shared" si="0"/>
        <v/>
      </c>
      <c r="J7" s="428" t="str">
        <f t="shared" si="1"/>
        <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66360</v>
      </c>
      <c r="E40" s="429"/>
      <c r="F40" s="429"/>
      <c r="G40" s="432">
        <f>SUM(G4:G38)*12</f>
        <v>1613520</v>
      </c>
      <c r="H40" s="433"/>
      <c r="I40" s="431"/>
      <c r="J40" s="432">
        <f>SUM(J4:J38)*12</f>
        <v>817200</v>
      </c>
      <c r="K40" s="204"/>
      <c r="L40" s="306"/>
    </row>
    <row r="41" spans="1:12">
      <c r="A41" s="430"/>
      <c r="B41" s="431"/>
      <c r="C41" s="431"/>
      <c r="D41" s="433"/>
      <c r="E41" s="429"/>
      <c r="F41" s="429"/>
      <c r="G41" s="433"/>
      <c r="H41" s="433"/>
      <c r="I41" s="431"/>
      <c r="J41" s="433"/>
      <c r="K41" s="204"/>
      <c r="L41" s="306"/>
    </row>
    <row r="42" spans="1:12">
      <c r="A42" s="304" t="s">
        <v>2204</v>
      </c>
    </row>
    <row r="43" spans="1:12">
      <c r="A43" s="2678" t="s">
        <v>2425</v>
      </c>
      <c r="B43" s="2678"/>
      <c r="C43" s="2678"/>
      <c r="D43" s="2678"/>
      <c r="E43" s="2678"/>
      <c r="F43" s="2678"/>
      <c r="G43" s="2678"/>
      <c r="H43" s="2678"/>
      <c r="I43" s="2678"/>
      <c r="J43" s="2678"/>
    </row>
    <row r="44" spans="1:12">
      <c r="A44" s="2678"/>
      <c r="B44" s="2678"/>
      <c r="C44" s="2678"/>
      <c r="D44" s="2678"/>
      <c r="E44" s="2678"/>
      <c r="F44" s="2678"/>
      <c r="G44" s="2678"/>
      <c r="H44" s="2678"/>
      <c r="I44" s="2678"/>
      <c r="J44" s="2678"/>
    </row>
    <row r="45" spans="1:12">
      <c r="A45" s="2678" t="s">
        <v>2205</v>
      </c>
      <c r="B45" s="2678"/>
      <c r="C45" s="2678"/>
      <c r="D45" s="2678"/>
      <c r="E45" s="2678"/>
      <c r="F45" s="2678"/>
      <c r="G45" s="2678"/>
      <c r="H45" s="2678"/>
      <c r="I45" s="2678"/>
      <c r="J45" s="2678"/>
    </row>
    <row r="46" spans="1:12">
      <c r="A46" s="2678"/>
      <c r="B46" s="2678"/>
      <c r="C46" s="2678"/>
      <c r="D46" s="2678"/>
      <c r="E46" s="2678"/>
      <c r="F46" s="2678"/>
      <c r="G46" s="2678"/>
      <c r="H46" s="2678"/>
      <c r="I46" s="2678"/>
      <c r="J46" s="2678"/>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8" workbookViewId="0">
      <selection activeCell="E23" sqref="E23"/>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2048</v>
      </c>
      <c r="B1" s="211"/>
    </row>
    <row r="2" spans="1:34"/>
    <row r="3" spans="1:34" ht="15.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Application!Y809</f>
        <v>796320</v>
      </c>
      <c r="G4" s="219">
        <f>E4*$C$4</f>
        <v>816227.99999999988</v>
      </c>
      <c r="I4" s="219">
        <f>G4*$C$4</f>
        <v>836633.69999999984</v>
      </c>
      <c r="K4" s="219">
        <f>I4*$C$4</f>
        <v>857549.54249999975</v>
      </c>
      <c r="M4" s="219">
        <f>K4*$C$4</f>
        <v>878988.28106249962</v>
      </c>
      <c r="O4" s="219">
        <f>M4*$C$4</f>
        <v>900962.98808906204</v>
      </c>
      <c r="Q4" s="219">
        <f>O4*$C$4</f>
        <v>923487.06279128848</v>
      </c>
      <c r="S4" s="219">
        <f>Q4*$C$4</f>
        <v>946574.23936107056</v>
      </c>
      <c r="U4" s="219">
        <f>S4*$C$4</f>
        <v>970238.59534509724</v>
      </c>
      <c r="W4" s="219">
        <f>U4*$C$4</f>
        <v>994494.56022872461</v>
      </c>
      <c r="Y4" s="219">
        <f>W4*$C$4</f>
        <v>1019356.9242344426</v>
      </c>
      <c r="AA4" s="219">
        <f>Y4*$C$4</f>
        <v>1044840.8473403036</v>
      </c>
      <c r="AC4" s="219">
        <f>AA4*$C$4</f>
        <v>1070961.868523811</v>
      </c>
      <c r="AE4" s="219">
        <f>AC4*$C$4</f>
        <v>1097735.9152369061</v>
      </c>
      <c r="AG4" s="219">
        <f>AE4*$C$4</f>
        <v>1125179.3131178287</v>
      </c>
    </row>
    <row r="5" spans="1:34" s="210" customFormat="1" ht="14">
      <c r="B5" s="210" t="s">
        <v>837</v>
      </c>
      <c r="C5" s="238">
        <f>IF(Application!$D$211="Special Needs",(((0.1*Application!$T$212)+(0.05*(1-Application!$T$212)))),0.05)</f>
        <v>0.05</v>
      </c>
      <c r="E5" s="221">
        <f>-E4*$C$5</f>
        <v>-39816</v>
      </c>
      <c r="F5" s="221"/>
      <c r="G5" s="221">
        <f>-G4*$C$5</f>
        <v>-40811.399999999994</v>
      </c>
      <c r="H5" s="221"/>
      <c r="I5" s="221">
        <f>-I4*$C$5</f>
        <v>-41831.684999999998</v>
      </c>
      <c r="J5" s="221"/>
      <c r="K5" s="221">
        <f>-K4*$C$5</f>
        <v>-42877.47712499999</v>
      </c>
      <c r="L5" s="221"/>
      <c r="M5" s="221">
        <f>-M4*$C$5</f>
        <v>-43949.414053124987</v>
      </c>
      <c r="N5" s="221"/>
      <c r="O5" s="221">
        <f>-O4*$C$5</f>
        <v>-45048.149404453106</v>
      </c>
      <c r="P5" s="221"/>
      <c r="Q5" s="221">
        <f>-Q4*$C$5</f>
        <v>-46174.353139564424</v>
      </c>
      <c r="R5" s="221"/>
      <c r="S5" s="221">
        <f>-S4*$C$5</f>
        <v>-47328.711968053532</v>
      </c>
      <c r="T5" s="221"/>
      <c r="U5" s="221">
        <f>-U4*$C$5</f>
        <v>-48511.929767254864</v>
      </c>
      <c r="V5" s="221"/>
      <c r="W5" s="221">
        <f>-W4*$C$5</f>
        <v>-49724.728011436237</v>
      </c>
      <c r="X5" s="221"/>
      <c r="Y5" s="221">
        <f>-Y4*$C$5</f>
        <v>-50967.846211722135</v>
      </c>
      <c r="Z5" s="221"/>
      <c r="AA5" s="221">
        <f>-AA4*$C$5</f>
        <v>-52242.042367015179</v>
      </c>
      <c r="AB5" s="221"/>
      <c r="AC5" s="221">
        <f>-AC4*$C$5</f>
        <v>-53548.09342619055</v>
      </c>
      <c r="AD5" s="221"/>
      <c r="AE5" s="221">
        <f>-AE4*$C$5</f>
        <v>-54886.795761845307</v>
      </c>
      <c r="AF5" s="221"/>
      <c r="AG5" s="221">
        <f>-AG4*$C$5</f>
        <v>-56258.965655891436</v>
      </c>
    </row>
    <row r="6" spans="1:34" s="210" customFormat="1" ht="14">
      <c r="A6" s="210" t="s">
        <v>835</v>
      </c>
      <c r="C6" s="237">
        <v>1.0249999999999999</v>
      </c>
      <c r="E6" s="222">
        <f>Application!Z817</f>
        <v>817200</v>
      </c>
      <c r="F6" s="222"/>
      <c r="G6" s="222">
        <f>E6*$C$6</f>
        <v>837629.99999999988</v>
      </c>
      <c r="H6" s="222"/>
      <c r="I6" s="222">
        <f>G6*$C$6</f>
        <v>858570.74999999977</v>
      </c>
      <c r="J6" s="222"/>
      <c r="K6" s="222">
        <f>I6*$C$6</f>
        <v>880035.0187499997</v>
      </c>
      <c r="L6" s="222"/>
      <c r="M6" s="222">
        <f>K6*$C$6</f>
        <v>902035.8942187496</v>
      </c>
      <c r="N6" s="222"/>
      <c r="O6" s="222">
        <f>M6*$C$6</f>
        <v>924586.79157421831</v>
      </c>
      <c r="P6" s="222"/>
      <c r="Q6" s="222">
        <f>O6*$C$6</f>
        <v>947701.46136357368</v>
      </c>
      <c r="R6" s="222"/>
      <c r="S6" s="222">
        <f>Q6*$C$6</f>
        <v>971393.99789766292</v>
      </c>
      <c r="T6" s="222"/>
      <c r="U6" s="222">
        <f>S6*$C$6</f>
        <v>995678.84784510441</v>
      </c>
      <c r="V6" s="222"/>
      <c r="W6" s="222">
        <f>U6*$C$6</f>
        <v>1020570.8190412319</v>
      </c>
      <c r="X6" s="222"/>
      <c r="Y6" s="222">
        <f>W6*$C$6</f>
        <v>1046085.0895172625</v>
      </c>
      <c r="Z6" s="222"/>
      <c r="AA6" s="222">
        <f>Y6*$C$6</f>
        <v>1072237.2167551939</v>
      </c>
      <c r="AB6" s="222"/>
      <c r="AC6" s="222">
        <f>AA6*$C$6</f>
        <v>1099043.1471740736</v>
      </c>
      <c r="AD6" s="222"/>
      <c r="AE6" s="222">
        <f>AC6*$C$6</f>
        <v>1126519.2258534255</v>
      </c>
      <c r="AF6" s="222"/>
      <c r="AG6" s="222">
        <f>AE6*$C$6</f>
        <v>1154682.206499761</v>
      </c>
    </row>
    <row r="7" spans="1:34" s="210" customFormat="1" ht="14">
      <c r="B7" s="210" t="s">
        <v>837</v>
      </c>
      <c r="C7" s="238">
        <f>IF(Application!$D$211="Special Needs",(((0.1*Application!$T$212)+(0.05*(1-Application!$T$212)))),0.05)</f>
        <v>0.05</v>
      </c>
      <c r="E7" s="221">
        <f>-E6*$C$7</f>
        <v>-40860</v>
      </c>
      <c r="F7" s="221"/>
      <c r="G7" s="221">
        <f>-G6*$C$7</f>
        <v>-41881.5</v>
      </c>
      <c r="H7" s="221"/>
      <c r="I7" s="221">
        <f>-I6*$C$7</f>
        <v>-42928.537499999991</v>
      </c>
      <c r="J7" s="221"/>
      <c r="K7" s="221">
        <f>-K6*$C$7</f>
        <v>-44001.750937499986</v>
      </c>
      <c r="L7" s="221"/>
      <c r="M7" s="221">
        <f>-M6*$C$7</f>
        <v>-45101.79471093748</v>
      </c>
      <c r="N7" s="221"/>
      <c r="O7" s="221">
        <f>-O6*$C$7</f>
        <v>-46229.339578710918</v>
      </c>
      <c r="P7" s="221"/>
      <c r="Q7" s="221">
        <f>-Q6*$C$7</f>
        <v>-47385.073068178688</v>
      </c>
      <c r="R7" s="221"/>
      <c r="S7" s="221">
        <f>-S6*$C$7</f>
        <v>-48569.699894883146</v>
      </c>
      <c r="T7" s="221"/>
      <c r="U7" s="221">
        <f>-U6*$C$7</f>
        <v>-49783.942392255223</v>
      </c>
      <c r="V7" s="221"/>
      <c r="W7" s="221">
        <f>-W6*$C$7</f>
        <v>-51028.540952061594</v>
      </c>
      <c r="X7" s="221"/>
      <c r="Y7" s="221">
        <f>-Y6*$C$7</f>
        <v>-52304.254475863127</v>
      </c>
      <c r="Z7" s="221"/>
      <c r="AA7" s="221">
        <f>-AA6*$C$7</f>
        <v>-53611.860837759697</v>
      </c>
      <c r="AB7" s="221"/>
      <c r="AC7" s="221">
        <f>-AC6*$C$7</f>
        <v>-54952.157358703684</v>
      </c>
      <c r="AD7" s="221"/>
      <c r="AE7" s="221">
        <f>-AE6*$C$7</f>
        <v>-56325.961292671273</v>
      </c>
      <c r="AF7" s="221"/>
      <c r="AG7" s="221">
        <f>-AG6*$C$7</f>
        <v>-57734.110324988054</v>
      </c>
    </row>
    <row r="8" spans="1:34" s="210" customFormat="1" ht="14">
      <c r="A8" s="210" t="s">
        <v>287</v>
      </c>
      <c r="C8" s="237">
        <v>1.0249999999999999</v>
      </c>
      <c r="E8" s="222">
        <f>Application!Z825</f>
        <v>4500</v>
      </c>
      <c r="F8" s="222"/>
      <c r="G8" s="222">
        <f>E8*$C$8</f>
        <v>4612.5</v>
      </c>
      <c r="H8" s="222"/>
      <c r="I8" s="222">
        <f>G8*$C$8</f>
        <v>4727.8125</v>
      </c>
      <c r="J8" s="222"/>
      <c r="K8" s="222">
        <f>I8*$C$8</f>
        <v>4846.0078125</v>
      </c>
      <c r="L8" s="222"/>
      <c r="M8" s="222">
        <f>K8*$C$8</f>
        <v>4967.1580078124998</v>
      </c>
      <c r="N8" s="222"/>
      <c r="O8" s="222">
        <f>M8*$C$8</f>
        <v>5091.3369580078115</v>
      </c>
      <c r="P8" s="222"/>
      <c r="Q8" s="222">
        <f>O8*$C$8</f>
        <v>5218.620381958006</v>
      </c>
      <c r="R8" s="222"/>
      <c r="S8" s="222">
        <f>Q8*$C$8</f>
        <v>5349.0858915069557</v>
      </c>
      <c r="T8" s="222"/>
      <c r="U8" s="222">
        <f>S8*$C$8</f>
        <v>5482.8130387946294</v>
      </c>
      <c r="V8" s="222"/>
      <c r="W8" s="222">
        <f>U8*$C$8</f>
        <v>5619.8833647644942</v>
      </c>
      <c r="X8" s="222"/>
      <c r="Y8" s="222">
        <f>W8*$C$8</f>
        <v>5760.3804488836058</v>
      </c>
      <c r="Z8" s="222"/>
      <c r="AA8" s="222">
        <f>Y8*$C$8</f>
        <v>5904.3899601056955</v>
      </c>
      <c r="AB8" s="222"/>
      <c r="AC8" s="222">
        <f>AA8*$C$8</f>
        <v>6051.9997091083378</v>
      </c>
      <c r="AD8" s="222"/>
      <c r="AE8" s="222">
        <f>AC8*$C$8</f>
        <v>6203.2997018360456</v>
      </c>
      <c r="AF8" s="222"/>
      <c r="AG8" s="222">
        <f>AE8*$C$8</f>
        <v>6358.3821943819466</v>
      </c>
    </row>
    <row r="9" spans="1:34" s="210" customFormat="1" ht="14">
      <c r="B9" s="210" t="s">
        <v>837</v>
      </c>
      <c r="C9" s="238">
        <f>IF(Application!$D$211="Special Needs",(((0.1*Application!$T$212)+(0.05*(1-Application!$T$212)))),0.05)</f>
        <v>0.05</v>
      </c>
      <c r="E9" s="221">
        <f>-E8*$C$9</f>
        <v>-225</v>
      </c>
      <c r="F9" s="221"/>
      <c r="G9" s="221">
        <f>-G8*$C$9</f>
        <v>-230.625</v>
      </c>
      <c r="H9" s="221"/>
      <c r="I9" s="221">
        <f>-I8*$C$9</f>
        <v>-236.390625</v>
      </c>
      <c r="J9" s="221"/>
      <c r="K9" s="221">
        <f>-K8*$C$9</f>
        <v>-242.30039062500001</v>
      </c>
      <c r="L9" s="221"/>
      <c r="M9" s="221">
        <f>-M8*$C$9</f>
        <v>-248.35790039062499</v>
      </c>
      <c r="N9" s="221"/>
      <c r="O9" s="221">
        <f>-O8*$C$9</f>
        <v>-254.5668479003906</v>
      </c>
      <c r="P9" s="221"/>
      <c r="Q9" s="221">
        <f>-Q8*$C$9</f>
        <v>-260.93101909790033</v>
      </c>
      <c r="R9" s="221"/>
      <c r="S9" s="221">
        <f>-S8*$C$9</f>
        <v>-267.45429457534777</v>
      </c>
      <c r="T9" s="221"/>
      <c r="U9" s="221">
        <f>-U8*$C$9</f>
        <v>-274.14065193973147</v>
      </c>
      <c r="V9" s="221"/>
      <c r="W9" s="221">
        <f>-W8*$C$9</f>
        <v>-280.99416823822474</v>
      </c>
      <c r="X9" s="221"/>
      <c r="Y9" s="221">
        <f>-Y8*$C$9</f>
        <v>-288.01902244418028</v>
      </c>
      <c r="Z9" s="221"/>
      <c r="AA9" s="221">
        <f>-AA8*$C$9</f>
        <v>-295.21949800528478</v>
      </c>
      <c r="AB9" s="221"/>
      <c r="AC9" s="221">
        <f>-AC8*$C$9</f>
        <v>-302.59998545541691</v>
      </c>
      <c r="AD9" s="221"/>
      <c r="AE9" s="221">
        <f>-AE8*$C$9</f>
        <v>-310.16498509180229</v>
      </c>
      <c r="AF9" s="221"/>
      <c r="AG9" s="221">
        <f>-AG8*$C$9</f>
        <v>-317.91910971909738</v>
      </c>
    </row>
    <row r="10" spans="1:34" s="210" customFormat="1" ht="14">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858</v>
      </c>
      <c r="C11" s="216"/>
      <c r="E11" s="223">
        <f>SUM(E4:E10)</f>
        <v>1537119</v>
      </c>
      <c r="G11" s="223">
        <f>SUM(G4:G10)</f>
        <v>1575546.9749999996</v>
      </c>
      <c r="I11" s="223">
        <f>SUM(I4:I10)</f>
        <v>1614935.6493749996</v>
      </c>
      <c r="K11" s="223">
        <f>SUM(K4:K10)</f>
        <v>1655309.0406093746</v>
      </c>
      <c r="M11" s="223">
        <f>SUM(M4:M10)</f>
        <v>1696691.7666246085</v>
      </c>
      <c r="O11" s="223">
        <f>SUM(O4:O10)</f>
        <v>1739109.0607902238</v>
      </c>
      <c r="Q11" s="223">
        <f>SUM(Q4:Q10)</f>
        <v>1782586.7873099793</v>
      </c>
      <c r="S11" s="223">
        <f>SUM(S4:S10)</f>
        <v>1827151.4569927284</v>
      </c>
      <c r="U11" s="223">
        <f>SUM(U4:U10)</f>
        <v>1872830.2434175466</v>
      </c>
      <c r="W11" s="223">
        <f>SUM(W4:W10)</f>
        <v>1919650.999502985</v>
      </c>
      <c r="Y11" s="223">
        <f>SUM(Y4:Y10)</f>
        <v>1967642.2744905592</v>
      </c>
      <c r="AA11" s="223">
        <f>SUM(AA4:AA10)</f>
        <v>2016833.3313528232</v>
      </c>
      <c r="AC11" s="223">
        <f>SUM(AC4:AC10)</f>
        <v>2067254.1646366434</v>
      </c>
      <c r="AE11" s="223">
        <f>SUM(AE4:AE10)</f>
        <v>2118935.5187525596</v>
      </c>
      <c r="AG11" s="223">
        <f>SUM(AG4:AG10)</f>
        <v>2171908.9067213731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Application!W855</f>
        <v>160277</v>
      </c>
      <c r="G15" s="219">
        <f>E15*$C$14</f>
        <v>165886.69499999998</v>
      </c>
      <c r="I15" s="219">
        <f>G15*$C$14</f>
        <v>171692.72932499996</v>
      </c>
      <c r="K15" s="219">
        <f>I15*$C$14</f>
        <v>177701.97485137495</v>
      </c>
      <c r="M15" s="219">
        <f>K15*$C$14</f>
        <v>183921.54397117306</v>
      </c>
      <c r="O15" s="219">
        <f>M15*$C$14</f>
        <v>190358.79801016409</v>
      </c>
      <c r="Q15" s="219">
        <f>O15*$C$14</f>
        <v>197021.3559405198</v>
      </c>
      <c r="S15" s="219">
        <f>Q15*$C$14</f>
        <v>203917.10339843799</v>
      </c>
      <c r="U15" s="219">
        <f>S15*$C$14</f>
        <v>211054.2020173833</v>
      </c>
      <c r="W15" s="219">
        <f>U15*$C$14</f>
        <v>218441.09908799169</v>
      </c>
      <c r="Y15" s="219">
        <f>W15*$C$14</f>
        <v>226086.53755607139</v>
      </c>
      <c r="AA15" s="219">
        <f>Y15*$C$14</f>
        <v>233999.56637053387</v>
      </c>
      <c r="AC15" s="219">
        <f>AA15*$C$14</f>
        <v>242189.55119350253</v>
      </c>
      <c r="AE15" s="219">
        <f>AC15*$C$14</f>
        <v>250666.18548527508</v>
      </c>
      <c r="AG15" s="219">
        <f>AE15*$C$14</f>
        <v>259439.5019772597</v>
      </c>
    </row>
    <row r="16" spans="1:34" s="210" customFormat="1" ht="14">
      <c r="A16" s="210" t="s">
        <v>343</v>
      </c>
      <c r="C16" s="233"/>
      <c r="E16" s="222">
        <f>Application!W857</f>
        <v>59292</v>
      </c>
      <c r="F16" s="222"/>
      <c r="G16" s="222">
        <f t="shared" ref="G16:AG21" si="0">E16*$C$14</f>
        <v>61367.219999999994</v>
      </c>
      <c r="H16" s="222"/>
      <c r="I16" s="222">
        <f t="shared" si="0"/>
        <v>63515.07269999999</v>
      </c>
      <c r="J16" s="222"/>
      <c r="K16" s="222">
        <f t="shared" si="0"/>
        <v>65738.10024449999</v>
      </c>
      <c r="L16" s="222"/>
      <c r="M16" s="222">
        <f t="shared" si="0"/>
        <v>68038.933753057485</v>
      </c>
      <c r="N16" s="222"/>
      <c r="O16" s="222">
        <f t="shared" si="0"/>
        <v>70420.296434414486</v>
      </c>
      <c r="P16" s="222"/>
      <c r="Q16" s="222">
        <f t="shared" si="0"/>
        <v>72885.006809618993</v>
      </c>
      <c r="R16" s="222"/>
      <c r="S16" s="222">
        <f t="shared" si="0"/>
        <v>75435.982047955651</v>
      </c>
      <c r="T16" s="222"/>
      <c r="U16" s="222">
        <f t="shared" si="0"/>
        <v>78076.241419634098</v>
      </c>
      <c r="V16" s="222"/>
      <c r="W16" s="222">
        <f t="shared" si="0"/>
        <v>80808.909869321287</v>
      </c>
      <c r="X16" s="222"/>
      <c r="Y16" s="222">
        <f t="shared" si="0"/>
        <v>83637.221714747531</v>
      </c>
      <c r="Z16" s="222"/>
      <c r="AA16" s="222">
        <f t="shared" si="0"/>
        <v>86564.52447476369</v>
      </c>
      <c r="AB16" s="222"/>
      <c r="AC16" s="222">
        <f t="shared" si="0"/>
        <v>89594.282831380406</v>
      </c>
      <c r="AD16" s="222"/>
      <c r="AE16" s="222">
        <f t="shared" si="0"/>
        <v>92730.082730478709</v>
      </c>
      <c r="AF16" s="222"/>
      <c r="AG16" s="222">
        <f t="shared" si="0"/>
        <v>95975.635626045463</v>
      </c>
    </row>
    <row r="17" spans="1:33" s="210" customFormat="1" ht="14">
      <c r="A17" s="210" t="s">
        <v>560</v>
      </c>
      <c r="C17" s="233"/>
      <c r="E17" s="222">
        <f>Application!W863</f>
        <v>87664</v>
      </c>
      <c r="F17" s="222"/>
      <c r="G17" s="222">
        <f t="shared" si="0"/>
        <v>90732.239999999991</v>
      </c>
      <c r="H17" s="222"/>
      <c r="I17" s="222">
        <f t="shared" si="0"/>
        <v>93907.868399999978</v>
      </c>
      <c r="J17" s="222"/>
      <c r="K17" s="222">
        <f t="shared" si="0"/>
        <v>97194.643793999974</v>
      </c>
      <c r="L17" s="222"/>
      <c r="M17" s="222">
        <f t="shared" si="0"/>
        <v>100596.45632678996</v>
      </c>
      <c r="N17" s="222"/>
      <c r="O17" s="222">
        <f t="shared" si="0"/>
        <v>104117.3322982276</v>
      </c>
      <c r="P17" s="222"/>
      <c r="Q17" s="222">
        <f t="shared" si="0"/>
        <v>107761.43892866556</v>
      </c>
      <c r="R17" s="222"/>
      <c r="S17" s="222">
        <f t="shared" si="0"/>
        <v>111533.08929116886</v>
      </c>
      <c r="T17" s="222"/>
      <c r="U17" s="222">
        <f t="shared" si="0"/>
        <v>115436.74741635977</v>
      </c>
      <c r="V17" s="222"/>
      <c r="W17" s="222">
        <f t="shared" si="0"/>
        <v>119477.03357593235</v>
      </c>
      <c r="X17" s="222"/>
      <c r="Y17" s="222">
        <f t="shared" si="0"/>
        <v>123658.72975108997</v>
      </c>
      <c r="Z17" s="222"/>
      <c r="AA17" s="222">
        <f t="shared" si="0"/>
        <v>127986.7852923781</v>
      </c>
      <c r="AB17" s="222"/>
      <c r="AC17" s="222">
        <f t="shared" si="0"/>
        <v>132466.32277761132</v>
      </c>
      <c r="AD17" s="222"/>
      <c r="AE17" s="222">
        <f t="shared" si="0"/>
        <v>137102.64407482769</v>
      </c>
      <c r="AF17" s="222"/>
      <c r="AG17" s="222">
        <f t="shared" si="0"/>
        <v>141901.23661744664</v>
      </c>
    </row>
    <row r="18" spans="1:33" s="210" customFormat="1" ht="14">
      <c r="A18" s="210" t="s">
        <v>841</v>
      </c>
      <c r="C18" s="233"/>
      <c r="E18" s="222">
        <f>Application!W870</f>
        <v>321737</v>
      </c>
      <c r="F18" s="222"/>
      <c r="G18" s="222">
        <f t="shared" si="0"/>
        <v>332997.79499999998</v>
      </c>
      <c r="H18" s="222"/>
      <c r="I18" s="222">
        <f t="shared" si="0"/>
        <v>344652.71782499994</v>
      </c>
      <c r="J18" s="222"/>
      <c r="K18" s="222">
        <f t="shared" si="0"/>
        <v>356715.5629488749</v>
      </c>
      <c r="L18" s="222"/>
      <c r="M18" s="222">
        <f t="shared" si="0"/>
        <v>369200.60765208548</v>
      </c>
      <c r="N18" s="222"/>
      <c r="O18" s="222">
        <f t="shared" si="0"/>
        <v>382122.62891990843</v>
      </c>
      <c r="P18" s="222"/>
      <c r="Q18" s="222">
        <f t="shared" si="0"/>
        <v>395496.92093210522</v>
      </c>
      <c r="R18" s="222"/>
      <c r="S18" s="222">
        <f t="shared" si="0"/>
        <v>409339.31316472887</v>
      </c>
      <c r="T18" s="222"/>
      <c r="U18" s="222">
        <f t="shared" si="0"/>
        <v>423666.18912549433</v>
      </c>
      <c r="V18" s="222"/>
      <c r="W18" s="222">
        <f t="shared" si="0"/>
        <v>438494.50574488658</v>
      </c>
      <c r="X18" s="222"/>
      <c r="Y18" s="222">
        <f t="shared" si="0"/>
        <v>453841.81344595755</v>
      </c>
      <c r="Z18" s="222"/>
      <c r="AA18" s="222">
        <f t="shared" si="0"/>
        <v>469726.27691656601</v>
      </c>
      <c r="AB18" s="222"/>
      <c r="AC18" s="222">
        <f t="shared" si="0"/>
        <v>486166.69660864578</v>
      </c>
      <c r="AD18" s="222"/>
      <c r="AE18" s="222">
        <f t="shared" si="0"/>
        <v>503182.53098994837</v>
      </c>
      <c r="AF18" s="222"/>
      <c r="AG18" s="222">
        <f t="shared" si="0"/>
        <v>520793.91957459651</v>
      </c>
    </row>
    <row r="19" spans="1:33" s="210" customFormat="1" ht="14">
      <c r="A19" s="210" t="s">
        <v>155</v>
      </c>
      <c r="C19" s="233"/>
      <c r="E19" s="222">
        <f>Application!W872</f>
        <v>38043</v>
      </c>
      <c r="F19" s="222"/>
      <c r="G19" s="222">
        <f t="shared" si="0"/>
        <v>39374.504999999997</v>
      </c>
      <c r="H19" s="222"/>
      <c r="I19" s="222">
        <f t="shared" si="0"/>
        <v>40752.612674999997</v>
      </c>
      <c r="J19" s="222"/>
      <c r="K19" s="222">
        <f t="shared" si="0"/>
        <v>42178.954118624992</v>
      </c>
      <c r="L19" s="222"/>
      <c r="M19" s="222">
        <f t="shared" si="0"/>
        <v>43655.217512776864</v>
      </c>
      <c r="N19" s="222"/>
      <c r="O19" s="222">
        <f t="shared" si="0"/>
        <v>45183.150125724052</v>
      </c>
      <c r="P19" s="222"/>
      <c r="Q19" s="222">
        <f t="shared" si="0"/>
        <v>46764.560380124392</v>
      </c>
      <c r="R19" s="222"/>
      <c r="S19" s="222">
        <f t="shared" si="0"/>
        <v>48401.31999342874</v>
      </c>
      <c r="T19" s="222"/>
      <c r="U19" s="222">
        <f t="shared" si="0"/>
        <v>50095.366193198744</v>
      </c>
      <c r="V19" s="222"/>
      <c r="W19" s="222">
        <f t="shared" si="0"/>
        <v>51848.704009960697</v>
      </c>
      <c r="X19" s="222"/>
      <c r="Y19" s="222">
        <f t="shared" si="0"/>
        <v>53663.40865030932</v>
      </c>
      <c r="Z19" s="222"/>
      <c r="AA19" s="222">
        <f t="shared" si="0"/>
        <v>55541.627953070143</v>
      </c>
      <c r="AB19" s="222"/>
      <c r="AC19" s="222">
        <f t="shared" si="0"/>
        <v>57485.584931427591</v>
      </c>
      <c r="AD19" s="222"/>
      <c r="AE19" s="222">
        <f t="shared" si="0"/>
        <v>59497.580404027554</v>
      </c>
      <c r="AF19" s="222"/>
      <c r="AG19" s="222">
        <f t="shared" si="0"/>
        <v>61579.995718168517</v>
      </c>
    </row>
    <row r="20" spans="1:33" s="210" customFormat="1" ht="14">
      <c r="A20" s="210" t="s">
        <v>389</v>
      </c>
      <c r="C20" s="233"/>
      <c r="E20" s="222">
        <f>Application!W881</f>
        <v>170468</v>
      </c>
      <c r="F20" s="222"/>
      <c r="G20" s="222">
        <f t="shared" si="0"/>
        <v>176434.37999999998</v>
      </c>
      <c r="H20" s="222"/>
      <c r="I20" s="222">
        <f t="shared" si="0"/>
        <v>182609.58329999997</v>
      </c>
      <c r="J20" s="222"/>
      <c r="K20" s="222">
        <f t="shared" si="0"/>
        <v>189000.91871549995</v>
      </c>
      <c r="L20" s="222"/>
      <c r="M20" s="222">
        <f t="shared" si="0"/>
        <v>195615.95087054244</v>
      </c>
      <c r="N20" s="222"/>
      <c r="O20" s="222">
        <f t="shared" si="0"/>
        <v>202462.50915101141</v>
      </c>
      <c r="P20" s="222"/>
      <c r="Q20" s="222">
        <f t="shared" si="0"/>
        <v>209548.6969712968</v>
      </c>
      <c r="R20" s="222"/>
      <c r="S20" s="222">
        <f t="shared" si="0"/>
        <v>216882.90136529217</v>
      </c>
      <c r="T20" s="222"/>
      <c r="U20" s="222">
        <f t="shared" si="0"/>
        <v>224473.80291307738</v>
      </c>
      <c r="V20" s="222"/>
      <c r="W20" s="222">
        <f t="shared" si="0"/>
        <v>232330.38601503507</v>
      </c>
      <c r="X20" s="222"/>
      <c r="Y20" s="222">
        <f t="shared" si="0"/>
        <v>240461.94952556127</v>
      </c>
      <c r="Z20" s="222"/>
      <c r="AA20" s="222">
        <f t="shared" si="0"/>
        <v>248878.11775895589</v>
      </c>
      <c r="AB20" s="222"/>
      <c r="AC20" s="222">
        <f t="shared" si="0"/>
        <v>257588.85188051933</v>
      </c>
      <c r="AD20" s="222"/>
      <c r="AE20" s="222">
        <f t="shared" si="0"/>
        <v>266604.4616963375</v>
      </c>
      <c r="AF20" s="222"/>
      <c r="AG20" s="222">
        <f t="shared" si="0"/>
        <v>275935.61785570928</v>
      </c>
    </row>
    <row r="21" spans="1:33" s="210" customFormat="1" ht="14">
      <c r="A21" s="226" t="s">
        <v>961</v>
      </c>
      <c r="B21" s="226"/>
      <c r="C21" s="233"/>
      <c r="E21" s="232">
        <f>Application!W888</f>
        <v>4351</v>
      </c>
      <c r="F21" s="222"/>
      <c r="G21" s="232">
        <f t="shared" si="0"/>
        <v>4503.2849999999999</v>
      </c>
      <c r="H21" s="222"/>
      <c r="I21" s="232">
        <f t="shared" si="0"/>
        <v>4660.8999749999994</v>
      </c>
      <c r="J21" s="222"/>
      <c r="K21" s="232">
        <f t="shared" si="0"/>
        <v>4824.0314741249986</v>
      </c>
      <c r="L21" s="222"/>
      <c r="M21" s="232">
        <f t="shared" si="0"/>
        <v>4992.8725757193733</v>
      </c>
      <c r="N21" s="222"/>
      <c r="O21" s="232">
        <f t="shared" si="0"/>
        <v>5167.6231158695509</v>
      </c>
      <c r="P21" s="222"/>
      <c r="Q21" s="232">
        <f t="shared" si="0"/>
        <v>5348.4899249249847</v>
      </c>
      <c r="R21" s="222"/>
      <c r="S21" s="232">
        <f t="shared" si="0"/>
        <v>5535.687072297359</v>
      </c>
      <c r="T21" s="222"/>
      <c r="U21" s="232">
        <f t="shared" si="0"/>
        <v>5729.4361198277666</v>
      </c>
      <c r="V21" s="222"/>
      <c r="W21" s="232">
        <f t="shared" si="0"/>
        <v>5929.9663840217381</v>
      </c>
      <c r="X21" s="222"/>
      <c r="Y21" s="232">
        <f t="shared" si="0"/>
        <v>6137.5152074624984</v>
      </c>
      <c r="Z21" s="222"/>
      <c r="AA21" s="232">
        <f t="shared" si="0"/>
        <v>6352.3282397236853</v>
      </c>
      <c r="AB21" s="222"/>
      <c r="AC21" s="232">
        <f t="shared" si="0"/>
        <v>6574.6597281140139</v>
      </c>
      <c r="AD21" s="222"/>
      <c r="AE21" s="232">
        <f t="shared" si="0"/>
        <v>6804.7728185980041</v>
      </c>
      <c r="AF21" s="222"/>
      <c r="AG21" s="232">
        <f t="shared" si="0"/>
        <v>7042.9398672489333</v>
      </c>
    </row>
    <row r="22" spans="1:33" s="223" customFormat="1" ht="14">
      <c r="A22" s="223" t="s">
        <v>842</v>
      </c>
      <c r="C22" s="233"/>
      <c r="E22" s="223">
        <f>SUM(E15:E21)</f>
        <v>841832</v>
      </c>
      <c r="G22" s="223">
        <f>SUM(G15:G21)</f>
        <v>871296.12</v>
      </c>
      <c r="I22" s="223">
        <f>SUM(I15:I21)</f>
        <v>901791.48419999972</v>
      </c>
      <c r="K22" s="223">
        <f>SUM(K15:K21)</f>
        <v>933354.18614699971</v>
      </c>
      <c r="M22" s="223">
        <f>SUM(M15:M21)</f>
        <v>966021.58266214468</v>
      </c>
      <c r="O22" s="223">
        <f>SUM(O15:O21)</f>
        <v>999832.33805531973</v>
      </c>
      <c r="Q22" s="223">
        <f>SUM(Q15:Q21)</f>
        <v>1034826.4698872557</v>
      </c>
      <c r="S22" s="223">
        <f>SUM(S15:S21)</f>
        <v>1071045.3963333096</v>
      </c>
      <c r="U22" s="223">
        <f>SUM(U15:U21)</f>
        <v>1108531.9852049751</v>
      </c>
      <c r="W22" s="223">
        <f>SUM(W15:W21)</f>
        <v>1147330.6046871494</v>
      </c>
      <c r="Y22" s="223">
        <f>SUM(Y15:Y21)</f>
        <v>1187487.1758511993</v>
      </c>
      <c r="AA22" s="223">
        <f>SUM(AA15:AA21)</f>
        <v>1229049.2270059912</v>
      </c>
      <c r="AC22" s="223">
        <f>SUM(AC15:AC21)</f>
        <v>1272065.949951201</v>
      </c>
      <c r="AE22" s="223">
        <f>SUM(AE15:AE21)</f>
        <v>1316588.2581994929</v>
      </c>
      <c r="AG22" s="223">
        <f>SUM(AG15:AG21)</f>
        <v>1362668.8472364752</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Application!AC897</f>
        <v>80295</v>
      </c>
      <c r="F27" s="222"/>
      <c r="G27" s="222">
        <f>E27*$C$27</f>
        <v>83105.324999999997</v>
      </c>
      <c r="H27" s="222"/>
      <c r="I27" s="222">
        <f>G27*$C$27</f>
        <v>86014.011374999987</v>
      </c>
      <c r="J27" s="222"/>
      <c r="K27" s="222">
        <f>I27*$C$27</f>
        <v>89024.501773124983</v>
      </c>
      <c r="L27" s="222"/>
      <c r="M27" s="222">
        <f>K27*$C$27</f>
        <v>92140.359335184345</v>
      </c>
      <c r="N27" s="222"/>
      <c r="O27" s="222">
        <f>M27*$C$27</f>
        <v>95365.271911915785</v>
      </c>
      <c r="P27" s="222"/>
      <c r="Q27" s="222">
        <f>O27*$C$27</f>
        <v>98703.056428832831</v>
      </c>
      <c r="R27" s="222"/>
      <c r="S27" s="222">
        <f>Q27*$C$27</f>
        <v>102157.66340384197</v>
      </c>
      <c r="T27" s="222"/>
      <c r="U27" s="222">
        <f>S27*$C$27</f>
        <v>105733.18162297644</v>
      </c>
      <c r="V27" s="222"/>
      <c r="W27" s="222">
        <f>U27*$C$27</f>
        <v>109433.8429797806</v>
      </c>
      <c r="X27" s="222"/>
      <c r="Y27" s="222">
        <f>W27*$C$27</f>
        <v>113264.02748407291</v>
      </c>
      <c r="Z27" s="222"/>
      <c r="AA27" s="222">
        <f>Y27*$C$27</f>
        <v>117228.26844601546</v>
      </c>
      <c r="AB27" s="222"/>
      <c r="AC27" s="222">
        <f>AA27*$C$27</f>
        <v>121331.25784162599</v>
      </c>
      <c r="AD27" s="222"/>
      <c r="AE27" s="222">
        <f>AC27*$C$27</f>
        <v>125577.8518660829</v>
      </c>
      <c r="AF27" s="222"/>
      <c r="AG27" s="222">
        <f>AE27*$C$27</f>
        <v>129973.07668139579</v>
      </c>
    </row>
    <row r="28" spans="1:33" s="210" customFormat="1" ht="14">
      <c r="A28" s="210" t="s">
        <v>845</v>
      </c>
      <c r="C28" s="237"/>
      <c r="E28" s="222">
        <f>Application!AC898</f>
        <v>21350</v>
      </c>
      <c r="F28" s="222"/>
      <c r="G28" s="222">
        <f>$E$28</f>
        <v>21350</v>
      </c>
      <c r="H28" s="222"/>
      <c r="I28" s="222">
        <f>$E$28</f>
        <v>21350</v>
      </c>
      <c r="J28" s="222"/>
      <c r="K28" s="222">
        <f>$E$28</f>
        <v>21350</v>
      </c>
      <c r="L28" s="222"/>
      <c r="M28" s="222">
        <f>$E$28</f>
        <v>21350</v>
      </c>
      <c r="N28" s="222"/>
      <c r="O28" s="222">
        <f>$E$28</f>
        <v>21350</v>
      </c>
      <c r="P28" s="222"/>
      <c r="Q28" s="222">
        <f>$E$28</f>
        <v>21350</v>
      </c>
      <c r="R28" s="222"/>
      <c r="S28" s="222">
        <f>$E$28</f>
        <v>21350</v>
      </c>
      <c r="T28" s="222"/>
      <c r="U28" s="222">
        <f>$E$28</f>
        <v>21350</v>
      </c>
      <c r="V28" s="222"/>
      <c r="W28" s="222">
        <f>$E$28</f>
        <v>21350</v>
      </c>
      <c r="X28" s="222"/>
      <c r="Y28" s="222">
        <f>$E$28</f>
        <v>21350</v>
      </c>
      <c r="Z28" s="222"/>
      <c r="AA28" s="222">
        <f>$E$28</f>
        <v>21350</v>
      </c>
      <c r="AB28" s="222"/>
      <c r="AC28" s="222">
        <f>$E$28</f>
        <v>21350</v>
      </c>
      <c r="AD28" s="222"/>
      <c r="AE28" s="222">
        <f>$E$28</f>
        <v>21350</v>
      </c>
      <c r="AF28" s="222"/>
      <c r="AG28" s="222">
        <f>$E$28</f>
        <v>21350</v>
      </c>
    </row>
    <row r="29" spans="1:33" s="210" customFormat="1" ht="14">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843</v>
      </c>
      <c r="C30" s="237">
        <v>1.02</v>
      </c>
      <c r="E30" s="222">
        <f>Application!AC900</f>
        <v>16362</v>
      </c>
      <c r="F30" s="222"/>
      <c r="G30" s="222">
        <f>E30*$C$30</f>
        <v>16689.240000000002</v>
      </c>
      <c r="H30" s="222"/>
      <c r="I30" s="222">
        <f>G30*$C$30</f>
        <v>17023.024800000003</v>
      </c>
      <c r="J30" s="222"/>
      <c r="K30" s="222">
        <f>I30*$C$30</f>
        <v>17363.485296000003</v>
      </c>
      <c r="L30" s="222"/>
      <c r="M30" s="222">
        <f>K30*$C$30</f>
        <v>17710.755001920003</v>
      </c>
      <c r="N30" s="222"/>
      <c r="O30" s="222">
        <f>M30*$C$30</f>
        <v>18064.970101958403</v>
      </c>
      <c r="P30" s="222"/>
      <c r="Q30" s="222">
        <f>O30*$C$30</f>
        <v>18426.26950399757</v>
      </c>
      <c r="R30" s="222"/>
      <c r="S30" s="222">
        <f>Q30*$C$30</f>
        <v>18794.79489407752</v>
      </c>
      <c r="T30" s="222"/>
      <c r="U30" s="222">
        <f>S30*$C$30</f>
        <v>19170.69079195907</v>
      </c>
      <c r="V30" s="222"/>
      <c r="W30" s="222">
        <f>U30*$C$30</f>
        <v>19554.104607798254</v>
      </c>
      <c r="X30" s="222"/>
      <c r="Y30" s="222">
        <f>W30*$C$30</f>
        <v>19945.186699954218</v>
      </c>
      <c r="Z30" s="222"/>
      <c r="AA30" s="222">
        <f>Y30*$C$30</f>
        <v>20344.090433953304</v>
      </c>
      <c r="AB30" s="222"/>
      <c r="AC30" s="222">
        <f>AA30*$C$30</f>
        <v>20750.972242632371</v>
      </c>
      <c r="AD30" s="222"/>
      <c r="AE30" s="222">
        <f>AC30*$C$30</f>
        <v>21165.991687485021</v>
      </c>
      <c r="AF30" s="222"/>
      <c r="AG30" s="222">
        <f>AE30*$C$30</f>
        <v>21589.311521234722</v>
      </c>
    </row>
    <row r="31" spans="1:33" s="210" customFormat="1" ht="14">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(Issuer Fees):</v>
      </c>
      <c r="C32" s="316">
        <v>1</v>
      </c>
      <c r="E32" s="222">
        <f>Application!AC903</f>
        <v>9450</v>
      </c>
      <c r="F32" s="222"/>
      <c r="G32" s="222">
        <f>E32*$C$32</f>
        <v>9450</v>
      </c>
      <c r="H32" s="222"/>
      <c r="I32" s="222">
        <f>G32*$C$32</f>
        <v>9450</v>
      </c>
      <c r="J32" s="222"/>
      <c r="K32" s="222">
        <f>I32*$C$32</f>
        <v>9450</v>
      </c>
      <c r="L32" s="222"/>
      <c r="M32" s="222">
        <f>K32*$C$32</f>
        <v>9450</v>
      </c>
      <c r="N32" s="222"/>
      <c r="O32" s="222">
        <f>M32*$C$32</f>
        <v>9450</v>
      </c>
      <c r="P32" s="222"/>
      <c r="Q32" s="222">
        <f>O32*$C$32</f>
        <v>9450</v>
      </c>
      <c r="R32" s="222"/>
      <c r="S32" s="222">
        <f>Q32*$C$32</f>
        <v>9450</v>
      </c>
      <c r="T32" s="222"/>
      <c r="U32" s="222">
        <f>S32*$C$32</f>
        <v>9450</v>
      </c>
      <c r="V32" s="222"/>
      <c r="W32" s="222">
        <f>U32*$C$32</f>
        <v>9450</v>
      </c>
      <c r="X32" s="222"/>
      <c r="Y32" s="222">
        <f>W32*$C$32</f>
        <v>9450</v>
      </c>
      <c r="Z32" s="222"/>
      <c r="AA32" s="222">
        <f>Y32*$C$32</f>
        <v>9450</v>
      </c>
      <c r="AB32" s="222"/>
      <c r="AC32" s="222">
        <f>AA32*$C$32</f>
        <v>9450</v>
      </c>
      <c r="AD32" s="222"/>
      <c r="AE32" s="222">
        <f>AC32*$C$32</f>
        <v>9450</v>
      </c>
      <c r="AF32" s="222"/>
      <c r="AG32" s="222">
        <f>AE32*$C$32</f>
        <v>9450</v>
      </c>
    </row>
    <row r="33" spans="1:33" s="210" customFormat="1" ht="14">
      <c r="A33" s="210" t="str">
        <f>Application!C904</f>
        <v>Other (Specify):</v>
      </c>
      <c r="C33" s="316"/>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969289</v>
      </c>
      <c r="G35" s="223">
        <f>SUM(G22:G33)</f>
        <v>1001890.6849999999</v>
      </c>
      <c r="I35" s="223">
        <f>SUM(I22:I33)</f>
        <v>1035628.5203749997</v>
      </c>
      <c r="K35" s="223">
        <f>SUM(K22:K33)</f>
        <v>1070542.1732161248</v>
      </c>
      <c r="M35" s="223">
        <f>SUM(M22:M33)</f>
        <v>1106672.696999249</v>
      </c>
      <c r="O35" s="223">
        <f>SUM(O22:O33)</f>
        <v>1144062.5800691938</v>
      </c>
      <c r="Q35" s="223">
        <f>SUM(Q22:Q33)</f>
        <v>1182755.7958200863</v>
      </c>
      <c r="S35" s="223">
        <f>SUM(S22:S33)</f>
        <v>1222797.8546312291</v>
      </c>
      <c r="U35" s="223">
        <f>SUM(U22:U33)</f>
        <v>1264235.8576199107</v>
      </c>
      <c r="W35" s="223">
        <f>SUM(W22:W33)</f>
        <v>1307118.5522747282</v>
      </c>
      <c r="Y35" s="223">
        <f>SUM(Y22:Y33)</f>
        <v>1351496.3900352265</v>
      </c>
      <c r="AA35" s="223">
        <f>SUM(AA22:AA33)</f>
        <v>1397421.5858859599</v>
      </c>
      <c r="AC35" s="223">
        <f>SUM(AC22:AC33)</f>
        <v>1444948.1800354593</v>
      </c>
      <c r="AE35" s="223">
        <f>SUM(AE22:AE33)</f>
        <v>1494132.1017530609</v>
      </c>
      <c r="AG35" s="223">
        <f>SUM(AG22:AG33)</f>
        <v>1545031.2354391057</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567830</v>
      </c>
      <c r="G37" s="223">
        <f>G11-G35</f>
        <v>573656.28999999969</v>
      </c>
      <c r="I37" s="223">
        <f>I11-I35</f>
        <v>579307.12899999984</v>
      </c>
      <c r="K37" s="223">
        <f>K11-K35</f>
        <v>584766.86739324988</v>
      </c>
      <c r="M37" s="223">
        <f>M11-M35</f>
        <v>590019.06962535949</v>
      </c>
      <c r="O37" s="223">
        <f>O11-O35</f>
        <v>595046.48072102992</v>
      </c>
      <c r="Q37" s="223">
        <f>Q11-Q35</f>
        <v>599830.99148989306</v>
      </c>
      <c r="S37" s="223">
        <f>S11-S35</f>
        <v>604353.60236149933</v>
      </c>
      <c r="U37" s="223">
        <f>U11-U35</f>
        <v>608594.38579763588</v>
      </c>
      <c r="W37" s="223">
        <f>W11-W35</f>
        <v>612532.44722825685</v>
      </c>
      <c r="Y37" s="223">
        <f>Y11-Y35</f>
        <v>616145.88445533277</v>
      </c>
      <c r="AA37" s="223">
        <f>AA11-AA35</f>
        <v>619411.74546686327</v>
      </c>
      <c r="AC37" s="223">
        <f>AC11-AC35</f>
        <v>622305.98460118403</v>
      </c>
      <c r="AE37" s="223">
        <f>AE11-AE35</f>
        <v>624803.41699949862</v>
      </c>
      <c r="AG37" s="223">
        <f>AG11-AG35</f>
        <v>626877.67128226743</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Citibank</v>
      </c>
      <c r="B40" s="226"/>
      <c r="C40" s="220"/>
      <c r="E40" s="222">
        <f>Application!AF635</f>
        <v>492466</v>
      </c>
      <c r="F40" s="222"/>
      <c r="G40" s="222">
        <f>$E$40</f>
        <v>492466</v>
      </c>
      <c r="H40" s="222"/>
      <c r="I40" s="222">
        <f>$E$40</f>
        <v>492466</v>
      </c>
      <c r="J40" s="222"/>
      <c r="K40" s="222">
        <f>$E$40</f>
        <v>492466</v>
      </c>
      <c r="L40" s="222"/>
      <c r="M40" s="222">
        <f>$E$40</f>
        <v>492466</v>
      </c>
      <c r="N40" s="222"/>
      <c r="O40" s="222">
        <f>$E$40</f>
        <v>492466</v>
      </c>
      <c r="P40" s="222"/>
      <c r="Q40" s="222">
        <f>$E$40</f>
        <v>492466</v>
      </c>
      <c r="R40" s="222"/>
      <c r="S40" s="222">
        <f>$E$40</f>
        <v>492466</v>
      </c>
      <c r="T40" s="222"/>
      <c r="U40" s="222">
        <f>$E$40</f>
        <v>492466</v>
      </c>
      <c r="V40" s="222"/>
      <c r="W40" s="222">
        <f>$E$40</f>
        <v>492466</v>
      </c>
      <c r="X40" s="222"/>
      <c r="Y40" s="222">
        <f>$E$40</f>
        <v>492466</v>
      </c>
      <c r="Z40" s="222"/>
      <c r="AA40" s="222">
        <f>$E$40</f>
        <v>492466</v>
      </c>
      <c r="AB40" s="222"/>
      <c r="AC40" s="222">
        <f>$E$40</f>
        <v>492466</v>
      </c>
      <c r="AD40" s="222"/>
      <c r="AE40" s="222">
        <f>$E$40</f>
        <v>492466</v>
      </c>
      <c r="AF40" s="222"/>
      <c r="AG40" s="222">
        <f>$E$40</f>
        <v>492466</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847</v>
      </c>
      <c r="C43" s="224"/>
      <c r="E43" s="223">
        <f>SUM(E40:E42)</f>
        <v>492466</v>
      </c>
      <c r="G43" s="223">
        <f>SUM(G40:G42)</f>
        <v>492466</v>
      </c>
      <c r="I43" s="223">
        <f>SUM(I40:I42)</f>
        <v>492466</v>
      </c>
      <c r="K43" s="223">
        <f>SUM(K40:K42)</f>
        <v>492466</v>
      </c>
      <c r="M43" s="223">
        <f>SUM(M40:M42)</f>
        <v>492466</v>
      </c>
      <c r="O43" s="223">
        <f>SUM(O40:O42)</f>
        <v>492466</v>
      </c>
      <c r="Q43" s="223">
        <f>SUM(Q40:Q42)</f>
        <v>492466</v>
      </c>
      <c r="S43" s="223">
        <f>SUM(S40:S42)</f>
        <v>492466</v>
      </c>
      <c r="U43" s="223">
        <f>SUM(U40:U42)</f>
        <v>492466</v>
      </c>
      <c r="W43" s="223">
        <f>SUM(W40:W42)</f>
        <v>492466</v>
      </c>
      <c r="Y43" s="223">
        <f>SUM(Y40:Y42)</f>
        <v>492466</v>
      </c>
      <c r="AA43" s="223">
        <f>SUM(AA40:AA42)</f>
        <v>492466</v>
      </c>
      <c r="AC43" s="223">
        <f>SUM(AC40:AC42)</f>
        <v>492466</v>
      </c>
      <c r="AE43" s="223">
        <f>SUM(AE40:AE42)</f>
        <v>492466</v>
      </c>
      <c r="AG43" s="223">
        <f>SUM(AG40:AG42)</f>
        <v>492466</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75364</v>
      </c>
      <c r="G45" s="223">
        <f>G37-G43</f>
        <v>81190.289999999688</v>
      </c>
      <c r="I45" s="223">
        <f>I37-I43</f>
        <v>86841.128999999841</v>
      </c>
      <c r="K45" s="223">
        <f>K37-K43</f>
        <v>92300.867393249879</v>
      </c>
      <c r="M45" s="223">
        <f>M37-M43</f>
        <v>97553.069625359494</v>
      </c>
      <c r="O45" s="223">
        <f>O37-O43</f>
        <v>102580.48072102992</v>
      </c>
      <c r="Q45" s="223">
        <f>Q37-Q43</f>
        <v>107364.99148989306</v>
      </c>
      <c r="S45" s="223">
        <f>S37-S43</f>
        <v>111887.60236149933</v>
      </c>
      <c r="U45" s="223">
        <f>U37-U43</f>
        <v>116128.38579763588</v>
      </c>
      <c r="W45" s="223">
        <f>W37-W43</f>
        <v>120066.44722825685</v>
      </c>
      <c r="Y45" s="223">
        <f>Y37-Y43</f>
        <v>123679.88445533277</v>
      </c>
      <c r="AA45" s="223">
        <f>AA37-AA43</f>
        <v>126945.74546686327</v>
      </c>
      <c r="AC45" s="223">
        <f>AC37-AC43</f>
        <v>129839.98460118403</v>
      </c>
      <c r="AE45" s="223">
        <f>AE37-AE43</f>
        <v>132337.41699949862</v>
      </c>
      <c r="AG45" s="223">
        <f>AG37-AG43</f>
        <v>134411.67128226743</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4.6577916218588152E-2</v>
      </c>
      <c r="G47" s="227">
        <f>G45/(G4+G6+G8)</f>
        <v>4.8954919608156851E-2</v>
      </c>
      <c r="I47" s="227">
        <f>I45/(I4+I6+I8)</f>
        <v>5.1085052572793235E-2</v>
      </c>
      <c r="K47" s="227">
        <f>K45/(K4+K6+K8)</f>
        <v>5.2972479381437627E-2</v>
      </c>
      <c r="M47" s="227">
        <f>M45/(M4+M6+M8)</f>
        <v>5.4621244687513039E-2</v>
      </c>
      <c r="O47" s="227">
        <f>O45/(O4+O6+O8)</f>
        <v>5.6035276269964351E-2</v>
      </c>
      <c r="Q47" s="227">
        <f>Q45/(Q4+Q6+Q8)</f>
        <v>5.721838770572122E-2</v>
      </c>
      <c r="S47" s="227">
        <f>S45/(S4+S6+S8)</f>
        <v>5.8174280975245608E-2</v>
      </c>
      <c r="U47" s="227">
        <f>U45/(U4+U6+U8)</f>
        <v>5.8906549002774658E-2</v>
      </c>
      <c r="W47" s="227">
        <f>W45/(W4+W6+W8)</f>
        <v>5.9418678132835592E-2</v>
      </c>
      <c r="Y47" s="227">
        <f>Y45/(Y4+Y6+Y8)</f>
        <v>5.9714050544572128E-2</v>
      </c>
      <c r="AA47" s="227">
        <f>AA45/(AA4+AA6+AA8)</f>
        <v>5.9795946605378035E-2</v>
      </c>
      <c r="AC47" s="227">
        <f>AC45/(AC4+AC6+AC8)</f>
        <v>5.9667547165302454E-2</v>
      </c>
      <c r="AE47" s="227">
        <f>AE45/(AE4+AE6+AE8)</f>
        <v>5.9331935793655845E-2</v>
      </c>
      <c r="AG47" s="227">
        <f>AG45/(AG4+AG6+AG8)</f>
        <v>5.8792100959202481E-2</v>
      </c>
    </row>
    <row r="48" spans="1:33" s="227" customFormat="1" ht="14">
      <c r="A48" s="227" t="s">
        <v>851</v>
      </c>
      <c r="C48" s="220"/>
      <c r="E48" s="227">
        <f>E45/E43</f>
        <v>0.15303391503169761</v>
      </c>
      <c r="G48" s="227">
        <f>G45/G43</f>
        <v>0.16486476223739241</v>
      </c>
      <c r="I48" s="227">
        <f>I45/I43</f>
        <v>0.17633933916250025</v>
      </c>
      <c r="K48" s="227">
        <f>K45/K43</f>
        <v>0.18742586776193662</v>
      </c>
      <c r="M48" s="227">
        <f>M45/M43</f>
        <v>0.19809097404766926</v>
      </c>
      <c r="O48" s="227">
        <f>O45/O43</f>
        <v>0.20829962011799782</v>
      </c>
      <c r="Q48" s="227">
        <f>Q45/Q43</f>
        <v>0.21801503350463394</v>
      </c>
      <c r="S48" s="227">
        <f>S45/S43</f>
        <v>0.22719863373613475</v>
      </c>
      <c r="U48" s="227">
        <f>U45/U43</f>
        <v>0.23580995601246763</v>
      </c>
      <c r="W48" s="227">
        <f>W45/W43</f>
        <v>0.24380657188162602</v>
      </c>
      <c r="Y48" s="227">
        <f>Y45/Y43</f>
        <v>0.25114400680520638</v>
      </c>
      <c r="AA48" s="227">
        <f>AA45/AA43</f>
        <v>0.25777565449566725</v>
      </c>
      <c r="AC48" s="227">
        <f>AC45/AC43</f>
        <v>0.263652687903701</v>
      </c>
      <c r="AE48" s="227">
        <f>AE45/AE43</f>
        <v>0.26872396672968007</v>
      </c>
      <c r="AG48" s="227">
        <f>AG45/AG43</f>
        <v>0.27293594132847226</v>
      </c>
    </row>
    <row r="49" spans="1:34" s="228" customFormat="1" ht="14">
      <c r="A49" s="228" t="s">
        <v>849</v>
      </c>
      <c r="C49" s="229"/>
      <c r="E49" s="228">
        <f>E37/E43</f>
        <v>1.1530339150316977</v>
      </c>
      <c r="G49" s="228">
        <f>G37/G43</f>
        <v>1.1648647622373924</v>
      </c>
      <c r="I49" s="228">
        <f>I37/I43</f>
        <v>1.1763393391625003</v>
      </c>
      <c r="K49" s="228">
        <f>K37/K43</f>
        <v>1.1874258677619367</v>
      </c>
      <c r="M49" s="228">
        <f>M37/M43</f>
        <v>1.1980909740476693</v>
      </c>
      <c r="O49" s="228">
        <f>O37/O43</f>
        <v>1.2082996201179979</v>
      </c>
      <c r="Q49" s="228">
        <f>Q37/Q43</f>
        <v>1.218015033504634</v>
      </c>
      <c r="S49" s="228">
        <f>S37/S43</f>
        <v>1.2271986337361347</v>
      </c>
      <c r="U49" s="228">
        <f>U37/U43</f>
        <v>1.2358099560124676</v>
      </c>
      <c r="W49" s="228">
        <f>W37/W43</f>
        <v>1.243806571881626</v>
      </c>
      <c r="Y49" s="228">
        <f>Y37/Y43</f>
        <v>1.2511440068052064</v>
      </c>
      <c r="AA49" s="228">
        <f>AA37/AA43</f>
        <v>1.2577756544956673</v>
      </c>
      <c r="AC49" s="228">
        <f>AC37/AC43</f>
        <v>1.2636526879037011</v>
      </c>
      <c r="AE49" s="228">
        <f>AE37/AE43</f>
        <v>1.2687239667296801</v>
      </c>
      <c r="AG49" s="228">
        <f>AG37/AG43</f>
        <v>1.2729359413284722</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1" t="s">
        <v>1183</v>
      </c>
      <c r="B52" s="2681"/>
      <c r="C52" s="2681"/>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v>5000</v>
      </c>
      <c r="F54" s="956"/>
      <c r="G54" s="956">
        <f t="shared" ref="G54:AG57" si="1">E54*$C$53</f>
        <v>5150</v>
      </c>
      <c r="H54" s="956"/>
      <c r="I54" s="956">
        <f t="shared" si="1"/>
        <v>5304.5</v>
      </c>
      <c r="J54" s="956"/>
      <c r="K54" s="956">
        <f t="shared" si="1"/>
        <v>5463.6350000000002</v>
      </c>
      <c r="L54" s="956"/>
      <c r="M54" s="956">
        <f t="shared" si="1"/>
        <v>5627.5440500000004</v>
      </c>
      <c r="N54" s="956"/>
      <c r="O54" s="956">
        <f t="shared" si="1"/>
        <v>5796.3703715000001</v>
      </c>
      <c r="P54" s="956"/>
      <c r="Q54" s="956">
        <f t="shared" si="1"/>
        <v>5970.2614826449999</v>
      </c>
      <c r="R54" s="956"/>
      <c r="S54" s="956">
        <f t="shared" si="1"/>
        <v>6149.3693271243501</v>
      </c>
      <c r="T54" s="956"/>
      <c r="U54" s="956">
        <f t="shared" si="1"/>
        <v>6333.8504069380806</v>
      </c>
      <c r="V54" s="956"/>
      <c r="W54" s="956">
        <f t="shared" si="1"/>
        <v>6523.865919146223</v>
      </c>
      <c r="X54" s="956"/>
      <c r="Y54" s="956">
        <f t="shared" si="1"/>
        <v>6719.5818967206096</v>
      </c>
      <c r="Z54" s="956"/>
      <c r="AA54" s="956">
        <f t="shared" si="1"/>
        <v>6921.1693536222283</v>
      </c>
      <c r="AB54" s="956"/>
      <c r="AC54" s="956">
        <f t="shared" si="1"/>
        <v>7128.8044342308949</v>
      </c>
      <c r="AD54" s="956"/>
      <c r="AE54" s="956">
        <f t="shared" si="1"/>
        <v>7342.6685672578224</v>
      </c>
      <c r="AF54" s="956"/>
      <c r="AG54" s="956">
        <f t="shared" si="1"/>
        <v>7562.9486242755574</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5000</v>
      </c>
      <c r="F58" s="956"/>
      <c r="G58" s="956">
        <f>SUM(G53:G57)</f>
        <v>5150</v>
      </c>
      <c r="H58" s="956"/>
      <c r="I58" s="956">
        <f>SUM(I53:I57)</f>
        <v>5304.5</v>
      </c>
      <c r="J58" s="956"/>
      <c r="K58" s="956">
        <f>SUM(K53:K57)</f>
        <v>5463.6350000000002</v>
      </c>
      <c r="L58" s="956"/>
      <c r="M58" s="956">
        <f>SUM(M53:M57)</f>
        <v>5627.5440500000004</v>
      </c>
      <c r="N58" s="956"/>
      <c r="O58" s="956">
        <f>SUM(O53:O57)</f>
        <v>5796.3703715000001</v>
      </c>
      <c r="P58" s="956"/>
      <c r="Q58" s="956">
        <f>SUM(Q53:Q57)</f>
        <v>5970.2614826449999</v>
      </c>
      <c r="R58" s="956"/>
      <c r="S58" s="956">
        <f>SUM(S53:S57)</f>
        <v>6149.3693271243501</v>
      </c>
      <c r="T58" s="956"/>
      <c r="U58" s="956">
        <f>SUM(U53:U57)</f>
        <v>6333.8504069380806</v>
      </c>
      <c r="V58" s="956"/>
      <c r="W58" s="956">
        <f>SUM(W53:W57)</f>
        <v>6523.865919146223</v>
      </c>
      <c r="X58" s="956"/>
      <c r="Y58" s="956">
        <f>SUM(Y53:Y57)</f>
        <v>6719.5818967206096</v>
      </c>
      <c r="Z58" s="956"/>
      <c r="AA58" s="956">
        <f>SUM(AA53:AA57)</f>
        <v>6921.1693536222283</v>
      </c>
      <c r="AB58" s="956"/>
      <c r="AC58" s="956">
        <f>SUM(AC53:AC57)</f>
        <v>7128.8044342308949</v>
      </c>
      <c r="AD58" s="956"/>
      <c r="AE58" s="956">
        <f>SUM(AE53:AE57)</f>
        <v>7342.6685672578224</v>
      </c>
      <c r="AF58" s="956"/>
      <c r="AG58" s="956">
        <f>SUM(AG53:AG57)</f>
        <v>7562.9486242755574</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70364</v>
      </c>
      <c r="G60" s="958">
        <f>G45-G58</f>
        <v>76040.289999999688</v>
      </c>
      <c r="I60" s="958">
        <f>I45-I58</f>
        <v>81536.628999999841</v>
      </c>
      <c r="K60" s="958">
        <f>K45-K58</f>
        <v>86837.232393249884</v>
      </c>
      <c r="M60" s="958">
        <f>M45-M58</f>
        <v>91925.525575359497</v>
      </c>
      <c r="O60" s="958">
        <f>O45-O58</f>
        <v>96784.110349529918</v>
      </c>
      <c r="Q60" s="958">
        <f>Q45-Q58</f>
        <v>101394.73000724806</v>
      </c>
      <c r="S60" s="958">
        <f>S45-S58</f>
        <v>105738.23303437498</v>
      </c>
      <c r="U60" s="958">
        <f>U45-U58</f>
        <v>109794.5353906978</v>
      </c>
      <c r="W60" s="958">
        <f>W45-W58</f>
        <v>113542.58130911062</v>
      </c>
      <c r="Y60" s="958">
        <f>Y45-Y58</f>
        <v>116960.30255861215</v>
      </c>
      <c r="AA60" s="958">
        <f>AA45-AA58</f>
        <v>120024.57611324104</v>
      </c>
      <c r="AC60" s="958">
        <f>AC45-AC58</f>
        <v>122711.18016695313</v>
      </c>
      <c r="AE60" s="958">
        <f>AE45-AE58</f>
        <v>124994.7484322408</v>
      </c>
      <c r="AG60" s="958">
        <f>AG45-AG58</f>
        <v>126848.72265799188</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70364</v>
      </c>
      <c r="G62" s="958">
        <f>G60*$C$62</f>
        <v>76040.289999999688</v>
      </c>
      <c r="I62" s="958">
        <f>I60*$C$62</f>
        <v>81536.628999999841</v>
      </c>
      <c r="K62" s="958">
        <f>K60*$C$62</f>
        <v>86837.232393249884</v>
      </c>
      <c r="M62" s="958">
        <f>M60*$C$62</f>
        <v>91925.525575359497</v>
      </c>
      <c r="O62" s="958">
        <f>O60*$C$62</f>
        <v>96784.110349529918</v>
      </c>
      <c r="Q62" s="958">
        <f>Q60*$C$62</f>
        <v>101394.73000724806</v>
      </c>
      <c r="S62" s="958">
        <f>S60*$C$62</f>
        <v>105738.23303437498</v>
      </c>
      <c r="U62" s="958">
        <f>U60*$C$62</f>
        <v>109794.5353906978</v>
      </c>
      <c r="W62" s="958">
        <f>W60*$C$62</f>
        <v>113542.58130911062</v>
      </c>
      <c r="Y62" s="958">
        <f>Y60*$C$62</f>
        <v>116960.30255861215</v>
      </c>
      <c r="AA62" s="958">
        <f>AA60*$C$62</f>
        <v>120024.57611324104</v>
      </c>
      <c r="AC62" s="958">
        <f>AC60*$C$62</f>
        <v>122711.18016695313</v>
      </c>
      <c r="AE62" s="958">
        <f>AE60*$C$62</f>
        <v>124994.7484322408</v>
      </c>
      <c r="AG62" s="958">
        <f>AG60*$C$62</f>
        <v>126848.72265799188</v>
      </c>
    </row>
    <row r="63" spans="1:34" s="958" customFormat="1">
      <c r="A63" s="2681" t="s">
        <v>1183</v>
      </c>
      <c r="B63" s="2681"/>
      <c r="C63" s="2681"/>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ht="13">
      <c r="A73" s="529"/>
      <c r="C73" s="966"/>
    </row>
    <row r="74" spans="1:34" s="217" customFormat="1" ht="13">
      <c r="A74" s="529"/>
      <c r="C74" s="183"/>
    </row>
    <row r="75" spans="1:34" s="217" customFormat="1">
      <c r="A75" s="956" t="s">
        <v>1710</v>
      </c>
      <c r="C75" s="183"/>
    </row>
    <row r="76" spans="1:34" s="217" customFormat="1">
      <c r="C76" s="183"/>
    </row>
    <row r="77" spans="1:34" s="234" customFormat="1" ht="30" customHeight="1">
      <c r="A77" s="2679" t="s">
        <v>1709</v>
      </c>
      <c r="B77" s="2680"/>
      <c r="C77" s="2680"/>
      <c r="D77" s="2680"/>
      <c r="E77" s="2680"/>
      <c r="F77" s="2680"/>
      <c r="G77" s="2680"/>
      <c r="H77" s="2680"/>
      <c r="I77" s="2680"/>
      <c r="J77" s="2680"/>
      <c r="K77" s="2680"/>
      <c r="L77" s="2680"/>
      <c r="M77" s="2680"/>
      <c r="N77" s="2680"/>
      <c r="O77" s="2680"/>
      <c r="P77" s="2680"/>
      <c r="Q77" s="2680"/>
      <c r="R77" s="2680"/>
      <c r="S77" s="2680"/>
      <c r="T77" s="2680"/>
      <c r="U77" s="2680"/>
      <c r="V77" s="2680"/>
      <c r="W77" s="2680"/>
      <c r="X77" s="2680"/>
      <c r="Y77" s="2680"/>
      <c r="Z77" s="2680"/>
      <c r="AA77" s="2680"/>
      <c r="AB77" s="2680"/>
      <c r="AC77" s="2680"/>
      <c r="AD77" s="2680"/>
      <c r="AE77" s="2680"/>
      <c r="AF77" s="2680"/>
      <c r="AG77" s="268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970</v>
      </c>
    </row>
    <row r="2" spans="1:1" ht="15.5">
      <c r="A2" s="314"/>
    </row>
    <row r="3" spans="1:1" ht="15.5">
      <c r="A3" s="315" t="s">
        <v>965</v>
      </c>
    </row>
    <row r="4" spans="1:1" ht="15.5">
      <c r="A4" s="315" t="s">
        <v>966</v>
      </c>
    </row>
    <row r="5" spans="1:1" ht="15.5">
      <c r="A5" s="315" t="s">
        <v>967</v>
      </c>
    </row>
    <row r="6" spans="1:1" ht="15.5">
      <c r="A6" s="315" t="s">
        <v>969</v>
      </c>
    </row>
    <row r="7" spans="1:1" ht="15.5">
      <c r="A7" s="315" t="s">
        <v>968</v>
      </c>
    </row>
    <row r="8" spans="1:1" ht="15.5">
      <c r="A8" s="346" t="s">
        <v>1023</v>
      </c>
    </row>
    <row r="9" spans="1:1" ht="15.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1216</v>
      </c>
      <c r="D1" s="280"/>
    </row>
    <row r="2" spans="1:6" s="275" customFormat="1" ht="13">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3">
      <c r="A4" s="264" t="s">
        <v>26</v>
      </c>
      <c r="B4" s="264"/>
      <c r="C4" s="264"/>
      <c r="D4" s="264"/>
      <c r="E4" s="282"/>
      <c r="F4" s="264"/>
    </row>
    <row r="5" spans="1:6" s="352" customFormat="1">
      <c r="A5" s="364" t="s">
        <v>27</v>
      </c>
      <c r="B5" s="266">
        <f>'Sources and Uses Budget'!$C4</f>
        <v>4600000</v>
      </c>
      <c r="C5" s="266">
        <f>'Sources and Uses Budget'!$C4</f>
        <v>4600000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4600000</v>
      </c>
      <c r="C9" s="270">
        <f>SUM(C5:C8)</f>
        <v>4600000</v>
      </c>
      <c r="D9" s="270">
        <f t="shared" si="0"/>
        <v>0</v>
      </c>
      <c r="E9" s="268"/>
      <c r="F9" s="267"/>
    </row>
    <row r="10" spans="1:6" s="352" customFormat="1">
      <c r="A10" s="364" t="s">
        <v>593</v>
      </c>
      <c r="B10" s="266">
        <f>'Sources and Uses Budget'!$C9</f>
        <v>9000000</v>
      </c>
      <c r="C10" s="266">
        <f>'Sources and Uses Budget'!$C9</f>
        <v>9000000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9000000</v>
      </c>
      <c r="C12" s="270">
        <f>SUM(C10:C11)</f>
        <v>9000000</v>
      </c>
      <c r="D12" s="270">
        <f t="shared" si="0"/>
        <v>0</v>
      </c>
      <c r="E12" s="268"/>
      <c r="F12" s="267"/>
    </row>
    <row r="13" spans="1:6" s="352" customFormat="1">
      <c r="A13" s="365" t="s">
        <v>84</v>
      </c>
      <c r="B13" s="270">
        <f>SUM(B9+B12)</f>
        <v>13600000</v>
      </c>
      <c r="C13" s="270">
        <f>SUM(C9+C12)</f>
        <v>13600000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3">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3">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8330447</v>
      </c>
      <c r="C19" s="266">
        <f>'Sources and Uses Budget'!$C18</f>
        <v>8330447</v>
      </c>
      <c r="D19" s="270">
        <f t="shared" si="0"/>
        <v>0</v>
      </c>
      <c r="E19" s="268"/>
      <c r="F19" s="267"/>
    </row>
    <row r="20" spans="1:6" s="352" customFormat="1">
      <c r="A20" s="145" t="s">
        <v>599</v>
      </c>
      <c r="B20" s="266">
        <f>'Sources and Uses Budget'!$C19</f>
        <v>541479</v>
      </c>
      <c r="C20" s="266">
        <f>'Sources and Uses Budget'!$C19</f>
        <v>541479</v>
      </c>
      <c r="D20" s="270">
        <f t="shared" si="0"/>
        <v>0</v>
      </c>
      <c r="E20" s="268"/>
      <c r="F20" s="267"/>
    </row>
    <row r="21" spans="1:6" s="352" customFormat="1">
      <c r="A21" s="145" t="s">
        <v>137</v>
      </c>
      <c r="B21" s="266">
        <f>'Sources and Uses Budget'!$C20</f>
        <v>323825</v>
      </c>
      <c r="C21" s="266">
        <f>'Sources and Uses Budget'!$C20</f>
        <v>323825</v>
      </c>
      <c r="D21" s="270">
        <f t="shared" si="0"/>
        <v>0</v>
      </c>
      <c r="E21" s="268"/>
      <c r="F21" s="267"/>
    </row>
    <row r="22" spans="1:6" s="352" customFormat="1">
      <c r="A22" s="145" t="s">
        <v>138</v>
      </c>
      <c r="B22" s="266">
        <f>'Sources and Uses Budget'!$C21</f>
        <v>323825</v>
      </c>
      <c r="C22" s="266">
        <f>'Sources and Uses Budget'!$C21</f>
        <v>323825</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132192</v>
      </c>
      <c r="C24" s="266">
        <f>'Sources and Uses Budget'!$C23</f>
        <v>132192</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(Payment and Performance Bond)</v>
      </c>
      <c r="B26" s="266">
        <f>'Sources and Uses Budget'!$C25</f>
        <v>141398</v>
      </c>
      <c r="C26" s="266">
        <f>'Sources and Uses Budget'!$C25</f>
        <v>141398</v>
      </c>
      <c r="D26" s="270">
        <f t="shared" si="0"/>
        <v>0</v>
      </c>
      <c r="E26" s="268"/>
      <c r="F26" s="267"/>
    </row>
    <row r="27" spans="1:6" s="352" customFormat="1" ht="13">
      <c r="A27" s="1013" t="s">
        <v>133</v>
      </c>
      <c r="B27" s="270">
        <f>SUM(B18:B26)</f>
        <v>9793166</v>
      </c>
      <c r="C27" s="270">
        <f>SUM(C18:C26)</f>
        <v>9793166</v>
      </c>
      <c r="D27" s="270">
        <f>SUM(D18:D26)</f>
        <v>0</v>
      </c>
      <c r="E27" s="268"/>
      <c r="F27" s="267"/>
    </row>
    <row r="28" spans="1:6" s="352" customFormat="1" ht="13">
      <c r="A28" s="271" t="s">
        <v>141</v>
      </c>
      <c r="B28" s="266">
        <f>'Sources and Uses Budget'!$C$27</f>
        <v>1163221</v>
      </c>
      <c r="C28" s="266">
        <f>'Sources and Uses Budget'!$C$27</f>
        <v>1163221</v>
      </c>
      <c r="D28" s="270">
        <f t="shared" si="0"/>
        <v>0</v>
      </c>
      <c r="E28" s="268"/>
      <c r="F28" s="267"/>
    </row>
    <row r="29" spans="1:6" s="352" customFormat="1" ht="13">
      <c r="A29" s="264" t="s">
        <v>142</v>
      </c>
      <c r="B29" s="264"/>
      <c r="C29" s="264"/>
      <c r="D29" s="264"/>
      <c r="E29" s="282"/>
      <c r="F29" s="264"/>
    </row>
    <row r="30" spans="1:6" s="352" customFormat="1">
      <c r="A30" s="145" t="s">
        <v>597</v>
      </c>
      <c r="B30" s="266">
        <f>'Sources and Uses Budget'!$C29</f>
        <v>0</v>
      </c>
      <c r="C30" s="266">
        <f>'Sources and Uses Budget'!$C29</f>
        <v>0</v>
      </c>
      <c r="D30" s="270">
        <f t="shared" si="0"/>
        <v>0</v>
      </c>
      <c r="E30" s="268"/>
      <c r="F30" s="267"/>
    </row>
    <row r="31" spans="1:6" s="352" customFormat="1">
      <c r="A31" s="145" t="s">
        <v>598</v>
      </c>
      <c r="B31" s="266">
        <f>'Sources and Uses Budget'!$C30</f>
        <v>0</v>
      </c>
      <c r="C31" s="266">
        <f>'Sources and Uses Budget'!$C30</f>
        <v>0</v>
      </c>
      <c r="D31" s="270">
        <f t="shared" si="0"/>
        <v>0</v>
      </c>
      <c r="E31" s="268"/>
      <c r="F31" s="267"/>
    </row>
    <row r="32" spans="1:6" s="352" customFormat="1">
      <c r="A32" s="145" t="s">
        <v>599</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0</v>
      </c>
      <c r="C39" s="270">
        <f>SUM(C30:C38)</f>
        <v>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280000</v>
      </c>
      <c r="C41" s="266">
        <f>'Sources and Uses Budget'!$C40</f>
        <v>280000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280000</v>
      </c>
      <c r="C43" s="270">
        <f>SUM(C41:C42)</f>
        <v>280000</v>
      </c>
      <c r="D43" s="270">
        <f t="shared" si="0"/>
        <v>0</v>
      </c>
      <c r="E43" s="268"/>
      <c r="F43" s="267"/>
    </row>
    <row r="44" spans="1:6" s="352" customFormat="1" ht="13">
      <c r="A44" s="271" t="s">
        <v>148</v>
      </c>
      <c r="B44" s="266">
        <f>'Sources and Uses Budget'!$C43</f>
        <v>97900</v>
      </c>
      <c r="C44" s="266">
        <f>'Sources and Uses Budget'!$C43</f>
        <v>97900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1218196</v>
      </c>
      <c r="C46" s="266">
        <f>'Sources and Uses Budget'!$C45</f>
        <v>1218196</v>
      </c>
      <c r="D46" s="270">
        <f t="shared" si="0"/>
        <v>0</v>
      </c>
      <c r="E46" s="268"/>
      <c r="F46" s="267"/>
    </row>
    <row r="47" spans="1:6" s="352" customFormat="1">
      <c r="A47" s="145" t="s">
        <v>151</v>
      </c>
      <c r="B47" s="266">
        <f>'Sources and Uses Budget'!$C46</f>
        <v>0</v>
      </c>
      <c r="C47" s="266">
        <f>'Sources and Uses Budget'!$C46</f>
        <v>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363602</v>
      </c>
      <c r="C50" s="266">
        <f>'Sources and Uses Budget'!$C49</f>
        <v>363602</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300000</v>
      </c>
      <c r="C53" s="266">
        <f>'Sources and Uses Budget'!$C52</f>
        <v>300000</v>
      </c>
      <c r="D53" s="270">
        <f t="shared" si="0"/>
        <v>0</v>
      </c>
      <c r="E53" s="268"/>
      <c r="F53" s="267"/>
    </row>
    <row r="54" spans="1:6" s="352" customFormat="1" ht="23">
      <c r="A54" s="155" t="str">
        <f>'Sources and Uses Budget'!A53</f>
        <v>Other: (Bank Construction Inspections &amp;Third Party Reports)</v>
      </c>
      <c r="B54" s="266">
        <f>'Sources and Uses Budget'!$C53</f>
        <v>40000</v>
      </c>
      <c r="C54" s="266">
        <f>'Sources and Uses Budget'!$C53</f>
        <v>40000</v>
      </c>
      <c r="D54" s="270">
        <f t="shared" si="0"/>
        <v>0</v>
      </c>
      <c r="E54" s="268"/>
      <c r="F54" s="267"/>
    </row>
    <row r="55" spans="1:6" s="353" customFormat="1" ht="13">
      <c r="A55" s="271" t="s">
        <v>157</v>
      </c>
      <c r="B55" s="273">
        <f>SUM(B46:B54)</f>
        <v>1971798</v>
      </c>
      <c r="C55" s="273">
        <f>SUM(C46:C54)</f>
        <v>1971798</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30000</v>
      </c>
      <c r="C59" s="266">
        <f>'Sources and Uses Budget'!$C58</f>
        <v>30000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30000</v>
      </c>
      <c r="C63" s="270">
        <f>SUM(C57:C62)</f>
        <v>30000</v>
      </c>
      <c r="D63" s="270">
        <f t="shared" si="0"/>
        <v>0</v>
      </c>
      <c r="E63" s="268"/>
      <c r="F63" s="267"/>
    </row>
    <row r="64" spans="1:6" s="352" customFormat="1" ht="13">
      <c r="A64" s="274" t="s">
        <v>301</v>
      </c>
      <c r="B64" s="270">
        <f>SUM(B9+B12+B14+B15+B17+B26+B28+B39+B43+B44+B55+B63)</f>
        <v>17284317</v>
      </c>
      <c r="C64" s="270">
        <f>SUM(C9+C12+C14+C15+C17+C26+C28+C39+C43+C44+C55+C63)</f>
        <v>17284317</v>
      </c>
      <c r="D64" s="270">
        <f t="shared" si="0"/>
        <v>0</v>
      </c>
      <c r="E64" s="268"/>
      <c r="F64" s="267"/>
    </row>
    <row r="65" spans="1:6" s="352" customFormat="1" ht="24">
      <c r="A65" s="141" t="s">
        <v>1632</v>
      </c>
      <c r="B65" s="264"/>
      <c r="C65" s="264"/>
      <c r="D65" s="264"/>
      <c r="E65" s="282"/>
      <c r="F65" s="264"/>
    </row>
    <row r="66" spans="1:6" s="352" customFormat="1">
      <c r="A66" s="145" t="s">
        <v>170</v>
      </c>
      <c r="B66" s="266">
        <f>'Sources and Uses Budget'!$C65</f>
        <v>0</v>
      </c>
      <c r="C66" s="266">
        <f>'Sources and Uses Budget'!$C65</f>
        <v>0</v>
      </c>
      <c r="D66" s="270">
        <f t="shared" si="0"/>
        <v>0</v>
      </c>
      <c r="E66" s="268"/>
      <c r="F66" s="267"/>
    </row>
    <row r="67" spans="1:6" s="352" customFormat="1" ht="23">
      <c r="A67" s="283" t="s">
        <v>1629</v>
      </c>
      <c r="B67" s="266">
        <f>'Sources and Uses Budget'!$C66</f>
        <v>0</v>
      </c>
      <c r="C67" s="266">
        <f>'Sources and Uses Budget'!$C66</f>
        <v>0</v>
      </c>
      <c r="D67" s="270"/>
      <c r="E67" s="268"/>
      <c r="F67" s="267"/>
    </row>
    <row r="68" spans="1:6" s="352" customFormat="1" ht="23">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ht="23">
      <c r="A70" s="155" t="str">
        <f>'Sources and Uses Budget'!A69</f>
        <v>Other: (Applicant Legal, Including HUD Counsel)</v>
      </c>
      <c r="B70" s="266">
        <f>'Sources and Uses Budget'!$C69</f>
        <v>85000</v>
      </c>
      <c r="C70" s="266">
        <f>'Sources and Uses Budget'!$C69</f>
        <v>85000</v>
      </c>
      <c r="D70" s="270">
        <f t="shared" si="0"/>
        <v>0</v>
      </c>
      <c r="E70" s="268"/>
      <c r="F70" s="267"/>
    </row>
    <row r="71" spans="1:6" s="352" customFormat="1">
      <c r="A71" s="149" t="s">
        <v>1633</v>
      </c>
      <c r="B71" s="270">
        <f>SUM(B66:B70)</f>
        <v>85000</v>
      </c>
      <c r="C71" s="270">
        <f>SUM(C66:C70)</f>
        <v>85000</v>
      </c>
      <c r="D71" s="270">
        <f t="shared" si="0"/>
        <v>0</v>
      </c>
      <c r="E71" s="268"/>
      <c r="F71" s="267"/>
    </row>
    <row r="72" spans="1:6" s="352" customFormat="1" ht="13">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213500</v>
      </c>
      <c r="C75" s="266">
        <f>'Sources and Uses Budget'!$C74</f>
        <v>213500</v>
      </c>
      <c r="D75" s="270">
        <f t="shared" si="0"/>
        <v>0</v>
      </c>
      <c r="E75" s="268"/>
      <c r="F75" s="267"/>
    </row>
    <row r="76" spans="1:6" s="352" customFormat="1">
      <c r="A76" s="269" t="s">
        <v>604</v>
      </c>
      <c r="B76" s="266">
        <f>'Sources and Uses Budget'!$C75</f>
        <v>730878</v>
      </c>
      <c r="C76" s="266">
        <f>'Sources and Uses Budget'!$C75</f>
        <v>730878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605</v>
      </c>
      <c r="B78" s="270">
        <f>SUM(B73:B77)</f>
        <v>944378</v>
      </c>
      <c r="C78" s="270">
        <f>SUM(C73:C77)</f>
        <v>944378</v>
      </c>
      <c r="D78" s="270">
        <f t="shared" ref="D78:D106" si="1">C78-B78</f>
        <v>0</v>
      </c>
      <c r="E78" s="268"/>
      <c r="F78" s="267"/>
    </row>
    <row r="79" spans="1:6" s="352" customFormat="1" ht="13">
      <c r="A79" s="264" t="s">
        <v>1209</v>
      </c>
      <c r="B79" s="264"/>
      <c r="C79" s="264"/>
      <c r="D79" s="264"/>
      <c r="E79" s="282"/>
      <c r="F79" s="264"/>
    </row>
    <row r="80" spans="1:6" s="352" customFormat="1">
      <c r="A80" s="510" t="s">
        <v>1211</v>
      </c>
      <c r="B80" s="266">
        <f>'Sources and Uses Budget'!$C79</f>
        <v>1468975</v>
      </c>
      <c r="C80" s="266">
        <f>'Sources and Uses Budget'!$C79</f>
        <v>1468975</v>
      </c>
      <c r="D80" s="270">
        <f t="shared" si="1"/>
        <v>0</v>
      </c>
      <c r="E80" s="268"/>
      <c r="F80" s="267"/>
    </row>
    <row r="81" spans="1:6" s="352" customFormat="1">
      <c r="A81" s="510" t="s">
        <v>58</v>
      </c>
      <c r="B81" s="266">
        <f>'Sources and Uses Budget'!$C80</f>
        <v>150000</v>
      </c>
      <c r="C81" s="266">
        <f>'Sources and Uses Budget'!$C80</f>
        <v>150000</v>
      </c>
      <c r="D81" s="270">
        <f>C81-B81</f>
        <v>0</v>
      </c>
      <c r="E81" s="268"/>
      <c r="F81" s="267"/>
    </row>
    <row r="82" spans="1:6" s="352" customFormat="1" ht="13">
      <c r="A82" s="271" t="s">
        <v>1208</v>
      </c>
      <c r="B82" s="270">
        <f>SUM(B80:B81)</f>
        <v>1618975</v>
      </c>
      <c r="C82" s="270">
        <f>SUM(C80:C81)</f>
        <v>1618975</v>
      </c>
      <c r="D82" s="270">
        <f t="shared" si="1"/>
        <v>0</v>
      </c>
      <c r="E82" s="268"/>
      <c r="F82" s="267"/>
    </row>
    <row r="83" spans="1:6" s="352" customFormat="1" ht="13">
      <c r="A83" s="264" t="s">
        <v>764</v>
      </c>
      <c r="B83" s="264"/>
      <c r="C83" s="264"/>
      <c r="D83" s="264"/>
      <c r="E83" s="282"/>
      <c r="F83" s="264"/>
    </row>
    <row r="84" spans="1:6" s="352" customFormat="1" ht="13.75" customHeight="1">
      <c r="A84" s="269" t="s">
        <v>765</v>
      </c>
      <c r="B84" s="266">
        <f>'Sources and Uses Budget'!$C83</f>
        <v>59749</v>
      </c>
      <c r="C84" s="266">
        <f>'Sources and Uses Budget'!$C83</f>
        <v>59749</v>
      </c>
      <c r="D84" s="270">
        <f t="shared" si="1"/>
        <v>0</v>
      </c>
      <c r="E84" s="268"/>
      <c r="F84" s="267"/>
    </row>
    <row r="85" spans="1:6" s="352" customFormat="1">
      <c r="A85" s="269" t="s">
        <v>766</v>
      </c>
      <c r="B85" s="266">
        <f>'Sources and Uses Budget'!$C84</f>
        <v>0</v>
      </c>
      <c r="C85" s="266">
        <f>'Sources and Uses Budget'!$C84</f>
        <v>0</v>
      </c>
      <c r="D85" s="270">
        <f t="shared" si="1"/>
        <v>0</v>
      </c>
      <c r="E85" s="268"/>
      <c r="F85" s="267"/>
    </row>
    <row r="86" spans="1:6" s="352" customFormat="1">
      <c r="A86" s="269" t="s">
        <v>767</v>
      </c>
      <c r="B86" s="266">
        <f>'Sources and Uses Budget'!$C85</f>
        <v>0</v>
      </c>
      <c r="C86" s="266">
        <f>'Sources and Uses Budget'!$C85</f>
        <v>0</v>
      </c>
      <c r="D86" s="270">
        <f t="shared" si="1"/>
        <v>0</v>
      </c>
      <c r="E86" s="268"/>
      <c r="F86" s="267"/>
    </row>
    <row r="87" spans="1:6" s="352" customFormat="1">
      <c r="A87" s="269" t="s">
        <v>768</v>
      </c>
      <c r="B87" s="266">
        <f>'Sources and Uses Budget'!$C86</f>
        <v>100000</v>
      </c>
      <c r="C87" s="266">
        <f>'Sources and Uses Budget'!$C86</f>
        <v>100000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25000</v>
      </c>
      <c r="C89" s="266">
        <f>'Sources and Uses Budget'!$C88</f>
        <v>25000</v>
      </c>
      <c r="D89" s="270">
        <f t="shared" si="1"/>
        <v>0</v>
      </c>
      <c r="E89" s="268"/>
      <c r="F89" s="267"/>
    </row>
    <row r="90" spans="1:6" s="352" customFormat="1">
      <c r="A90" s="269" t="s">
        <v>771</v>
      </c>
      <c r="B90" s="266">
        <f>'Sources and Uses Budget'!$C89</f>
        <v>300000</v>
      </c>
      <c r="C90" s="266">
        <f>'Sources and Uses Budget'!$C89</f>
        <v>300000</v>
      </c>
      <c r="D90" s="270">
        <f t="shared" si="1"/>
        <v>0</v>
      </c>
      <c r="E90" s="268"/>
      <c r="F90" s="267"/>
    </row>
    <row r="91" spans="1:6" s="352" customFormat="1">
      <c r="A91" s="269" t="s">
        <v>772</v>
      </c>
      <c r="B91" s="266">
        <f>'Sources and Uses Budget'!$C90</f>
        <v>5500</v>
      </c>
      <c r="C91" s="266">
        <f>'Sources and Uses Budget'!$C90</f>
        <v>5500</v>
      </c>
      <c r="D91" s="270">
        <f t="shared" si="1"/>
        <v>0</v>
      </c>
      <c r="E91" s="268"/>
      <c r="F91" s="267"/>
    </row>
    <row r="92" spans="1:6" s="352" customFormat="1">
      <c r="A92" s="269" t="s">
        <v>371</v>
      </c>
      <c r="B92" s="266">
        <f>'Sources and Uses Budget'!$C91</f>
        <v>30000</v>
      </c>
      <c r="C92" s="266">
        <f>'Sources and Uses Budget'!$C91</f>
        <v>30000</v>
      </c>
      <c r="D92" s="270">
        <f t="shared" si="1"/>
        <v>0</v>
      </c>
      <c r="E92" s="268"/>
      <c r="F92" s="267"/>
    </row>
    <row r="93" spans="1:6" s="352" customFormat="1">
      <c r="A93" s="510" t="s">
        <v>1210</v>
      </c>
      <c r="B93" s="266">
        <f>'Sources and Uses Budget'!$C92</f>
        <v>10000</v>
      </c>
      <c r="C93" s="266">
        <f>'Sources and Uses Budget'!$C92</f>
        <v>10000</v>
      </c>
      <c r="D93" s="270">
        <f t="shared" si="1"/>
        <v>0</v>
      </c>
      <c r="E93" s="268"/>
      <c r="F93" s="267"/>
    </row>
    <row r="94" spans="1:6" s="352" customFormat="1">
      <c r="A94" s="272" t="s">
        <v>34</v>
      </c>
      <c r="B94" s="266">
        <f>'Sources and Uses Budget'!$C93</f>
        <v>76160</v>
      </c>
      <c r="C94" s="266">
        <f>'Sources and Uses Budget'!$C93</f>
        <v>76160</v>
      </c>
      <c r="D94" s="270">
        <f t="shared" si="1"/>
        <v>0</v>
      </c>
      <c r="E94" s="268"/>
      <c r="F94" s="267"/>
    </row>
    <row r="95" spans="1:6" s="352" customFormat="1">
      <c r="A95" s="272" t="s">
        <v>34</v>
      </c>
      <c r="B95" s="266">
        <f>'Sources and Uses Budget'!$C94</f>
        <v>1268536</v>
      </c>
      <c r="C95" s="266">
        <f>'Sources and Uses Budget'!$C94</f>
        <v>1268536</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773</v>
      </c>
      <c r="B97" s="270">
        <f>SUM(B84:B96)</f>
        <v>1874945</v>
      </c>
      <c r="C97" s="270">
        <f>SUM(C84:C96)</f>
        <v>1874945</v>
      </c>
      <c r="D97" s="270">
        <f t="shared" si="1"/>
        <v>0</v>
      </c>
      <c r="E97" s="268"/>
      <c r="F97" s="267"/>
    </row>
    <row r="98" spans="1:6" s="352" customFormat="1" ht="13">
      <c r="A98" s="271" t="s">
        <v>774</v>
      </c>
      <c r="B98" s="270">
        <f>SUM(B64+B71+B78+B82+B97)</f>
        <v>21807615</v>
      </c>
      <c r="C98" s="270">
        <f>SUM(C64+C71+C78+C82+C97)</f>
        <v>21807615</v>
      </c>
      <c r="D98" s="270">
        <f t="shared" si="1"/>
        <v>0</v>
      </c>
      <c r="E98" s="268"/>
      <c r="F98" s="267"/>
    </row>
    <row r="99" spans="1:6" s="352" customFormat="1" ht="13">
      <c r="A99" s="264" t="s">
        <v>775</v>
      </c>
      <c r="B99" s="264"/>
      <c r="C99" s="264"/>
      <c r="D99" s="264"/>
      <c r="E99" s="282"/>
      <c r="F99" s="264"/>
    </row>
    <row r="100" spans="1:6" s="352" customFormat="1">
      <c r="A100" s="145" t="s">
        <v>776</v>
      </c>
      <c r="B100" s="266">
        <f>'Sources and Uses Budget'!$C99</f>
        <v>3636942</v>
      </c>
      <c r="C100" s="266">
        <f>'Sources and Uses Budget'!$C99</f>
        <v>3636942</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778</v>
      </c>
      <c r="B105" s="270">
        <f>SUM(B100:B104)</f>
        <v>3636942</v>
      </c>
      <c r="C105" s="270">
        <f>SUM(C100:C104)</f>
        <v>3636942</v>
      </c>
      <c r="D105" s="270">
        <f t="shared" si="1"/>
        <v>0</v>
      </c>
      <c r="E105" s="268"/>
      <c r="F105" s="267"/>
    </row>
    <row r="106" spans="1:6" s="352" customFormat="1" ht="13">
      <c r="A106" s="271" t="s">
        <v>779</v>
      </c>
      <c r="B106" s="273">
        <f>SUM(B98+B105)</f>
        <v>25444557</v>
      </c>
      <c r="C106" s="273">
        <f>SUM(C98+C105)</f>
        <v>25444557</v>
      </c>
      <c r="D106" s="270">
        <f t="shared" si="1"/>
        <v>0</v>
      </c>
      <c r="E106" s="268"/>
      <c r="F106" s="267"/>
    </row>
    <row r="107" spans="1:6" s="352" customFormat="1" ht="13">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265625" style="402" customWidth="1"/>
    <col min="11" max="16384" width="8.81640625" style="402" hidden="1"/>
  </cols>
  <sheetData>
    <row r="1" spans="1:10" ht="15.5">
      <c r="A1" s="1280" t="s">
        <v>1842</v>
      </c>
      <c r="B1" s="1281"/>
      <c r="C1" s="1281"/>
      <c r="D1" s="1281"/>
      <c r="E1" s="1281"/>
      <c r="F1" s="1281"/>
      <c r="G1" s="1281"/>
      <c r="H1" s="1281"/>
      <c r="I1" s="1281"/>
      <c r="J1" s="1281"/>
    </row>
    <row r="2" spans="1:10" ht="15.5">
      <c r="A2" s="1284" t="s">
        <v>1267</v>
      </c>
      <c r="B2" s="1285"/>
      <c r="C2" s="1285"/>
      <c r="D2" s="1285"/>
      <c r="E2" s="1285"/>
      <c r="F2" s="1285"/>
      <c r="G2" s="1285"/>
      <c r="H2" s="1285"/>
      <c r="I2" s="1285"/>
      <c r="J2" s="1285"/>
    </row>
    <row r="3" spans="1:10" ht="12.5"/>
    <row r="4" spans="1:10" ht="12.75" customHeight="1">
      <c r="A4" s="1282" t="s">
        <v>2005</v>
      </c>
      <c r="B4" s="1282"/>
      <c r="C4" s="1282"/>
      <c r="D4" s="1282"/>
      <c r="E4" s="1282"/>
      <c r="F4" s="1282"/>
      <c r="G4" s="1282"/>
      <c r="H4" s="1282"/>
      <c r="I4" s="1282"/>
      <c r="J4" s="1282"/>
    </row>
    <row r="5" spans="1:10" ht="12.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5"/>
    <row r="10" spans="1:10" ht="12.75" customHeight="1">
      <c r="A10" s="1286" t="s">
        <v>1847</v>
      </c>
      <c r="B10" s="1286"/>
      <c r="C10" s="1286"/>
      <c r="D10" s="1286"/>
      <c r="E10" s="1286"/>
      <c r="F10" s="1286"/>
      <c r="G10" s="1286"/>
      <c r="H10" s="1286"/>
      <c r="I10" s="1286"/>
      <c r="J10" s="1286"/>
    </row>
    <row r="11" spans="1:10" ht="12.5">
      <c r="A11" s="1286"/>
      <c r="B11" s="1286"/>
      <c r="C11" s="1286"/>
      <c r="D11" s="1286"/>
      <c r="E11" s="1286"/>
      <c r="F11" s="1286"/>
      <c r="G11" s="1286"/>
      <c r="H11" s="1286"/>
      <c r="I11" s="1286"/>
      <c r="J11" s="1286"/>
    </row>
    <row r="12" spans="1:10" ht="12.5">
      <c r="A12" s="1286"/>
      <c r="B12" s="1286"/>
      <c r="C12" s="1286"/>
      <c r="D12" s="1286"/>
      <c r="E12" s="1286"/>
      <c r="F12" s="1286"/>
      <c r="G12" s="1286"/>
      <c r="H12" s="1286"/>
      <c r="I12" s="1286"/>
      <c r="J12" s="1286"/>
    </row>
    <row r="13" spans="1:10" ht="12.5">
      <c r="A13" s="1286"/>
      <c r="B13" s="1286"/>
      <c r="C13" s="1286"/>
      <c r="D13" s="1286"/>
      <c r="E13" s="1286"/>
      <c r="F13" s="1286"/>
      <c r="G13" s="1286"/>
      <c r="H13" s="1286"/>
      <c r="I13" s="1286"/>
      <c r="J13" s="1286"/>
    </row>
    <row r="14" spans="1:10" ht="12.5">
      <c r="A14" s="1286"/>
      <c r="B14" s="1286"/>
      <c r="C14" s="1286"/>
      <c r="D14" s="1286"/>
      <c r="E14" s="1286"/>
      <c r="F14" s="1286"/>
      <c r="G14" s="1286"/>
      <c r="H14" s="1286"/>
      <c r="I14" s="1286"/>
      <c r="J14" s="1286"/>
    </row>
    <row r="15" spans="1:10" ht="12.5">
      <c r="A15" s="1286"/>
      <c r="B15" s="1286"/>
      <c r="C15" s="1286"/>
      <c r="D15" s="1286"/>
      <c r="E15" s="1286"/>
      <c r="F15" s="1286"/>
      <c r="G15" s="1286"/>
      <c r="H15" s="1286"/>
      <c r="I15" s="1286"/>
      <c r="J15" s="1286"/>
    </row>
    <row r="16" spans="1:10" ht="12.5">
      <c r="A16" s="524"/>
      <c r="B16" s="524"/>
      <c r="C16" s="524"/>
      <c r="D16" s="524"/>
      <c r="E16" s="524"/>
      <c r="F16" s="524"/>
      <c r="G16" s="524"/>
      <c r="H16" s="524"/>
      <c r="I16" s="524"/>
      <c r="J16" s="524"/>
    </row>
    <row r="17" spans="1:10" ht="12.5">
      <c r="A17" s="476" t="s">
        <v>1846</v>
      </c>
      <c r="B17" s="416"/>
      <c r="C17" s="416"/>
      <c r="D17" s="416"/>
      <c r="E17" s="416"/>
      <c r="F17" s="416"/>
      <c r="G17" s="416"/>
      <c r="H17" s="416"/>
      <c r="I17" s="416"/>
      <c r="J17" s="416"/>
    </row>
    <row r="18" spans="1:10" ht="12.5">
      <c r="A18" s="416" t="s">
        <v>249</v>
      </c>
      <c r="B18" s="416"/>
      <c r="C18" s="416"/>
      <c r="D18" s="416"/>
      <c r="E18" s="416"/>
      <c r="F18" s="416"/>
      <c r="G18" s="416"/>
      <c r="H18" s="416"/>
      <c r="I18" s="416"/>
      <c r="J18" s="416"/>
    </row>
    <row r="19" spans="1:10" ht="12.5">
      <c r="A19" s="1285" t="s">
        <v>1188</v>
      </c>
      <c r="B19" s="1285"/>
      <c r="C19" s="1285"/>
      <c r="D19" s="1285"/>
      <c r="E19" s="1285"/>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282" t="s">
        <v>1189</v>
      </c>
      <c r="B76" s="1282"/>
      <c r="C76" s="1282"/>
      <c r="D76" s="1282"/>
      <c r="E76" s="1282"/>
      <c r="F76" s="1282"/>
      <c r="G76" s="1282"/>
      <c r="H76" s="1282"/>
      <c r="I76" s="1282"/>
      <c r="J76" s="1282"/>
    </row>
    <row r="77" spans="1:10" ht="12.5">
      <c r="A77" s="1282"/>
      <c r="B77" s="1282"/>
      <c r="C77" s="1282"/>
      <c r="D77" s="1282"/>
      <c r="E77" s="1282"/>
      <c r="F77" s="1282"/>
      <c r="G77" s="1282"/>
      <c r="H77" s="1282"/>
      <c r="I77" s="1282"/>
      <c r="J77" s="1282"/>
    </row>
    <row r="78" spans="1:10" ht="12.5">
      <c r="A78" s="1282"/>
      <c r="B78" s="1282"/>
      <c r="C78" s="1282"/>
      <c r="D78" s="1282"/>
      <c r="E78" s="1282"/>
      <c r="F78" s="1282"/>
      <c r="G78" s="1282"/>
      <c r="H78" s="1282"/>
      <c r="I78" s="1282"/>
      <c r="J78" s="1282"/>
    </row>
    <row r="79" spans="1:10" ht="12.5"/>
    <row r="80" spans="1:10" ht="12.5">
      <c r="A80" s="402" t="s">
        <v>1188</v>
      </c>
    </row>
    <row r="81" spans="1:9" ht="12.5"/>
    <row r="82" spans="1:9" ht="12.5"/>
    <row r="83" spans="1:9" ht="12.5"/>
    <row r="84" spans="1:9" ht="12.5"/>
    <row r="85" spans="1:9" ht="12.5"/>
    <row r="86" spans="1:9" ht="12.5"/>
    <row r="87" spans="1:9" ht="12.5"/>
    <row r="88" spans="1:9" ht="12.5"/>
    <row r="89" spans="1:9" ht="13">
      <c r="A89" s="1283" t="s">
        <v>1843</v>
      </c>
      <c r="B89" s="1283"/>
      <c r="C89" s="1283"/>
      <c r="D89" s="1283"/>
      <c r="E89" s="1283"/>
      <c r="F89" s="1283"/>
      <c r="G89" s="1283"/>
      <c r="H89" s="1283"/>
      <c r="I89" s="1283"/>
    </row>
    <row r="90" spans="1:9" ht="12.5">
      <c r="A90" s="1275" t="s">
        <v>2003</v>
      </c>
      <c r="B90" s="1275"/>
      <c r="C90" s="1275"/>
      <c r="D90" s="1275"/>
      <c r="E90" s="1275"/>
    </row>
    <row r="91" spans="1:9" ht="12.5">
      <c r="A91" s="1275" t="s">
        <v>2004</v>
      </c>
      <c r="B91" s="1275"/>
      <c r="C91" s="1275"/>
      <c r="D91" s="1275"/>
      <c r="E91" s="1275"/>
    </row>
    <row r="92" spans="1:9" ht="12.5">
      <c r="A92" s="1275" t="s">
        <v>1844</v>
      </c>
      <c r="B92" s="1275"/>
      <c r="C92" s="1275"/>
      <c r="D92" s="1275"/>
      <c r="E92" s="1275"/>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5" sqref="B15"/>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3" width="8.81640625" style="402" hidden="1" customWidth="1"/>
    <col min="14" max="16384" width="0" style="402" hidden="1"/>
  </cols>
  <sheetData>
    <row r="1" spans="1:13"/>
    <row r="2" spans="1:13">
      <c r="A2" s="1338" t="s">
        <v>2604</v>
      </c>
      <c r="B2" s="1338"/>
      <c r="C2" s="1338"/>
      <c r="D2" s="1338"/>
      <c r="E2" s="1338"/>
      <c r="F2" s="1338"/>
      <c r="G2" s="1338"/>
      <c r="H2" s="1338"/>
      <c r="I2" s="1338"/>
    </row>
    <row r="3" spans="1:13">
      <c r="A3" s="1328" t="s">
        <v>2172</v>
      </c>
      <c r="B3" s="1328"/>
      <c r="C3" s="1328"/>
      <c r="D3" s="1328"/>
      <c r="E3" s="1328"/>
      <c r="F3" s="1328"/>
      <c r="G3" s="1328"/>
      <c r="H3" s="1328"/>
      <c r="I3" s="1328"/>
    </row>
    <row r="4" spans="1:13">
      <c r="A4" s="1328"/>
      <c r="B4" s="1328"/>
      <c r="C4" s="1285"/>
      <c r="D4" s="1285"/>
      <c r="E4" s="1285"/>
      <c r="F4" s="1285"/>
      <c r="G4" s="1285"/>
    </row>
    <row r="5" spans="1:13">
      <c r="A5" s="1328"/>
      <c r="B5" s="1328"/>
      <c r="C5" s="1285"/>
      <c r="D5" s="1285"/>
      <c r="E5" s="1285"/>
      <c r="F5" s="1285"/>
      <c r="G5" s="1285"/>
    </row>
    <row r="6" spans="1:13" ht="12.75" customHeight="1">
      <c r="A6" s="1331" t="s">
        <v>2171</v>
      </c>
      <c r="B6" s="1331"/>
      <c r="C6" s="1331"/>
      <c r="D6" s="1331"/>
      <c r="E6" s="1331"/>
      <c r="F6" s="1331"/>
      <c r="G6" s="1331"/>
      <c r="I6" s="490"/>
    </row>
    <row r="7" spans="1:13">
      <c r="A7" s="1331"/>
      <c r="B7" s="1331"/>
      <c r="C7" s="1331"/>
      <c r="D7" s="1331"/>
      <c r="E7" s="1331"/>
      <c r="F7" s="1331"/>
      <c r="G7" s="1331"/>
      <c r="I7" s="490"/>
    </row>
    <row r="8" spans="1:13">
      <c r="A8" s="481"/>
      <c r="B8" s="481"/>
      <c r="C8" s="482"/>
      <c r="D8" s="482"/>
      <c r="E8" s="482"/>
      <c r="F8" s="482"/>
    </row>
    <row r="9" spans="1:13">
      <c r="A9" s="1307" t="s">
        <v>1100</v>
      </c>
      <c r="B9" s="1307"/>
      <c r="C9" s="1307"/>
      <c r="D9" s="1307"/>
      <c r="E9" s="1307"/>
      <c r="F9" s="1307"/>
      <c r="G9" s="1307"/>
      <c r="H9" s="1023"/>
      <c r="I9" s="1024"/>
    </row>
    <row r="10" spans="1:13">
      <c r="A10" s="482"/>
      <c r="B10" s="482"/>
      <c r="E10" s="404"/>
    </row>
    <row r="11" spans="1:13" ht="13.75" customHeight="1">
      <c r="C11" s="482"/>
      <c r="D11" s="1330" t="s">
        <v>1099</v>
      </c>
      <c r="E11" s="1330"/>
      <c r="F11" s="1330"/>
    </row>
    <row r="12" spans="1:13">
      <c r="C12" s="482"/>
      <c r="D12" s="1330"/>
      <c r="E12" s="1330"/>
      <c r="F12" s="1330"/>
    </row>
    <row r="13" spans="1:13">
      <c r="A13" s="483"/>
      <c r="B13" s="483"/>
      <c r="C13" s="483"/>
      <c r="D13" s="1308" t="s">
        <v>1089</v>
      </c>
      <c r="E13" s="1308"/>
      <c r="F13" s="1308"/>
      <c r="M13" s="96"/>
    </row>
    <row r="14" spans="1:13">
      <c r="A14" s="483"/>
      <c r="B14" s="483"/>
      <c r="C14" s="483"/>
      <c r="D14" s="476"/>
      <c r="L14" s="312"/>
    </row>
    <row r="15" spans="1:13">
      <c r="A15" s="484"/>
      <c r="B15" s="485" t="s">
        <v>306</v>
      </c>
      <c r="C15" s="483"/>
      <c r="D15" s="1306" t="s">
        <v>1894</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1892</v>
      </c>
      <c r="F18" s="445"/>
      <c r="I18" s="490"/>
    </row>
    <row r="19" spans="1:9">
      <c r="A19" s="483"/>
      <c r="B19" s="483"/>
      <c r="C19" s="483"/>
      <c r="I19" s="490"/>
    </row>
    <row r="20" spans="1:9">
      <c r="A20" s="484"/>
      <c r="B20" s="485" t="s">
        <v>306</v>
      </c>
      <c r="D20" s="1306" t="s">
        <v>1895</v>
      </c>
      <c r="E20" s="1306"/>
      <c r="F20" s="1306"/>
      <c r="I20" s="490"/>
    </row>
    <row r="21" spans="1:9">
      <c r="A21" s="484"/>
      <c r="D21" s="1306"/>
      <c r="E21" s="1306"/>
      <c r="F21" s="1306"/>
      <c r="I21" s="490"/>
    </row>
    <row r="22" spans="1:9">
      <c r="A22" s="484"/>
      <c r="D22" s="392"/>
      <c r="E22" s="96" t="s">
        <v>1891</v>
      </c>
      <c r="F22" s="392"/>
      <c r="I22" s="490"/>
    </row>
    <row r="23" spans="1:9">
      <c r="A23" s="484"/>
      <c r="B23" s="484"/>
      <c r="D23" s="446"/>
      <c r="I23" s="490"/>
    </row>
    <row r="24" spans="1:9">
      <c r="A24" s="484"/>
      <c r="B24" s="485" t="s">
        <v>306</v>
      </c>
      <c r="D24" s="1306" t="s">
        <v>1090</v>
      </c>
      <c r="E24" s="1306"/>
      <c r="F24" s="1306"/>
      <c r="I24" s="490"/>
    </row>
    <row r="25" spans="1:9">
      <c r="A25" s="484"/>
      <c r="B25" s="484"/>
      <c r="D25" s="1306"/>
      <c r="E25" s="1306"/>
      <c r="F25" s="1306"/>
      <c r="I25" s="490"/>
    </row>
    <row r="26" spans="1:9">
      <c r="I26" s="490"/>
    </row>
    <row r="27" spans="1:9">
      <c r="A27" s="484"/>
      <c r="B27" s="485" t="s">
        <v>306</v>
      </c>
      <c r="D27" s="1306" t="s">
        <v>2006</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306</v>
      </c>
      <c r="D33" s="1306" t="s">
        <v>2007</v>
      </c>
      <c r="E33" s="1306"/>
      <c r="F33" s="1306"/>
      <c r="I33" s="490"/>
    </row>
    <row r="34" spans="1:9">
      <c r="D34" s="1306"/>
      <c r="E34" s="1306"/>
      <c r="F34" s="1306"/>
      <c r="I34" s="490"/>
    </row>
    <row r="35" spans="1:9">
      <c r="A35" s="484"/>
      <c r="B35" s="484"/>
      <c r="D35" s="447"/>
      <c r="I35" s="490"/>
    </row>
    <row r="36" spans="1:9" ht="14.5" customHeight="1">
      <c r="A36" s="484"/>
      <c r="B36" s="485" t="s">
        <v>306</v>
      </c>
      <c r="D36" s="1306" t="s">
        <v>1213</v>
      </c>
      <c r="E36" s="1306"/>
      <c r="F36" s="1306"/>
      <c r="I36" s="490"/>
    </row>
    <row r="37" spans="1:9">
      <c r="A37" s="484"/>
      <c r="B37" s="484"/>
      <c r="D37" s="1306"/>
      <c r="E37" s="1306"/>
      <c r="F37" s="1306"/>
      <c r="I37" s="490"/>
    </row>
    <row r="38" spans="1:9">
      <c r="A38" s="484"/>
      <c r="B38" s="484"/>
      <c r="D38" s="1306"/>
      <c r="E38" s="1306"/>
      <c r="F38" s="1306"/>
      <c r="I38" s="490"/>
    </row>
    <row r="39" spans="1:9">
      <c r="A39" s="484"/>
      <c r="B39" s="484"/>
      <c r="D39" s="1306"/>
      <c r="E39" s="1306"/>
      <c r="F39" s="1306"/>
      <c r="I39" s="490"/>
    </row>
    <row r="40" spans="1:9">
      <c r="A40" s="484"/>
      <c r="B40" s="484"/>
      <c r="I40" s="490"/>
    </row>
    <row r="41" spans="1:9">
      <c r="A41" s="484"/>
      <c r="B41" s="485" t="s">
        <v>306</v>
      </c>
      <c r="D41" s="1306" t="s">
        <v>1091</v>
      </c>
      <c r="E41" s="1306"/>
      <c r="F41" s="1306"/>
      <c r="I41" s="490"/>
    </row>
    <row r="42" spans="1:9">
      <c r="A42" s="484"/>
      <c r="B42" s="484"/>
      <c r="D42" s="1306"/>
      <c r="E42" s="1306"/>
      <c r="F42" s="1306"/>
      <c r="I42" s="490"/>
    </row>
    <row r="43" spans="1:9">
      <c r="A43" s="484"/>
      <c r="B43" s="484"/>
      <c r="D43" s="1306"/>
      <c r="E43" s="1306"/>
      <c r="F43" s="1306"/>
      <c r="I43" s="490"/>
    </row>
    <row r="44" spans="1:9">
      <c r="A44" s="484"/>
      <c r="B44" s="484"/>
      <c r="D44" s="1306"/>
      <c r="E44" s="1306"/>
      <c r="F44" s="1306"/>
      <c r="I44" s="490"/>
    </row>
    <row r="45" spans="1:9">
      <c r="A45" s="484"/>
      <c r="B45" s="484"/>
      <c r="D45" s="1306"/>
      <c r="E45" s="1306"/>
      <c r="F45" s="1306"/>
      <c r="I45" s="490"/>
    </row>
    <row r="46" spans="1:9">
      <c r="A46" s="484"/>
      <c r="B46" s="484"/>
      <c r="D46" s="445"/>
      <c r="E46" s="445"/>
      <c r="F46" s="445"/>
      <c r="I46" s="490"/>
    </row>
    <row r="47" spans="1:9">
      <c r="A47" s="484"/>
      <c r="B47" s="485" t="s">
        <v>306</v>
      </c>
      <c r="D47" s="1306" t="s">
        <v>1092</v>
      </c>
      <c r="E47" s="1306"/>
      <c r="F47" s="1306"/>
      <c r="I47" s="490"/>
    </row>
    <row r="48" spans="1:9">
      <c r="A48" s="484"/>
      <c r="B48" s="484"/>
      <c r="D48" s="1306"/>
      <c r="E48" s="1306"/>
      <c r="F48" s="1306"/>
      <c r="I48" s="490"/>
    </row>
    <row r="49" spans="1:9">
      <c r="A49" s="484"/>
      <c r="B49" s="484"/>
      <c r="D49" s="1306"/>
      <c r="E49" s="1306"/>
      <c r="F49" s="1306"/>
      <c r="I49" s="490"/>
    </row>
    <row r="50" spans="1:9" ht="23.25" customHeight="1">
      <c r="A50" s="484"/>
      <c r="B50" s="484"/>
      <c r="D50" s="1306"/>
      <c r="E50" s="1306"/>
      <c r="F50" s="1306"/>
      <c r="I50" s="490"/>
    </row>
    <row r="51" spans="1:9">
      <c r="A51" s="484"/>
      <c r="B51" s="484"/>
      <c r="D51" s="446"/>
      <c r="I51" s="490"/>
    </row>
    <row r="52" spans="1:9" ht="14.5" customHeight="1">
      <c r="A52" s="484"/>
      <c r="B52" s="485" t="s">
        <v>306</v>
      </c>
      <c r="D52" s="1306" t="s">
        <v>1093</v>
      </c>
      <c r="E52" s="1306"/>
      <c r="F52" s="1306"/>
      <c r="I52" s="490"/>
    </row>
    <row r="53" spans="1:9">
      <c r="A53" s="484"/>
      <c r="B53" s="484"/>
      <c r="D53" s="1306"/>
      <c r="E53" s="1306"/>
      <c r="F53" s="1306"/>
      <c r="I53" s="490"/>
    </row>
    <row r="54" spans="1:9">
      <c r="A54" s="484"/>
      <c r="B54" s="484"/>
      <c r="D54" s="1306"/>
      <c r="E54" s="1306"/>
      <c r="F54" s="1306"/>
      <c r="I54" s="490"/>
    </row>
    <row r="55" spans="1:9">
      <c r="A55" s="484"/>
      <c r="B55" s="484"/>
      <c r="I55" s="490"/>
    </row>
    <row r="56" spans="1:9">
      <c r="A56" s="484"/>
      <c r="B56" s="485" t="s">
        <v>306</v>
      </c>
      <c r="D56" s="1333" t="s">
        <v>1094</v>
      </c>
      <c r="E56" s="1333"/>
      <c r="F56" s="1333"/>
      <c r="I56" s="490"/>
    </row>
    <row r="57" spans="1:9">
      <c r="A57" s="484"/>
      <c r="B57" s="484"/>
      <c r="D57" s="1333"/>
      <c r="E57" s="1333"/>
      <c r="F57" s="1333"/>
      <c r="I57" s="490"/>
    </row>
    <row r="58" spans="1:9">
      <c r="A58" s="484"/>
      <c r="B58" s="484"/>
      <c r="D58" s="392" t="s">
        <v>1893</v>
      </c>
      <c r="E58" s="445"/>
      <c r="F58" s="445"/>
      <c r="I58" s="490"/>
    </row>
    <row r="59" spans="1:9">
      <c r="A59" s="484"/>
      <c r="B59" s="484"/>
      <c r="D59" s="445"/>
      <c r="E59" s="312" t="s">
        <v>1892</v>
      </c>
      <c r="F59" s="445"/>
      <c r="I59" s="490"/>
    </row>
    <row r="60" spans="1:9">
      <c r="D60" s="447"/>
      <c r="I60" s="490"/>
    </row>
    <row r="61" spans="1:9">
      <c r="A61" s="484"/>
      <c r="B61" s="485" t="s">
        <v>306</v>
      </c>
      <c r="D61" s="1306" t="s">
        <v>1095</v>
      </c>
      <c r="E61" s="1306"/>
      <c r="F61" s="1306"/>
      <c r="I61" s="490"/>
    </row>
    <row r="62" spans="1:9">
      <c r="D62" s="1306"/>
      <c r="E62" s="1306"/>
      <c r="F62" s="1306"/>
      <c r="I62" s="490"/>
    </row>
    <row r="63" spans="1:9">
      <c r="D63" s="1306"/>
      <c r="E63" s="1306"/>
      <c r="F63" s="1306"/>
      <c r="I63" s="490"/>
    </row>
    <row r="64" spans="1:9">
      <c r="I64" s="490"/>
    </row>
    <row r="65" spans="1:9">
      <c r="A65" s="484"/>
      <c r="B65" s="485" t="s">
        <v>306</v>
      </c>
      <c r="D65" s="1306" t="s">
        <v>1096</v>
      </c>
      <c r="E65" s="1306"/>
      <c r="F65" s="1306"/>
      <c r="I65" s="490"/>
    </row>
    <row r="66" spans="1:9">
      <c r="D66" s="1306"/>
      <c r="E66" s="1306"/>
      <c r="F66" s="1306"/>
      <c r="I66" s="490"/>
    </row>
    <row r="67" spans="1:9">
      <c r="I67" s="490"/>
    </row>
    <row r="68" spans="1:9">
      <c r="A68" s="484"/>
      <c r="B68" s="485" t="s">
        <v>306</v>
      </c>
      <c r="D68" s="1306" t="s">
        <v>1097</v>
      </c>
      <c r="E68" s="1306"/>
      <c r="F68" s="1306"/>
      <c r="I68" s="490"/>
    </row>
    <row r="69" spans="1:9">
      <c r="D69" s="1306"/>
      <c r="E69" s="1306"/>
      <c r="F69" s="1306"/>
      <c r="I69" s="490"/>
    </row>
    <row r="70" spans="1:9">
      <c r="D70" s="1306"/>
      <c r="E70" s="1306"/>
      <c r="F70" s="1306"/>
      <c r="I70" s="490"/>
    </row>
    <row r="71" spans="1:9">
      <c r="I71" s="490"/>
    </row>
    <row r="72" spans="1:9">
      <c r="A72" s="484"/>
      <c r="B72" s="485" t="s">
        <v>306</v>
      </c>
      <c r="D72" s="1306" t="s">
        <v>1098</v>
      </c>
      <c r="E72" s="1306"/>
      <c r="F72" s="1306"/>
      <c r="I72" s="490"/>
    </row>
    <row r="73" spans="1:9">
      <c r="D73" s="1306"/>
      <c r="E73" s="1306"/>
      <c r="F73" s="1306"/>
      <c r="I73" s="490"/>
    </row>
    <row r="74" spans="1:9">
      <c r="A74" s="484"/>
      <c r="B74" s="484"/>
      <c r="D74" s="446"/>
      <c r="I74" s="490"/>
    </row>
    <row r="75" spans="1:9">
      <c r="A75" s="1307" t="s">
        <v>1043</v>
      </c>
      <c r="B75" s="1307"/>
      <c r="C75" s="1307"/>
      <c r="D75" s="1307"/>
      <c r="E75" s="1307"/>
      <c r="F75" s="1307"/>
      <c r="G75" s="1307"/>
      <c r="H75" s="1023"/>
      <c r="I75" s="1147"/>
    </row>
    <row r="76" spans="1:9">
      <c r="I76" s="490"/>
    </row>
    <row r="77" spans="1:9">
      <c r="C77" s="486"/>
      <c r="D77" s="1326" t="s">
        <v>1101</v>
      </c>
      <c r="E77" s="1326"/>
      <c r="F77" s="1326"/>
      <c r="I77" s="490"/>
    </row>
    <row r="78" spans="1:9">
      <c r="A78" s="446"/>
      <c r="B78" s="446"/>
      <c r="D78" s="1306" t="s">
        <v>1116</v>
      </c>
      <c r="E78" s="1306"/>
      <c r="F78" s="1306"/>
      <c r="I78" s="490"/>
    </row>
    <row r="79" spans="1:9">
      <c r="A79" s="446"/>
      <c r="B79" s="446"/>
      <c r="I79" s="490"/>
    </row>
    <row r="80" spans="1:9" ht="13.75" customHeight="1">
      <c r="A80" s="484"/>
      <c r="B80" s="485" t="s">
        <v>306</v>
      </c>
      <c r="D80" s="1306" t="s">
        <v>1244</v>
      </c>
      <c r="E80" s="1306"/>
      <c r="F80" s="1306"/>
      <c r="I80" s="490"/>
    </row>
    <row r="81" spans="1:9">
      <c r="A81" s="484"/>
      <c r="B81" s="484"/>
      <c r="D81" s="1306"/>
      <c r="E81" s="1306"/>
      <c r="F81" s="1306"/>
      <c r="I81" s="490"/>
    </row>
    <row r="82" spans="1:9">
      <c r="A82" s="484"/>
      <c r="B82" s="484"/>
      <c r="D82" s="1306"/>
      <c r="E82" s="1306"/>
      <c r="F82" s="1306"/>
      <c r="I82" s="490"/>
    </row>
    <row r="83" spans="1:9">
      <c r="A83" s="484"/>
      <c r="B83" s="484"/>
      <c r="D83" s="1306"/>
      <c r="E83" s="1306"/>
      <c r="F83" s="1306"/>
      <c r="I83" s="490"/>
    </row>
    <row r="84" spans="1:9">
      <c r="A84" s="484"/>
      <c r="B84" s="484"/>
      <c r="D84" s="1306"/>
      <c r="E84" s="1306"/>
      <c r="F84" s="1306"/>
      <c r="I84" s="490"/>
    </row>
    <row r="85" spans="1:9">
      <c r="A85" s="484"/>
      <c r="B85" s="484"/>
      <c r="D85" s="1306"/>
      <c r="E85" s="1306"/>
      <c r="F85" s="1306"/>
      <c r="I85" s="490"/>
    </row>
    <row r="86" spans="1:9">
      <c r="A86" s="484"/>
      <c r="B86" s="484"/>
      <c r="D86" s="1306"/>
      <c r="E86" s="1306"/>
      <c r="F86" s="1306"/>
      <c r="I86" s="490"/>
    </row>
    <row r="87" spans="1:9">
      <c r="A87" s="484"/>
      <c r="B87" s="484"/>
      <c r="D87" s="1306"/>
      <c r="E87" s="1306"/>
      <c r="F87" s="1306"/>
      <c r="I87" s="490"/>
    </row>
    <row r="88" spans="1:9">
      <c r="A88" s="484"/>
      <c r="B88" s="484"/>
      <c r="D88" s="385"/>
      <c r="E88" s="385"/>
      <c r="F88" s="385"/>
      <c r="I88" s="490"/>
    </row>
    <row r="89" spans="1:9" ht="15" customHeight="1">
      <c r="A89" s="484"/>
      <c r="B89" s="485" t="s">
        <v>306</v>
      </c>
      <c r="D89" s="1306" t="s">
        <v>1730</v>
      </c>
      <c r="E89" s="1306"/>
      <c r="F89" s="1306"/>
      <c r="I89" s="490"/>
    </row>
    <row r="90" spans="1:9">
      <c r="A90" s="484"/>
      <c r="B90" s="484"/>
      <c r="D90" s="1306"/>
      <c r="E90" s="1306"/>
      <c r="F90" s="1306"/>
      <c r="I90" s="490"/>
    </row>
    <row r="91" spans="1:9">
      <c r="A91" s="484"/>
      <c r="B91" s="484"/>
      <c r="D91" s="445"/>
      <c r="E91" s="445"/>
      <c r="F91" s="445"/>
      <c r="I91" s="490"/>
    </row>
    <row r="92" spans="1:9">
      <c r="A92" s="484"/>
      <c r="B92" s="485" t="s">
        <v>306</v>
      </c>
      <c r="D92" s="1306" t="s">
        <v>1733</v>
      </c>
      <c r="E92" s="1306"/>
      <c r="F92" s="1306"/>
      <c r="I92" s="490"/>
    </row>
    <row r="93" spans="1:9">
      <c r="A93" s="484"/>
      <c r="B93" s="484"/>
      <c r="D93" s="1306"/>
      <c r="E93" s="1306"/>
      <c r="F93" s="1306"/>
      <c r="I93" s="490"/>
    </row>
    <row r="94" spans="1:9">
      <c r="A94" s="484"/>
      <c r="B94" s="484"/>
      <c r="D94" s="1306"/>
      <c r="E94" s="1306"/>
      <c r="F94" s="1306"/>
      <c r="I94" s="490"/>
    </row>
    <row r="95" spans="1:9">
      <c r="A95" s="484"/>
      <c r="B95" s="484"/>
      <c r="D95" s="445"/>
      <c r="E95" s="445"/>
      <c r="F95" s="445"/>
      <c r="I95" s="490"/>
    </row>
    <row r="96" spans="1:9">
      <c r="A96" s="484"/>
      <c r="B96" s="485" t="s">
        <v>306</v>
      </c>
      <c r="D96" s="1306" t="s">
        <v>1732</v>
      </c>
      <c r="E96" s="1306"/>
      <c r="F96" s="1306"/>
      <c r="I96" s="490"/>
    </row>
    <row r="97" spans="1:9" s="982" customFormat="1">
      <c r="A97" s="980"/>
      <c r="B97" s="980"/>
      <c r="C97" s="981"/>
      <c r="D97" s="1306"/>
      <c r="E97" s="1306"/>
      <c r="F97" s="1306"/>
      <c r="I97" s="1148"/>
    </row>
    <row r="98" spans="1:9">
      <c r="A98" s="484"/>
      <c r="B98" s="484"/>
      <c r="D98" s="392"/>
      <c r="E98" s="312" t="s">
        <v>1896</v>
      </c>
      <c r="F98" s="445"/>
      <c r="I98" s="490"/>
    </row>
    <row r="99" spans="1:9">
      <c r="A99" s="484"/>
      <c r="B99" s="484"/>
      <c r="D99" s="385"/>
      <c r="E99" s="385"/>
      <c r="F99" s="385"/>
      <c r="I99" s="490"/>
    </row>
    <row r="100" spans="1:9">
      <c r="A100" s="484"/>
      <c r="B100" s="485" t="s">
        <v>306</v>
      </c>
      <c r="D100" s="1306" t="s">
        <v>1731</v>
      </c>
      <c r="E100" s="1306"/>
      <c r="F100" s="1306"/>
      <c r="I100" s="490"/>
    </row>
    <row r="101" spans="1:9">
      <c r="A101" s="484"/>
      <c r="B101" s="484"/>
      <c r="D101" s="1306"/>
      <c r="E101" s="1306"/>
      <c r="F101" s="1306"/>
      <c r="I101" s="490"/>
    </row>
    <row r="102" spans="1:9">
      <c r="A102" s="484"/>
      <c r="B102" s="484"/>
      <c r="D102" s="445"/>
      <c r="E102" s="445"/>
      <c r="F102" s="445"/>
      <c r="I102" s="490"/>
    </row>
    <row r="103" spans="1:9" ht="14.5" customHeight="1">
      <c r="A103" s="484"/>
      <c r="B103" s="485" t="s">
        <v>306</v>
      </c>
      <c r="D103" s="1306" t="s">
        <v>1193</v>
      </c>
      <c r="E103" s="1306"/>
      <c r="F103" s="1306"/>
      <c r="I103" s="490"/>
    </row>
    <row r="104" spans="1:9">
      <c r="A104" s="484"/>
      <c r="B104" s="484"/>
      <c r="D104" s="1306"/>
      <c r="E104" s="1306"/>
      <c r="F104" s="1306"/>
      <c r="I104" s="490"/>
    </row>
    <row r="105" spans="1:9">
      <c r="A105" s="484"/>
      <c r="B105" s="484"/>
      <c r="D105" s="1306"/>
      <c r="E105" s="1306"/>
      <c r="F105" s="1306"/>
      <c r="I105" s="490"/>
    </row>
    <row r="106" spans="1:9">
      <c r="A106" s="484"/>
      <c r="B106" s="484"/>
      <c r="D106" s="1306"/>
      <c r="E106" s="1306"/>
      <c r="F106" s="1306"/>
      <c r="I106" s="490"/>
    </row>
    <row r="107" spans="1:9">
      <c r="A107" s="484"/>
      <c r="B107" s="484"/>
      <c r="D107" s="1306"/>
      <c r="E107" s="1306"/>
      <c r="F107" s="1306"/>
      <c r="I107" s="490"/>
    </row>
    <row r="108" spans="1:9">
      <c r="A108" s="484"/>
      <c r="B108" s="484"/>
      <c r="D108" s="1306"/>
      <c r="E108" s="1306"/>
      <c r="F108" s="1306"/>
      <c r="I108" s="490"/>
    </row>
    <row r="109" spans="1:9">
      <c r="A109" s="484"/>
      <c r="B109" s="484"/>
      <c r="D109" s="1306"/>
      <c r="E109" s="1306"/>
      <c r="F109" s="1306"/>
      <c r="I109" s="490"/>
    </row>
    <row r="110" spans="1:9">
      <c r="A110" s="484"/>
      <c r="B110" s="484"/>
      <c r="D110" s="1306"/>
      <c r="E110" s="1306"/>
      <c r="F110" s="1306"/>
      <c r="I110" s="490"/>
    </row>
    <row r="111" spans="1:9">
      <c r="A111" s="484"/>
      <c r="B111" s="484"/>
      <c r="D111" s="1306"/>
      <c r="E111" s="1306"/>
      <c r="F111" s="1306"/>
      <c r="I111" s="490"/>
    </row>
    <row r="112" spans="1:9">
      <c r="A112" s="484"/>
      <c r="B112" s="484"/>
      <c r="D112" s="1306"/>
      <c r="E112" s="1306"/>
      <c r="F112" s="1306"/>
      <c r="I112" s="490"/>
    </row>
    <row r="113" spans="1:9">
      <c r="A113" s="484"/>
      <c r="B113" s="484"/>
      <c r="D113" s="1306"/>
      <c r="E113" s="1306"/>
      <c r="F113" s="1306"/>
      <c r="I113" s="490"/>
    </row>
    <row r="114" spans="1:9">
      <c r="A114" s="484"/>
      <c r="B114" s="484"/>
      <c r="D114" s="1306"/>
      <c r="E114" s="1306"/>
      <c r="F114" s="1306"/>
      <c r="I114" s="490"/>
    </row>
    <row r="115" spans="1:9">
      <c r="A115" s="484"/>
      <c r="B115" s="484"/>
      <c r="D115" s="1306"/>
      <c r="E115" s="1306"/>
      <c r="F115" s="1306"/>
      <c r="I115" s="490"/>
    </row>
    <row r="116" spans="1:9">
      <c r="A116" s="484"/>
      <c r="B116" s="484"/>
      <c r="D116" s="1306"/>
      <c r="E116" s="1306"/>
      <c r="F116" s="1306"/>
      <c r="I116" s="490"/>
    </row>
    <row r="117" spans="1:9">
      <c r="A117" s="484"/>
      <c r="B117" s="484"/>
      <c r="D117" s="1306"/>
      <c r="E117" s="1306"/>
      <c r="F117" s="1306"/>
      <c r="I117" s="490"/>
    </row>
    <row r="118" spans="1:9">
      <c r="A118" s="484"/>
      <c r="B118" s="484"/>
      <c r="D118" s="524"/>
      <c r="E118" s="524"/>
      <c r="F118" s="524"/>
      <c r="I118" s="490"/>
    </row>
    <row r="119" spans="1:9" ht="14.25" customHeight="1">
      <c r="A119" s="484"/>
      <c r="B119" s="485" t="s">
        <v>306</v>
      </c>
      <c r="D119" s="1332" t="s">
        <v>1102</v>
      </c>
      <c r="E119" s="1332"/>
      <c r="F119" s="1332"/>
      <c r="I119" s="490"/>
    </row>
    <row r="120" spans="1:9">
      <c r="A120" s="484"/>
      <c r="B120" s="484"/>
      <c r="D120" s="1332"/>
      <c r="E120" s="1332"/>
      <c r="F120" s="1332"/>
      <c r="I120" s="490"/>
    </row>
    <row r="121" spans="1:9">
      <c r="A121" s="484"/>
      <c r="B121" s="484"/>
      <c r="D121" s="1332"/>
      <c r="E121" s="1332"/>
      <c r="F121" s="1332"/>
      <c r="I121" s="490"/>
    </row>
    <row r="122" spans="1:9">
      <c r="A122" s="484"/>
      <c r="B122" s="484"/>
      <c r="D122" s="1332"/>
      <c r="E122" s="1332"/>
      <c r="F122" s="1332"/>
      <c r="I122" s="490"/>
    </row>
    <row r="123" spans="1:9">
      <c r="A123" s="484"/>
      <c r="B123" s="484"/>
      <c r="D123" s="1332"/>
      <c r="E123" s="1332"/>
      <c r="F123" s="1332"/>
      <c r="I123" s="490"/>
    </row>
    <row r="124" spans="1:9">
      <c r="A124" s="484"/>
      <c r="B124" s="484"/>
      <c r="D124" s="1332"/>
      <c r="E124" s="1332"/>
      <c r="F124" s="1332"/>
      <c r="I124" s="490"/>
    </row>
    <row r="125" spans="1:9">
      <c r="A125" s="484"/>
      <c r="B125" s="484"/>
      <c r="D125" s="1332"/>
      <c r="E125" s="1332"/>
      <c r="F125" s="1332"/>
      <c r="I125" s="490"/>
    </row>
    <row r="126" spans="1:9">
      <c r="A126" s="484"/>
      <c r="B126" s="484"/>
      <c r="D126" s="1332"/>
      <c r="E126" s="1332"/>
      <c r="F126" s="1332"/>
      <c r="I126" s="490"/>
    </row>
    <row r="127" spans="1:9">
      <c r="C127" s="402"/>
      <c r="D127" s="525"/>
      <c r="E127" s="525"/>
      <c r="F127" s="525"/>
      <c r="I127" s="490"/>
    </row>
    <row r="128" spans="1:9">
      <c r="A128" s="484"/>
      <c r="B128" s="485" t="s">
        <v>306</v>
      </c>
      <c r="C128" s="402"/>
      <c r="D128" s="1332" t="s">
        <v>2008</v>
      </c>
      <c r="E128" s="1332"/>
      <c r="F128" s="1332"/>
      <c r="I128" s="490"/>
    </row>
    <row r="129" spans="1:9">
      <c r="A129" s="484"/>
      <c r="B129" s="484"/>
      <c r="C129" s="402"/>
      <c r="D129" s="1332"/>
      <c r="E129" s="1332"/>
      <c r="F129" s="1332"/>
      <c r="I129" s="490"/>
    </row>
    <row r="130" spans="1:9">
      <c r="I130" s="490"/>
    </row>
    <row r="131" spans="1:9">
      <c r="A131" s="484"/>
      <c r="B131" s="485" t="s">
        <v>306</v>
      </c>
      <c r="D131" s="1306" t="s">
        <v>1103</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c r="A137" s="484"/>
      <c r="B137" s="485" t="s">
        <v>306</v>
      </c>
      <c r="D137" s="1306" t="s">
        <v>1104</v>
      </c>
      <c r="E137" s="1306"/>
      <c r="F137" s="1306"/>
      <c r="I137" s="490"/>
    </row>
    <row r="138" spans="1:9" s="417" customFormat="1" ht="13.75" customHeight="1">
      <c r="A138" s="488"/>
      <c r="B138" s="488"/>
      <c r="C138" s="488"/>
      <c r="D138" s="1306"/>
      <c r="E138" s="1306"/>
      <c r="F138" s="1306"/>
      <c r="I138" s="1149"/>
    </row>
    <row r="139" spans="1:9" ht="13.75" customHeight="1">
      <c r="D139" s="1306"/>
      <c r="E139" s="1306"/>
      <c r="F139" s="1306"/>
      <c r="I139" s="490"/>
    </row>
    <row r="140" spans="1:9" ht="13.75" customHeight="1">
      <c r="D140" s="1306"/>
      <c r="E140" s="1306"/>
      <c r="F140" s="1306"/>
      <c r="I140" s="490"/>
    </row>
    <row r="141" spans="1:9" ht="13.75" customHeight="1">
      <c r="D141" s="1306"/>
      <c r="E141" s="1306"/>
      <c r="F141" s="1306"/>
      <c r="I141" s="490"/>
    </row>
    <row r="142" spans="1:9" ht="13.75" customHeight="1">
      <c r="A142" s="489"/>
      <c r="B142" s="489"/>
      <c r="D142" s="1306"/>
      <c r="E142" s="1306"/>
      <c r="F142" s="1306"/>
      <c r="I142" s="490"/>
    </row>
    <row r="143" spans="1:9" ht="13.75" customHeight="1">
      <c r="D143" s="1306"/>
      <c r="E143" s="1306"/>
      <c r="F143" s="1306"/>
      <c r="I143" s="490"/>
    </row>
    <row r="144" spans="1:9" ht="13.75" customHeight="1">
      <c r="D144" s="1306"/>
      <c r="E144" s="1306"/>
      <c r="F144" s="1306"/>
      <c r="I144" s="490"/>
    </row>
    <row r="145" spans="2:9" ht="13.75" customHeight="1">
      <c r="D145" s="1306"/>
      <c r="E145" s="1306"/>
      <c r="F145" s="1306"/>
      <c r="I145" s="490"/>
    </row>
    <row r="146" spans="2:9" ht="13.75" customHeight="1">
      <c r="D146" s="1306"/>
      <c r="E146" s="1306"/>
      <c r="F146" s="1306"/>
      <c r="I146" s="490"/>
    </row>
    <row r="147" spans="2:9" ht="13.75" customHeight="1">
      <c r="D147" s="1306"/>
      <c r="E147" s="1306"/>
      <c r="F147" s="1306"/>
      <c r="I147" s="490"/>
    </row>
    <row r="148" spans="2:9" ht="13.75" customHeight="1">
      <c r="D148" s="1306"/>
      <c r="E148" s="1306"/>
      <c r="F148" s="1306"/>
      <c r="I148" s="490"/>
    </row>
    <row r="149" spans="2:9" ht="13.75" customHeight="1">
      <c r="D149" s="1306"/>
      <c r="E149" s="1306"/>
      <c r="F149" s="1306"/>
      <c r="I149" s="490"/>
    </row>
    <row r="150" spans="2:9" ht="13.75" customHeight="1">
      <c r="D150" s="476"/>
      <c r="E150" s="446"/>
      <c r="F150" s="446"/>
      <c r="I150" s="490"/>
    </row>
    <row r="151" spans="2:9" ht="13.75" customHeight="1">
      <c r="B151" s="485" t="s">
        <v>306</v>
      </c>
      <c r="D151" s="1306" t="s">
        <v>1176</v>
      </c>
      <c r="E151" s="1306"/>
      <c r="F151" s="1306"/>
      <c r="I151" s="490"/>
    </row>
    <row r="152" spans="2:9" ht="13.75" customHeight="1">
      <c r="D152" s="1306"/>
      <c r="E152" s="1306"/>
      <c r="F152" s="1306"/>
      <c r="I152" s="490"/>
    </row>
    <row r="153" spans="2:9" ht="13.75" customHeight="1">
      <c r="D153" s="1306"/>
      <c r="E153" s="1306"/>
      <c r="F153" s="1306"/>
      <c r="I153" s="490"/>
    </row>
    <row r="154" spans="2:9" ht="13.75" customHeight="1">
      <c r="D154" s="1306"/>
      <c r="E154" s="1306"/>
      <c r="F154" s="1306"/>
      <c r="I154" s="490"/>
    </row>
    <row r="155" spans="2:9" ht="13.75" customHeight="1">
      <c r="D155" s="1306"/>
      <c r="E155" s="1306"/>
      <c r="F155" s="1306"/>
      <c r="I155" s="490"/>
    </row>
    <row r="156" spans="2:9" ht="13.75" customHeight="1">
      <c r="D156" s="1306"/>
      <c r="E156" s="1306"/>
      <c r="F156" s="1306"/>
      <c r="I156" s="490"/>
    </row>
    <row r="157" spans="2:9" ht="13.75" customHeight="1">
      <c r="D157" s="1306"/>
      <c r="E157" s="1306"/>
      <c r="F157" s="1306"/>
      <c r="I157" s="490"/>
    </row>
    <row r="158" spans="2:9" ht="13.75" customHeight="1">
      <c r="D158" s="1306"/>
      <c r="E158" s="1306"/>
      <c r="F158" s="1306"/>
      <c r="I158" s="490"/>
    </row>
    <row r="159" spans="2:9" ht="13.75" customHeight="1">
      <c r="D159" s="1306"/>
      <c r="E159" s="1306"/>
      <c r="F159" s="1306"/>
      <c r="I159" s="490"/>
    </row>
    <row r="160" spans="2:9" ht="13.75" customHeight="1">
      <c r="D160" s="1306"/>
      <c r="E160" s="1306"/>
      <c r="F160" s="1306"/>
      <c r="I160" s="490"/>
    </row>
    <row r="161" spans="1:9" ht="13.75" customHeight="1">
      <c r="D161" s="1306"/>
      <c r="E161" s="1306"/>
      <c r="F161" s="1306"/>
      <c r="I161" s="490"/>
    </row>
    <row r="162" spans="1:9" ht="13.75" customHeight="1">
      <c r="D162" s="1306"/>
      <c r="E162" s="1306"/>
      <c r="F162" s="1306"/>
      <c r="I162" s="490"/>
    </row>
    <row r="163" spans="1:9" ht="13.75" customHeight="1">
      <c r="D163" s="1306"/>
      <c r="E163" s="1306"/>
      <c r="F163" s="1306"/>
      <c r="I163" s="490"/>
    </row>
    <row r="164" spans="1:9" ht="13.75" customHeight="1">
      <c r="D164" s="1306"/>
      <c r="E164" s="1306"/>
      <c r="F164" s="1306"/>
      <c r="I164" s="490"/>
    </row>
    <row r="165" spans="1:9" ht="13.75" customHeight="1">
      <c r="D165" s="1306"/>
      <c r="E165" s="1306"/>
      <c r="F165" s="1306"/>
      <c r="I165" s="490"/>
    </row>
    <row r="166" spans="1:9" ht="13.75" customHeight="1">
      <c r="D166" s="1306"/>
      <c r="E166" s="1306"/>
      <c r="F166" s="1306"/>
      <c r="I166" s="490"/>
    </row>
    <row r="167" spans="1:9" ht="13.75" customHeight="1">
      <c r="D167" s="1306"/>
      <c r="E167" s="1306"/>
      <c r="F167" s="1306"/>
      <c r="I167" s="490"/>
    </row>
    <row r="168" spans="1:9" ht="13.75" customHeight="1">
      <c r="D168" s="1306"/>
      <c r="E168" s="1306"/>
      <c r="F168" s="1306"/>
      <c r="I168" s="490"/>
    </row>
    <row r="169" spans="1:9" ht="13.75" customHeight="1">
      <c r="D169" s="1329" t="s">
        <v>2030</v>
      </c>
      <c r="E169" s="1329"/>
      <c r="F169" s="1329"/>
      <c r="G169" s="507"/>
      <c r="I169" s="490"/>
    </row>
    <row r="170" spans="1:9" ht="13.75" customHeight="1">
      <c r="D170" s="1316"/>
      <c r="E170" s="1316"/>
      <c r="F170" s="1316"/>
      <c r="G170" s="1316"/>
      <c r="I170" s="490"/>
    </row>
    <row r="171" spans="1:9" ht="14.5" customHeight="1">
      <c r="A171" s="489"/>
      <c r="B171" s="485" t="s">
        <v>306</v>
      </c>
      <c r="C171" s="476"/>
      <c r="D171" s="1278" t="s">
        <v>2166</v>
      </c>
      <c r="E171" s="1278"/>
      <c r="F171" s="1278"/>
      <c r="G171" s="476"/>
      <c r="I171" s="490"/>
    </row>
    <row r="172" spans="1:9" ht="14.5" customHeight="1">
      <c r="A172" s="489"/>
      <c r="B172" s="489"/>
      <c r="C172" s="476"/>
      <c r="D172" s="1278"/>
      <c r="E172" s="1278"/>
      <c r="F172" s="1278"/>
      <c r="G172" s="476"/>
      <c r="I172" s="490"/>
    </row>
    <row r="173" spans="1:9" ht="14.5" customHeight="1">
      <c r="A173" s="489"/>
      <c r="B173" s="489"/>
      <c r="C173" s="476"/>
      <c r="D173" s="1278"/>
      <c r="E173" s="1278"/>
      <c r="F173" s="1278"/>
      <c r="G173" s="476"/>
      <c r="I173" s="490"/>
    </row>
    <row r="174" spans="1:9" ht="14.5" customHeight="1">
      <c r="A174" s="489"/>
      <c r="B174" s="489"/>
      <c r="C174" s="476"/>
      <c r="D174" s="1278"/>
      <c r="E174" s="1278"/>
      <c r="F174" s="1278"/>
      <c r="G174" s="476"/>
      <c r="I174" s="490"/>
    </row>
    <row r="175" spans="1:9" ht="13.75" customHeight="1">
      <c r="A175" s="489"/>
      <c r="B175" s="489"/>
      <c r="C175" s="476"/>
      <c r="D175" s="1278"/>
      <c r="E175" s="1278"/>
      <c r="F175" s="1278"/>
      <c r="G175" s="476"/>
      <c r="I175" s="490"/>
    </row>
    <row r="176" spans="1:9" ht="13.75" customHeight="1">
      <c r="A176" s="489"/>
      <c r="B176" s="489"/>
      <c r="C176" s="476"/>
      <c r="D176" s="476"/>
      <c r="E176" s="476"/>
      <c r="F176" s="476"/>
      <c r="G176" s="476"/>
      <c r="I176" s="490"/>
    </row>
    <row r="177" spans="1:9" ht="13.75" customHeight="1">
      <c r="A177" s="489"/>
      <c r="B177" s="485" t="s">
        <v>306</v>
      </c>
      <c r="C177" s="476"/>
      <c r="D177" s="1278" t="s">
        <v>1105</v>
      </c>
      <c r="E177" s="1278"/>
      <c r="F177" s="1278"/>
      <c r="G177" s="476"/>
      <c r="I177" s="490"/>
    </row>
    <row r="178" spans="1:9" ht="13.75" customHeight="1">
      <c r="A178" s="489"/>
      <c r="B178" s="489"/>
      <c r="C178" s="476"/>
      <c r="D178" s="1278"/>
      <c r="E178" s="1278"/>
      <c r="F178" s="1278"/>
      <c r="G178" s="476"/>
      <c r="I178" s="490"/>
    </row>
    <row r="179" spans="1:9" ht="13.75" customHeight="1">
      <c r="A179" s="489"/>
      <c r="B179" s="489"/>
      <c r="C179" s="476"/>
      <c r="D179" s="1278"/>
      <c r="E179" s="1278"/>
      <c r="F179" s="1278"/>
      <c r="G179" s="476"/>
      <c r="I179" s="490"/>
    </row>
    <row r="180" spans="1:9" ht="13.75" customHeight="1">
      <c r="A180" s="489"/>
      <c r="B180" s="489"/>
      <c r="C180" s="476"/>
      <c r="D180" s="1278"/>
      <c r="E180" s="1278"/>
      <c r="F180" s="1278"/>
      <c r="G180" s="476"/>
      <c r="I180" s="490"/>
    </row>
    <row r="181" spans="1:9" ht="13.75" customHeight="1">
      <c r="D181" s="446"/>
      <c r="E181" s="446"/>
      <c r="F181" s="446"/>
      <c r="I181" s="490"/>
    </row>
    <row r="182" spans="1:9" ht="13.75" hidden="1" customHeight="1">
      <c r="B182" s="485" t="s">
        <v>306</v>
      </c>
      <c r="D182" s="1322" t="s">
        <v>2009</v>
      </c>
      <c r="E182" s="1322"/>
      <c r="F182" s="1322"/>
      <c r="I182" s="490"/>
    </row>
    <row r="183" spans="1:9" ht="13.75" hidden="1" customHeight="1">
      <c r="D183" s="1322"/>
      <c r="E183" s="1322"/>
      <c r="F183" s="1322"/>
      <c r="I183" s="490"/>
    </row>
    <row r="184" spans="1:9" ht="13.75" hidden="1" customHeight="1">
      <c r="D184" s="1322"/>
      <c r="E184" s="1322"/>
      <c r="F184" s="1322"/>
      <c r="I184" s="490"/>
    </row>
    <row r="185" spans="1:9" ht="13.75" customHeight="1">
      <c r="A185" s="490"/>
      <c r="B185" s="490"/>
      <c r="E185" s="446"/>
      <c r="F185" s="446"/>
      <c r="I185" s="490"/>
    </row>
    <row r="186" spans="1:9">
      <c r="A186" s="1307" t="s">
        <v>2010</v>
      </c>
      <c r="B186" s="1307"/>
      <c r="C186" s="1307"/>
      <c r="D186" s="1307"/>
      <c r="E186" s="1307"/>
      <c r="F186" s="1307"/>
      <c r="G186" s="1307"/>
      <c r="H186" s="1023"/>
      <c r="I186" s="1147"/>
    </row>
    <row r="187" spans="1:9" ht="12" customHeight="1">
      <c r="D187" s="446"/>
      <c r="E187" s="446"/>
      <c r="F187" s="446"/>
      <c r="I187" s="490"/>
    </row>
    <row r="188" spans="1:9">
      <c r="B188" s="1312" t="s">
        <v>445</v>
      </c>
      <c r="C188" s="1312"/>
      <c r="D188" s="1312"/>
      <c r="E188" s="1312"/>
      <c r="F188" s="1312"/>
      <c r="I188" s="490"/>
    </row>
    <row r="189" spans="1:9">
      <c r="B189" s="392" t="s">
        <v>1848</v>
      </c>
      <c r="C189" s="392"/>
      <c r="D189" s="392"/>
      <c r="E189" s="392"/>
      <c r="F189" s="392"/>
      <c r="I189" s="490"/>
    </row>
    <row r="190" spans="1:9" ht="12" customHeight="1">
      <c r="A190" s="482"/>
      <c r="B190" s="482"/>
      <c r="C190" s="482"/>
      <c r="I190" s="490"/>
    </row>
    <row r="191" spans="1:9">
      <c r="A191" s="1307" t="s">
        <v>1044</v>
      </c>
      <c r="B191" s="1307"/>
      <c r="C191" s="1307"/>
      <c r="D191" s="1307"/>
      <c r="E191" s="1307"/>
      <c r="F191" s="1307"/>
      <c r="G191" s="1307"/>
      <c r="H191" s="1023"/>
      <c r="I191" s="1147"/>
    </row>
    <row r="192" spans="1:9" ht="12" customHeight="1">
      <c r="A192" s="404"/>
      <c r="B192" s="404"/>
      <c r="E192" s="404"/>
      <c r="I192" s="490"/>
    </row>
    <row r="193" spans="1:9" ht="13.75" customHeight="1">
      <c r="A193" s="404"/>
      <c r="B193" s="404"/>
      <c r="D193" s="1326" t="s">
        <v>1734</v>
      </c>
      <c r="E193" s="1326"/>
      <c r="F193" s="1326"/>
      <c r="I193" s="490"/>
    </row>
    <row r="194" spans="1:9">
      <c r="A194" s="404"/>
      <c r="B194" s="404"/>
      <c r="D194" s="1326"/>
      <c r="E194" s="1326"/>
      <c r="F194" s="1326"/>
      <c r="I194" s="490"/>
    </row>
    <row r="195" spans="1:9">
      <c r="A195" s="404"/>
      <c r="B195" s="404"/>
      <c r="D195" s="1312" t="s">
        <v>1194</v>
      </c>
      <c r="E195" s="1312"/>
      <c r="F195" s="1312"/>
      <c r="I195" s="490"/>
    </row>
    <row r="196" spans="1:9">
      <c r="A196" s="404"/>
      <c r="B196" s="404"/>
      <c r="D196" s="392"/>
      <c r="E196" s="392"/>
      <c r="F196" s="392"/>
      <c r="I196" s="490"/>
    </row>
    <row r="197" spans="1:9">
      <c r="A197" s="404"/>
      <c r="B197" s="485" t="s">
        <v>306</v>
      </c>
      <c r="D197" s="1296" t="s">
        <v>1735</v>
      </c>
      <c r="E197" s="1296"/>
      <c r="F197" s="1296"/>
      <c r="I197" s="490"/>
    </row>
    <row r="198" spans="1:9">
      <c r="A198" s="404"/>
      <c r="B198" s="404"/>
      <c r="D198" s="1287" t="s">
        <v>1874</v>
      </c>
      <c r="E198" s="1287"/>
      <c r="F198" s="1287"/>
      <c r="I198" s="490"/>
    </row>
    <row r="199" spans="1:9">
      <c r="A199" s="404"/>
      <c r="B199" s="404"/>
      <c r="D199" s="96" t="s">
        <v>1736</v>
      </c>
      <c r="E199" s="1334" t="s">
        <v>1897</v>
      </c>
      <c r="F199" s="1334"/>
      <c r="I199" s="490"/>
    </row>
    <row r="200" spans="1:9">
      <c r="A200" s="404"/>
      <c r="B200" s="404"/>
      <c r="D200" s="3"/>
      <c r="E200" s="3"/>
      <c r="F200" s="3"/>
      <c r="I200" s="490"/>
    </row>
    <row r="201" spans="1:9">
      <c r="A201" s="404"/>
      <c r="B201" s="485" t="s">
        <v>306</v>
      </c>
      <c r="D201" s="1287" t="s">
        <v>1737</v>
      </c>
      <c r="E201" s="1287"/>
      <c r="F201" s="1287"/>
      <c r="I201" s="490"/>
    </row>
    <row r="202" spans="1:9">
      <c r="A202" s="404"/>
      <c r="B202" s="404"/>
      <c r="D202" s="1296" t="s">
        <v>1874</v>
      </c>
      <c r="E202" s="1296"/>
      <c r="F202" s="1296"/>
      <c r="I202" s="490"/>
    </row>
    <row r="203" spans="1:9">
      <c r="A203" s="404"/>
      <c r="B203" s="404"/>
      <c r="D203" s="57" t="s">
        <v>1738</v>
      </c>
      <c r="E203" s="1334" t="s">
        <v>1898</v>
      </c>
      <c r="F203" s="1334"/>
      <c r="I203" s="490"/>
    </row>
    <row r="204" spans="1:9">
      <c r="A204" s="404"/>
      <c r="B204" s="404"/>
      <c r="D204" s="3"/>
      <c r="E204" s="3"/>
      <c r="F204" s="3"/>
      <c r="I204" s="490"/>
    </row>
    <row r="205" spans="1:9">
      <c r="A205" s="404"/>
      <c r="B205" s="485" t="s">
        <v>306</v>
      </c>
      <c r="D205" s="1287" t="s">
        <v>1739</v>
      </c>
      <c r="E205" s="1287"/>
      <c r="F205" s="1287"/>
      <c r="I205" s="490"/>
    </row>
    <row r="206" spans="1:9">
      <c r="A206" s="404"/>
      <c r="B206" s="404"/>
      <c r="D206" s="1296" t="s">
        <v>1874</v>
      </c>
      <c r="E206" s="1296"/>
      <c r="F206" s="1296"/>
      <c r="I206" s="490"/>
    </row>
    <row r="207" spans="1:9">
      <c r="A207" s="404"/>
      <c r="B207" s="404"/>
      <c r="D207" s="57" t="s">
        <v>1736</v>
      </c>
      <c r="E207" s="1334" t="s">
        <v>1899</v>
      </c>
      <c r="F207" s="1334"/>
      <c r="I207" s="490"/>
    </row>
    <row r="208" spans="1:9">
      <c r="A208" s="404"/>
      <c r="B208" s="404"/>
      <c r="D208" s="392"/>
      <c r="E208" s="392"/>
      <c r="F208" s="392"/>
      <c r="I208" s="490"/>
    </row>
    <row r="209" spans="1:9" ht="14.25" customHeight="1">
      <c r="A209" s="484"/>
      <c r="B209" s="485" t="s">
        <v>306</v>
      </c>
      <c r="D209" s="386" t="s">
        <v>1867</v>
      </c>
      <c r="E209" s="385"/>
      <c r="F209" s="385"/>
      <c r="I209" s="490"/>
    </row>
    <row r="210" spans="1:9">
      <c r="A210" s="484"/>
      <c r="B210" s="484"/>
      <c r="D210" s="1296" t="s">
        <v>1874</v>
      </c>
      <c r="E210" s="1296"/>
      <c r="F210" s="1296"/>
      <c r="I210" s="490"/>
    </row>
    <row r="211" spans="1:9">
      <c r="D211" s="385"/>
      <c r="E211" s="1334" t="s">
        <v>1900</v>
      </c>
      <c r="F211" s="1334"/>
      <c r="I211" s="490"/>
    </row>
    <row r="212" spans="1:9">
      <c r="D212" s="447"/>
      <c r="I212" s="490"/>
    </row>
    <row r="213" spans="1:9">
      <c r="B213" s="485" t="s">
        <v>306</v>
      </c>
      <c r="D213" s="1287" t="s">
        <v>1740</v>
      </c>
      <c r="E213" s="1287"/>
      <c r="F213" s="1287"/>
      <c r="I213" s="490"/>
    </row>
    <row r="214" spans="1:9">
      <c r="D214" s="1296" t="s">
        <v>1874</v>
      </c>
      <c r="E214" s="1296"/>
      <c r="F214" s="1296"/>
      <c r="I214" s="490"/>
    </row>
    <row r="215" spans="1:9">
      <c r="D215" s="57" t="s">
        <v>1736</v>
      </c>
      <c r="E215" s="1334" t="s">
        <v>1901</v>
      </c>
      <c r="F215" s="1334"/>
      <c r="I215" s="490"/>
    </row>
    <row r="216" spans="1:9">
      <c r="D216" s="451"/>
      <c r="E216" s="451"/>
      <c r="F216" s="451"/>
      <c r="I216" s="490"/>
    </row>
    <row r="217" spans="1:9">
      <c r="A217" s="484"/>
      <c r="B217" s="485" t="s">
        <v>306</v>
      </c>
      <c r="D217" s="1306" t="s">
        <v>1215</v>
      </c>
      <c r="E217" s="1306"/>
      <c r="F217" s="1306"/>
      <c r="I217" s="490"/>
    </row>
    <row r="218" spans="1:9" ht="14.5" customHeight="1">
      <c r="A218" s="484"/>
      <c r="B218" s="402"/>
      <c r="D218" s="1306"/>
      <c r="E218" s="1306"/>
      <c r="F218" s="1306"/>
      <c r="I218" s="490"/>
    </row>
    <row r="219" spans="1:9">
      <c r="A219" s="484"/>
      <c r="D219" s="1306"/>
      <c r="E219" s="1306"/>
      <c r="F219" s="1306"/>
      <c r="I219" s="490"/>
    </row>
    <row r="220" spans="1:9">
      <c r="A220" s="484"/>
      <c r="D220" s="1306"/>
      <c r="E220" s="1306"/>
      <c r="F220" s="1306"/>
      <c r="I220" s="490"/>
    </row>
    <row r="221" spans="1:9">
      <c r="D221" s="451"/>
      <c r="E221" s="451"/>
      <c r="F221" s="451"/>
      <c r="I221" s="490"/>
    </row>
    <row r="222" spans="1:9">
      <c r="A222" s="1307" t="s">
        <v>1045</v>
      </c>
      <c r="B222" s="1307"/>
      <c r="C222" s="1307"/>
      <c r="D222" s="1307"/>
      <c r="E222" s="1307"/>
      <c r="F222" s="1307"/>
      <c r="G222" s="1307"/>
      <c r="H222" s="1023"/>
      <c r="I222" s="1147"/>
    </row>
    <row r="223" spans="1:9" ht="12" customHeight="1">
      <c r="D223" s="446"/>
      <c r="E223" s="446"/>
      <c r="F223" s="446"/>
      <c r="I223" s="490"/>
    </row>
    <row r="224" spans="1:9">
      <c r="C224" s="486"/>
      <c r="D224" s="1309" t="s">
        <v>207</v>
      </c>
      <c r="E224" s="1309"/>
      <c r="F224" s="1309"/>
      <c r="I224" s="490"/>
    </row>
    <row r="225" spans="1:9">
      <c r="A225" s="482"/>
      <c r="B225" s="482"/>
      <c r="C225" s="482"/>
      <c r="D225" s="1308" t="s">
        <v>1119</v>
      </c>
      <c r="E225" s="1308"/>
      <c r="F225" s="1308"/>
      <c r="I225" s="490"/>
    </row>
    <row r="226" spans="1:9" ht="12" customHeight="1">
      <c r="A226" s="490"/>
      <c r="B226" s="490"/>
      <c r="C226" s="490"/>
      <c r="I226" s="490"/>
    </row>
    <row r="227" spans="1:9" ht="13.75" customHeight="1">
      <c r="A227" s="490"/>
      <c r="C227" s="490"/>
      <c r="D227" s="1309" t="s">
        <v>545</v>
      </c>
      <c r="E227" s="1309"/>
      <c r="F227" s="1309"/>
      <c r="I227" s="490"/>
    </row>
    <row r="228" spans="1:9">
      <c r="A228" s="484"/>
      <c r="B228" s="485" t="s">
        <v>306</v>
      </c>
      <c r="D228" s="1306" t="s">
        <v>1741</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c r="A231" s="484"/>
      <c r="B231" s="484"/>
      <c r="D231" s="1306"/>
      <c r="E231" s="1306"/>
      <c r="F231" s="1306"/>
      <c r="I231" s="490"/>
    </row>
    <row r="232" spans="1:9">
      <c r="A232" s="484"/>
      <c r="B232" s="484"/>
      <c r="D232" s="445"/>
      <c r="E232" s="445"/>
      <c r="F232" s="445"/>
      <c r="I232" s="490"/>
    </row>
    <row r="233" spans="1:9">
      <c r="A233" s="484"/>
      <c r="B233" s="485" t="s">
        <v>306</v>
      </c>
      <c r="D233" s="1306" t="s">
        <v>1742</v>
      </c>
      <c r="E233" s="1306"/>
      <c r="F233" s="1306"/>
      <c r="I233" s="490"/>
    </row>
    <row r="234" spans="1:9">
      <c r="A234" s="484"/>
      <c r="B234" s="484"/>
      <c r="D234" s="1306"/>
      <c r="E234" s="1306"/>
      <c r="F234" s="1306"/>
      <c r="I234" s="490"/>
    </row>
    <row r="235" spans="1:9">
      <c r="A235" s="484"/>
      <c r="B235" s="484"/>
      <c r="D235" s="1306"/>
      <c r="E235" s="1306"/>
      <c r="F235" s="1306"/>
      <c r="I235" s="490"/>
    </row>
    <row r="236" spans="1:9">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c r="A239" s="484"/>
      <c r="B239" s="484"/>
      <c r="D239" s="1306" t="s">
        <v>1117</v>
      </c>
      <c r="E239" s="1306"/>
      <c r="F239" s="1306"/>
      <c r="I239" s="490"/>
    </row>
    <row r="240" spans="1:9">
      <c r="A240" s="484"/>
      <c r="B240" s="484"/>
      <c r="D240" s="1306"/>
      <c r="E240" s="1306"/>
      <c r="F240" s="1306"/>
      <c r="I240" s="490"/>
    </row>
    <row r="241" spans="1:9">
      <c r="A241" s="484"/>
      <c r="B241" s="484"/>
      <c r="D241" s="1306"/>
      <c r="E241" s="1306"/>
      <c r="F241" s="1306"/>
      <c r="I241" s="490"/>
    </row>
    <row r="242" spans="1:9">
      <c r="A242" s="484"/>
      <c r="B242" s="484"/>
      <c r="D242" s="1306"/>
      <c r="E242" s="1306"/>
      <c r="F242" s="1306"/>
      <c r="I242" s="490"/>
    </row>
    <row r="243" spans="1:9">
      <c r="A243" s="484"/>
      <c r="B243" s="484"/>
      <c r="D243" s="1306"/>
      <c r="E243" s="1306"/>
      <c r="F243" s="1306"/>
      <c r="I243" s="490"/>
    </row>
    <row r="244" spans="1:9">
      <c r="A244" s="484"/>
      <c r="B244" s="484"/>
      <c r="D244" s="446"/>
      <c r="E244" s="446"/>
      <c r="F244" s="446"/>
      <c r="I244" s="490"/>
    </row>
    <row r="245" spans="1:9">
      <c r="A245" s="484"/>
      <c r="B245" s="485" t="s">
        <v>306</v>
      </c>
      <c r="D245" s="1306" t="s">
        <v>2011</v>
      </c>
      <c r="E245" s="1306"/>
      <c r="F245" s="1306"/>
      <c r="I245" s="490"/>
    </row>
    <row r="246" spans="1:9">
      <c r="A246" s="484"/>
      <c r="B246" s="484"/>
      <c r="D246" s="1306"/>
      <c r="E246" s="1306"/>
      <c r="F246" s="1306"/>
      <c r="I246" s="490"/>
    </row>
    <row r="247" spans="1:9">
      <c r="A247" s="484"/>
      <c r="B247" s="484"/>
      <c r="D247" s="1306"/>
      <c r="E247" s="1306"/>
      <c r="F247" s="1306"/>
      <c r="I247" s="490"/>
    </row>
    <row r="248" spans="1:9">
      <c r="A248" s="484"/>
      <c r="B248" s="484"/>
      <c r="E248" s="1031" t="s">
        <v>1868</v>
      </c>
      <c r="I248" s="490"/>
    </row>
    <row r="249" spans="1:9">
      <c r="A249" s="484"/>
      <c r="B249" s="484"/>
      <c r="D249" s="446"/>
      <c r="E249" s="446"/>
      <c r="F249" s="446"/>
      <c r="I249" s="490"/>
    </row>
    <row r="250" spans="1:9" ht="14.5" customHeight="1">
      <c r="A250" s="484"/>
      <c r="B250" s="485" t="s">
        <v>306</v>
      </c>
      <c r="D250" s="1306" t="s">
        <v>2012</v>
      </c>
      <c r="E250" s="1306"/>
      <c r="F250" s="1306"/>
      <c r="I250" s="490"/>
    </row>
    <row r="251" spans="1:9">
      <c r="A251" s="484"/>
      <c r="B251" s="484"/>
      <c r="D251" s="1306"/>
      <c r="E251" s="1306"/>
      <c r="F251" s="1306"/>
      <c r="I251" s="490"/>
    </row>
    <row r="252" spans="1:9">
      <c r="A252" s="484"/>
      <c r="B252" s="484"/>
      <c r="D252" s="1306"/>
      <c r="E252" s="1306"/>
      <c r="F252" s="1306"/>
      <c r="I252" s="490"/>
    </row>
    <row r="253" spans="1:9">
      <c r="A253" s="484"/>
      <c r="B253" s="484"/>
      <c r="D253" s="1306"/>
      <c r="E253" s="1306"/>
      <c r="F253" s="1306"/>
      <c r="I253" s="490"/>
    </row>
    <row r="254" spans="1:9">
      <c r="A254" s="484"/>
      <c r="B254" s="484"/>
      <c r="D254" s="1306"/>
      <c r="E254" s="1306"/>
      <c r="F254" s="1306"/>
      <c r="I254" s="490"/>
    </row>
    <row r="255" spans="1:9">
      <c r="A255" s="484"/>
      <c r="B255" s="484"/>
      <c r="D255" s="445"/>
      <c r="E255" s="445"/>
      <c r="F255" s="445"/>
      <c r="I255" s="490"/>
    </row>
    <row r="256" spans="1:9">
      <c r="A256" s="484"/>
      <c r="B256" s="485" t="s">
        <v>306</v>
      </c>
      <c r="D256" s="392" t="s">
        <v>2013</v>
      </c>
      <c r="E256" s="445"/>
      <c r="F256" s="445"/>
      <c r="I256" s="490"/>
    </row>
    <row r="257" spans="1:9">
      <c r="A257" s="484"/>
      <c r="B257" s="484"/>
      <c r="E257" s="1031" t="s">
        <v>1869</v>
      </c>
      <c r="I257" s="490"/>
    </row>
    <row r="258" spans="1:9">
      <c r="D258" s="446"/>
      <c r="E258" s="446"/>
      <c r="F258" s="446"/>
      <c r="I258" s="490"/>
    </row>
    <row r="259" spans="1:9">
      <c r="A259" s="484"/>
      <c r="B259" s="485" t="s">
        <v>306</v>
      </c>
      <c r="D259" s="1306" t="s">
        <v>1118</v>
      </c>
      <c r="E259" s="1306"/>
      <c r="F259" s="1306"/>
      <c r="I259" s="490"/>
    </row>
    <row r="260" spans="1:9">
      <c r="A260" s="484"/>
      <c r="B260" s="484"/>
      <c r="D260" s="1306"/>
      <c r="E260" s="1306"/>
      <c r="F260" s="1306"/>
      <c r="I260" s="490"/>
    </row>
    <row r="261" spans="1:9">
      <c r="D261" s="491"/>
      <c r="I261" s="490"/>
    </row>
    <row r="262" spans="1:9">
      <c r="A262" s="1307" t="s">
        <v>1046</v>
      </c>
      <c r="B262" s="1307"/>
      <c r="C262" s="1307"/>
      <c r="D262" s="1307"/>
      <c r="E262" s="1307"/>
      <c r="F262" s="1307"/>
      <c r="G262" s="1307"/>
      <c r="H262" s="1023"/>
      <c r="I262" s="1147"/>
    </row>
    <row r="263" spans="1:9">
      <c r="D263" s="491"/>
      <c r="I263" s="490"/>
    </row>
    <row r="264" spans="1:9">
      <c r="C264" s="486"/>
      <c r="D264" s="1309" t="s">
        <v>1120</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5" customHeight="1">
      <c r="A267" s="484"/>
      <c r="B267" s="485" t="s">
        <v>306</v>
      </c>
      <c r="D267" s="1306" t="s">
        <v>1195</v>
      </c>
      <c r="E267" s="1306"/>
      <c r="F267" s="1306"/>
      <c r="I267" s="490"/>
    </row>
    <row r="268" spans="1:9">
      <c r="D268" s="1306"/>
      <c r="E268" s="1306"/>
      <c r="F268" s="1306"/>
      <c r="I268" s="490"/>
    </row>
    <row r="269" spans="1:9">
      <c r="E269" s="1031" t="s">
        <v>1870</v>
      </c>
      <c r="I269" s="490"/>
    </row>
    <row r="270" spans="1:9">
      <c r="D270" s="446"/>
      <c r="E270" s="446"/>
      <c r="F270" s="446"/>
      <c r="I270" s="490"/>
    </row>
    <row r="271" spans="1:9" ht="14.5" customHeight="1">
      <c r="A271" s="484"/>
      <c r="B271" s="485" t="s">
        <v>306</v>
      </c>
      <c r="D271" s="1306" t="s">
        <v>2014</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c r="A278" s="484"/>
      <c r="B278" s="485" t="s">
        <v>306</v>
      </c>
      <c r="D278" s="1306" t="s">
        <v>1121</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07" t="s">
        <v>1047</v>
      </c>
      <c r="B282" s="1307"/>
      <c r="C282" s="1307"/>
      <c r="D282" s="1307"/>
      <c r="E282" s="1307"/>
      <c r="F282" s="1307"/>
      <c r="G282" s="1307"/>
      <c r="H282" s="1023"/>
      <c r="I282" s="1147"/>
    </row>
    <row r="283" spans="1:9">
      <c r="D283" s="492"/>
      <c r="E283" s="446"/>
      <c r="F283" s="446"/>
      <c r="I283" s="490"/>
    </row>
    <row r="284" spans="1:9">
      <c r="C284" s="482"/>
      <c r="D284" s="1326" t="s">
        <v>1122</v>
      </c>
      <c r="E284" s="1326"/>
      <c r="F284" s="1326"/>
      <c r="I284" s="490"/>
    </row>
    <row r="285" spans="1:9">
      <c r="C285" s="482"/>
      <c r="D285" s="1326"/>
      <c r="E285" s="1326"/>
      <c r="F285" s="1326"/>
      <c r="I285" s="490"/>
    </row>
    <row r="286" spans="1:9">
      <c r="A286" s="483"/>
      <c r="B286" s="483"/>
      <c r="C286" s="483"/>
      <c r="D286" s="404"/>
      <c r="I286" s="490"/>
    </row>
    <row r="287" spans="1:9">
      <c r="C287" s="483"/>
      <c r="D287" s="1309" t="s">
        <v>208</v>
      </c>
      <c r="E287" s="1309"/>
      <c r="F287" s="1309"/>
      <c r="I287" s="490"/>
    </row>
    <row r="288" spans="1:9" ht="15.75" customHeight="1">
      <c r="A288" s="484"/>
      <c r="B288" s="484"/>
      <c r="D288" s="1335" t="s">
        <v>1123</v>
      </c>
      <c r="E288" s="1335"/>
      <c r="F288" s="1335"/>
      <c r="I288" s="490"/>
    </row>
    <row r="289" spans="1:9">
      <c r="E289" s="446"/>
      <c r="F289" s="446"/>
      <c r="I289" s="490"/>
    </row>
    <row r="290" spans="1:9">
      <c r="A290" s="484"/>
      <c r="B290" s="485" t="s">
        <v>306</v>
      </c>
      <c r="D290" s="1306" t="s">
        <v>1124</v>
      </c>
      <c r="E290" s="1306"/>
      <c r="F290" s="1306"/>
      <c r="I290" s="490"/>
    </row>
    <row r="291" spans="1:9">
      <c r="A291" s="484"/>
      <c r="B291" s="484"/>
      <c r="D291" s="1306"/>
      <c r="E291" s="1306"/>
      <c r="F291" s="1306"/>
      <c r="I291" s="490"/>
    </row>
    <row r="292" spans="1:9">
      <c r="D292" s="446"/>
      <c r="E292" s="446"/>
      <c r="F292" s="446"/>
      <c r="I292" s="490"/>
    </row>
    <row r="293" spans="1:9">
      <c r="A293" s="484"/>
      <c r="B293" s="485" t="s">
        <v>306</v>
      </c>
      <c r="D293" s="1306" t="s">
        <v>1125</v>
      </c>
      <c r="E293" s="1306"/>
      <c r="F293" s="1306"/>
      <c r="I293" s="490"/>
    </row>
    <row r="294" spans="1:9">
      <c r="A294" s="484"/>
      <c r="B294" s="484"/>
      <c r="D294" s="1306"/>
      <c r="E294" s="1306"/>
      <c r="F294" s="1306"/>
      <c r="I294" s="490"/>
    </row>
    <row r="295" spans="1:9">
      <c r="A295" s="484"/>
      <c r="B295" s="484"/>
      <c r="D295" s="1306"/>
      <c r="E295" s="1306"/>
      <c r="F295" s="1306"/>
      <c r="I295" s="490"/>
    </row>
    <row r="296" spans="1:9">
      <c r="D296" s="446"/>
      <c r="E296" s="446"/>
      <c r="F296" s="446"/>
      <c r="I296" s="490"/>
    </row>
    <row r="297" spans="1:9">
      <c r="A297" s="484"/>
      <c r="B297" s="485" t="s">
        <v>306</v>
      </c>
      <c r="D297" s="1306" t="s">
        <v>1126</v>
      </c>
      <c r="E297" s="1306"/>
      <c r="F297" s="1306"/>
      <c r="I297" s="490"/>
    </row>
    <row r="298" spans="1:9">
      <c r="A298" s="484"/>
      <c r="B298" s="484"/>
      <c r="D298" s="1306"/>
      <c r="E298" s="1306"/>
      <c r="F298" s="1306"/>
      <c r="I298" s="490"/>
    </row>
    <row r="299" spans="1:9">
      <c r="A299" s="490"/>
      <c r="B299" s="490"/>
      <c r="E299" s="446"/>
      <c r="F299" s="446"/>
      <c r="I299" s="490"/>
    </row>
    <row r="300" spans="1:9">
      <c r="A300" s="1307" t="s">
        <v>1048</v>
      </c>
      <c r="B300" s="1307"/>
      <c r="C300" s="1307"/>
      <c r="D300" s="1307"/>
      <c r="E300" s="1307"/>
      <c r="F300" s="1307"/>
      <c r="G300" s="1307"/>
      <c r="H300" s="1023"/>
      <c r="I300" s="1147"/>
    </row>
    <row r="301" spans="1:9">
      <c r="A301" s="490"/>
      <c r="B301" s="490"/>
      <c r="D301" s="446"/>
      <c r="E301" s="446"/>
      <c r="F301" s="446"/>
      <c r="I301" s="490"/>
    </row>
    <row r="302" spans="1:9">
      <c r="C302" s="490"/>
      <c r="D302" s="1309" t="s">
        <v>681</v>
      </c>
      <c r="E302" s="1309"/>
      <c r="F302" s="1309"/>
      <c r="I302" s="490"/>
    </row>
    <row r="303" spans="1:9">
      <c r="C303" s="490"/>
      <c r="D303" s="1308" t="s">
        <v>1127</v>
      </c>
      <c r="E303" s="1308"/>
      <c r="F303" s="1308"/>
      <c r="I303" s="490"/>
    </row>
    <row r="304" spans="1:9">
      <c r="C304" s="490"/>
      <c r="D304" s="493"/>
      <c r="I304" s="490"/>
    </row>
    <row r="305" spans="1:9">
      <c r="B305" s="485" t="s">
        <v>306</v>
      </c>
      <c r="D305" s="1308" t="s">
        <v>1128</v>
      </c>
      <c r="E305" s="1308"/>
      <c r="F305" s="1308"/>
      <c r="I305" s="490"/>
    </row>
    <row r="306" spans="1:9">
      <c r="A306" s="484"/>
      <c r="B306" s="484"/>
      <c r="D306" s="494"/>
      <c r="E306" s="495"/>
      <c r="F306" s="495"/>
      <c r="I306" s="490"/>
    </row>
    <row r="307" spans="1:9" ht="13.75" customHeight="1">
      <c r="B307" s="485" t="s">
        <v>306</v>
      </c>
      <c r="D307" s="1319" t="s">
        <v>1218</v>
      </c>
      <c r="E307" s="1319"/>
      <c r="F307" s="1319"/>
      <c r="I307" s="490"/>
    </row>
    <row r="308" spans="1:9">
      <c r="A308" s="484"/>
      <c r="B308" s="484"/>
      <c r="D308" s="1319"/>
      <c r="E308" s="1319"/>
      <c r="F308" s="1319"/>
      <c r="I308" s="490"/>
    </row>
    <row r="309" spans="1:9">
      <c r="A309" s="484"/>
      <c r="B309" s="484"/>
      <c r="D309" s="1319"/>
      <c r="E309" s="1319"/>
      <c r="F309" s="1319"/>
      <c r="I309" s="490"/>
    </row>
    <row r="310" spans="1:9">
      <c r="A310" s="484"/>
      <c r="B310" s="484"/>
      <c r="D310" s="1319"/>
      <c r="E310" s="1319"/>
      <c r="F310" s="1319"/>
      <c r="I310" s="490"/>
    </row>
    <row r="311" spans="1:9">
      <c r="A311" s="484"/>
      <c r="B311" s="484"/>
      <c r="D311" s="1319"/>
      <c r="E311" s="1319"/>
      <c r="F311" s="1319"/>
      <c r="I311" s="490"/>
    </row>
    <row r="312" spans="1:9">
      <c r="A312" s="484"/>
      <c r="B312" s="484"/>
      <c r="D312" s="494"/>
      <c r="E312" s="495"/>
      <c r="F312" s="495"/>
      <c r="I312" s="490"/>
    </row>
    <row r="313" spans="1:9" ht="13.75" customHeight="1">
      <c r="B313" s="485" t="s">
        <v>306</v>
      </c>
      <c r="D313" s="1319" t="s">
        <v>1129</v>
      </c>
      <c r="E313" s="1319"/>
      <c r="F313" s="1319"/>
      <c r="I313" s="490"/>
    </row>
    <row r="314" spans="1:9">
      <c r="D314" s="1319"/>
      <c r="E314" s="1319"/>
      <c r="F314" s="1319"/>
      <c r="I314" s="490"/>
    </row>
    <row r="315" spans="1:9">
      <c r="A315" s="484"/>
      <c r="B315" s="484"/>
      <c r="D315" s="494"/>
      <c r="E315" s="495"/>
      <c r="F315" s="495"/>
      <c r="I315" s="490"/>
    </row>
    <row r="316" spans="1:9">
      <c r="B316" s="485" t="s">
        <v>306</v>
      </c>
      <c r="D316" s="1308" t="s">
        <v>1130</v>
      </c>
      <c r="E316" s="1308"/>
      <c r="F316" s="1308"/>
      <c r="I316" s="490"/>
    </row>
    <row r="317" spans="1:9">
      <c r="E317" s="446"/>
      <c r="F317" s="446"/>
      <c r="I317" s="490"/>
    </row>
    <row r="318" spans="1:9">
      <c r="A318" s="484"/>
      <c r="B318" s="485" t="s">
        <v>306</v>
      </c>
      <c r="D318" s="1306" t="s">
        <v>2197</v>
      </c>
      <c r="E318" s="1306"/>
      <c r="F318" s="1306"/>
      <c r="I318" s="490"/>
    </row>
    <row r="319" spans="1:9">
      <c r="A319" s="484"/>
      <c r="B319" s="484"/>
      <c r="D319" s="1306"/>
      <c r="E319" s="1306"/>
      <c r="F319" s="1306"/>
      <c r="I319" s="490"/>
    </row>
    <row r="320" spans="1:9">
      <c r="A320" s="484"/>
      <c r="B320" s="484"/>
      <c r="D320" s="1306"/>
      <c r="E320" s="1306"/>
      <c r="F320" s="1306"/>
      <c r="I320" s="490"/>
    </row>
    <row r="321" spans="1:9">
      <c r="A321" s="484"/>
      <c r="B321" s="484"/>
      <c r="D321" s="1306"/>
      <c r="E321" s="1306"/>
      <c r="F321" s="1306"/>
      <c r="I321" s="490"/>
    </row>
    <row r="322" spans="1:9">
      <c r="A322" s="484"/>
      <c r="B322" s="484"/>
      <c r="D322" s="1306"/>
      <c r="E322" s="1306"/>
      <c r="F322" s="1306"/>
      <c r="I322" s="490"/>
    </row>
    <row r="323" spans="1:9">
      <c r="A323" s="484"/>
      <c r="B323" s="484"/>
      <c r="D323" s="1306"/>
      <c r="E323" s="1306"/>
      <c r="F323" s="1306"/>
      <c r="I323" s="490"/>
    </row>
    <row r="324" spans="1:9">
      <c r="A324" s="484"/>
      <c r="B324" s="484"/>
      <c r="D324" s="1306"/>
      <c r="E324" s="1306"/>
      <c r="F324" s="1306"/>
      <c r="I324" s="490"/>
    </row>
    <row r="325" spans="1:9">
      <c r="A325" s="484"/>
      <c r="B325" s="484"/>
      <c r="D325" s="1306"/>
      <c r="E325" s="1306"/>
      <c r="F325" s="1306"/>
      <c r="I325" s="490"/>
    </row>
    <row r="326" spans="1:9">
      <c r="A326" s="484"/>
      <c r="B326" s="484"/>
      <c r="D326" s="1306"/>
      <c r="E326" s="1306"/>
      <c r="F326" s="1306"/>
      <c r="I326" s="490"/>
    </row>
    <row r="327" spans="1:9">
      <c r="A327" s="484"/>
      <c r="B327" s="484"/>
      <c r="D327" s="1306"/>
      <c r="E327" s="1306"/>
      <c r="F327" s="1306"/>
      <c r="I327" s="490"/>
    </row>
    <row r="328" spans="1:9">
      <c r="A328" s="484"/>
      <c r="B328" s="484"/>
      <c r="D328" s="1306"/>
      <c r="E328" s="1306"/>
      <c r="F328" s="1306"/>
      <c r="I328" s="490"/>
    </row>
    <row r="329" spans="1:9">
      <c r="A329" s="484"/>
      <c r="B329" s="484"/>
      <c r="D329" s="1306"/>
      <c r="E329" s="1306"/>
      <c r="F329" s="1306"/>
      <c r="I329" s="490"/>
    </row>
    <row r="330" spans="1:9">
      <c r="A330" s="484"/>
      <c r="B330" s="484"/>
      <c r="D330" s="1306"/>
      <c r="E330" s="1306"/>
      <c r="F330" s="1306"/>
      <c r="I330" s="490"/>
    </row>
    <row r="331" spans="1:9">
      <c r="A331" s="484"/>
      <c r="B331" s="484"/>
      <c r="D331" s="1306"/>
      <c r="E331" s="1306"/>
      <c r="F331" s="1306"/>
      <c r="I331" s="490"/>
    </row>
    <row r="332" spans="1:9">
      <c r="A332" s="484"/>
      <c r="B332" s="484"/>
      <c r="D332" s="1306"/>
      <c r="E332" s="1306"/>
      <c r="F332" s="1306"/>
      <c r="I332" s="490"/>
    </row>
    <row r="333" spans="1:9">
      <c r="D333" s="446"/>
      <c r="E333" s="446"/>
      <c r="F333" s="446"/>
      <c r="I333" s="490"/>
    </row>
    <row r="334" spans="1:9">
      <c r="A334" s="484"/>
      <c r="B334" s="485" t="s">
        <v>306</v>
      </c>
      <c r="D334" s="1306" t="s">
        <v>1131</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306</v>
      </c>
      <c r="D344" s="1306" t="s">
        <v>1875</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17" t="s">
        <v>978</v>
      </c>
      <c r="E351" s="1317"/>
      <c r="F351" s="1317"/>
      <c r="G351" s="1022"/>
      <c r="H351" s="1022"/>
      <c r="I351" s="1150"/>
    </row>
    <row r="352" spans="1:9" ht="13.5" thickTop="1">
      <c r="D352" s="1327" t="s">
        <v>2198</v>
      </c>
      <c r="E352" s="1327"/>
      <c r="F352" s="1327"/>
      <c r="I352" s="490"/>
    </row>
    <row r="353" spans="1:9">
      <c r="D353" s="446"/>
      <c r="E353" s="446"/>
      <c r="F353" s="446"/>
      <c r="I353" s="490"/>
    </row>
    <row r="354" spans="1:9">
      <c r="A354" s="476"/>
      <c r="B354" s="476"/>
      <c r="C354" s="476"/>
      <c r="D354" s="447"/>
      <c r="E354" s="447"/>
      <c r="F354" s="446"/>
      <c r="I354" s="490"/>
    </row>
    <row r="355" spans="1:9">
      <c r="A355" s="484"/>
      <c r="B355" s="485" t="s">
        <v>306</v>
      </c>
      <c r="C355" s="487"/>
      <c r="D355" s="1308" t="s">
        <v>1873</v>
      </c>
      <c r="E355" s="1308"/>
      <c r="F355" s="1308"/>
      <c r="I355" s="490"/>
    </row>
    <row r="356" spans="1:9" ht="12.75" customHeight="1">
      <c r="D356" s="1032"/>
      <c r="E356" s="96" t="s">
        <v>1872</v>
      </c>
      <c r="F356" s="1032"/>
      <c r="I356" s="490"/>
    </row>
    <row r="357" spans="1:9">
      <c r="D357" s="1306" t="s">
        <v>1238</v>
      </c>
      <c r="E357" s="1306"/>
      <c r="F357" s="1306"/>
      <c r="I357" s="490"/>
    </row>
    <row r="358" spans="1:9">
      <c r="D358" s="1306"/>
      <c r="E358" s="1306"/>
      <c r="F358" s="1306"/>
      <c r="I358" s="490"/>
    </row>
    <row r="359" spans="1:9">
      <c r="D359" s="1306"/>
      <c r="E359" s="1306"/>
      <c r="F359" s="1306"/>
      <c r="I359" s="490"/>
    </row>
    <row r="360" spans="1:9">
      <c r="A360" s="484"/>
      <c r="B360" s="485" t="s">
        <v>306</v>
      </c>
      <c r="C360" s="476"/>
      <c r="D360" s="1316" t="s">
        <v>2015</v>
      </c>
      <c r="E360" s="1316"/>
      <c r="F360" s="1316"/>
      <c r="I360" s="480"/>
    </row>
    <row r="361" spans="1:9">
      <c r="A361" s="476"/>
      <c r="B361" s="476"/>
      <c r="C361" s="476"/>
      <c r="D361" s="447"/>
      <c r="E361" s="447"/>
      <c r="F361" s="446"/>
      <c r="I361" s="490"/>
    </row>
    <row r="362" spans="1:9">
      <c r="A362" s="476"/>
      <c r="B362" s="485" t="s">
        <v>306</v>
      </c>
      <c r="C362" s="476"/>
      <c r="D362" s="1278" t="s">
        <v>2016</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4" customHeight="1">
      <c r="A375" s="476"/>
      <c r="B375" s="485" t="s">
        <v>306</v>
      </c>
      <c r="C375" s="476"/>
      <c r="D375" s="1286" t="s">
        <v>1220</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306</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c r="A387" s="484"/>
      <c r="B387" s="485" t="s">
        <v>306</v>
      </c>
      <c r="C387" s="476"/>
      <c r="D387" s="1278" t="s">
        <v>1132</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1133</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75" customHeight="1">
      <c r="A401" s="476"/>
      <c r="B401" s="476"/>
      <c r="C401" s="476"/>
      <c r="D401" s="1278" t="s">
        <v>1134</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306</v>
      </c>
      <c r="C420" s="476"/>
      <c r="D420" s="1278" t="s">
        <v>1135</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5" customHeight="1">
      <c r="A423" s="484"/>
      <c r="B423" s="485" t="s">
        <v>306</v>
      </c>
      <c r="D423" s="1278" t="s">
        <v>1855</v>
      </c>
      <c r="E423" s="1278"/>
      <c r="F423" s="1278"/>
      <c r="I423" s="490"/>
    </row>
    <row r="424" spans="1:9" ht="14.5" customHeight="1">
      <c r="A424" s="484"/>
      <c r="D424" s="1278"/>
      <c r="E424" s="1278"/>
      <c r="F424" s="1278"/>
      <c r="I424" s="490"/>
    </row>
    <row r="425" spans="1:9" ht="14.5" customHeight="1">
      <c r="A425" s="484"/>
      <c r="D425" s="1278"/>
      <c r="E425" s="1278"/>
      <c r="F425" s="1278"/>
      <c r="I425" s="490"/>
    </row>
    <row r="426" spans="1:9" ht="14.5" customHeight="1">
      <c r="A426" s="484"/>
      <c r="D426" s="1278"/>
      <c r="E426" s="1278"/>
      <c r="F426" s="1278"/>
      <c r="I426" s="490"/>
    </row>
    <row r="427" spans="1:9" ht="14.5" customHeight="1">
      <c r="A427" s="484"/>
      <c r="D427" s="1278"/>
      <c r="E427" s="1278"/>
      <c r="F427" s="1278"/>
      <c r="I427" s="490"/>
    </row>
    <row r="428" spans="1:9" ht="14.5" customHeight="1">
      <c r="A428" s="484"/>
      <c r="D428" s="385"/>
      <c r="E428" s="385"/>
      <c r="F428" s="385"/>
      <c r="I428" s="490"/>
    </row>
    <row r="429" spans="1:9" ht="13.75" customHeight="1">
      <c r="A429" s="484"/>
      <c r="B429" s="485" t="s">
        <v>306</v>
      </c>
      <c r="C429" s="476"/>
      <c r="D429" s="1278" t="s">
        <v>1239</v>
      </c>
      <c r="E429" s="1278"/>
      <c r="F429" s="1278"/>
      <c r="I429" s="490"/>
    </row>
    <row r="430" spans="1:9">
      <c r="A430" s="497"/>
      <c r="B430" s="497"/>
      <c r="C430" s="476"/>
      <c r="D430" s="1278"/>
      <c r="E430" s="1278"/>
      <c r="F430" s="1278"/>
      <c r="I430" s="490"/>
    </row>
    <row r="431" spans="1:9">
      <c r="A431" s="497"/>
      <c r="B431" s="497"/>
      <c r="C431" s="476"/>
      <c r="D431" s="1278"/>
      <c r="E431" s="1278"/>
      <c r="F431" s="1278"/>
      <c r="I431" s="490"/>
    </row>
    <row r="432" spans="1:9">
      <c r="A432" s="497"/>
      <c r="B432" s="497"/>
      <c r="C432" s="476"/>
      <c r="D432" s="1278"/>
      <c r="E432" s="1278"/>
      <c r="F432" s="1278"/>
      <c r="I432" s="490"/>
    </row>
    <row r="433" spans="1:9" ht="15.75" customHeight="1">
      <c r="A433" s="497"/>
      <c r="B433" s="497"/>
      <c r="C433" s="476"/>
      <c r="D433" s="1337" t="s">
        <v>2611</v>
      </c>
      <c r="E433" s="1278"/>
      <c r="F433" s="1278"/>
      <c r="I433" s="490"/>
    </row>
    <row r="434" spans="1:9">
      <c r="D434" s="446"/>
      <c r="E434" s="446"/>
      <c r="F434" s="446"/>
      <c r="I434" s="490"/>
    </row>
    <row r="435" spans="1:9">
      <c r="A435" s="484"/>
      <c r="B435" s="485" t="s">
        <v>306</v>
      </c>
      <c r="C435" s="487"/>
      <c r="D435" s="1306" t="s">
        <v>2017</v>
      </c>
      <c r="E435" s="1306"/>
      <c r="F435" s="1306"/>
      <c r="I435" s="490"/>
    </row>
    <row r="436" spans="1:9">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75" customHeight="1">
      <c r="D465" s="1306"/>
      <c r="E465" s="1306"/>
      <c r="F465" s="1306"/>
      <c r="I465" s="490"/>
    </row>
    <row r="466" spans="1:9">
      <c r="D466" s="446"/>
      <c r="E466" s="446"/>
      <c r="F466" s="446"/>
      <c r="I466" s="490"/>
    </row>
    <row r="467" spans="1:9">
      <c r="A467" s="484"/>
      <c r="B467" s="485" t="s">
        <v>306</v>
      </c>
      <c r="C467" s="487"/>
      <c r="D467" s="1306" t="s">
        <v>1136</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c r="B471" s="485" t="s">
        <v>306</v>
      </c>
      <c r="C471" s="484"/>
      <c r="D471" s="1306" t="s">
        <v>1196</v>
      </c>
      <c r="E471" s="1306"/>
      <c r="F471" s="1306"/>
      <c r="I471" s="490"/>
    </row>
    <row r="472" spans="1:9">
      <c r="D472" s="1306"/>
      <c r="E472" s="1306"/>
      <c r="F472" s="1306"/>
      <c r="I472" s="490"/>
    </row>
    <row r="473" spans="1:9">
      <c r="D473" s="446"/>
      <c r="E473" s="446"/>
      <c r="F473" s="446"/>
      <c r="I473" s="490"/>
    </row>
    <row r="474" spans="1:9">
      <c r="B474" s="485" t="s">
        <v>306</v>
      </c>
      <c r="C474" s="484"/>
      <c r="D474" s="1306" t="s">
        <v>1137</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306</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306</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306</v>
      </c>
      <c r="C486" s="402"/>
      <c r="D486" s="1306"/>
      <c r="E486" s="1306"/>
      <c r="F486" s="1306"/>
      <c r="I486" s="490"/>
    </row>
    <row r="487" spans="1:9">
      <c r="A487" s="402"/>
      <c r="C487" s="402"/>
      <c r="D487" s="1306"/>
      <c r="E487" s="1306"/>
      <c r="F487" s="1306"/>
      <c r="I487" s="490"/>
    </row>
    <row r="488" spans="1:9">
      <c r="A488" s="402"/>
      <c r="B488" s="485" t="s">
        <v>306</v>
      </c>
      <c r="C488" s="402"/>
      <c r="D488" s="1306" t="s">
        <v>1138</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306</v>
      </c>
      <c r="D494" s="1308" t="s">
        <v>1139</v>
      </c>
      <c r="E494" s="1308"/>
      <c r="F494" s="1308"/>
      <c r="I494" s="490"/>
    </row>
    <row r="495" spans="1:9">
      <c r="A495" s="446"/>
      <c r="B495" s="446"/>
      <c r="I495" s="490"/>
    </row>
    <row r="496" spans="1:9">
      <c r="A496" s="1307" t="s">
        <v>1049</v>
      </c>
      <c r="B496" s="1307"/>
      <c r="C496" s="1307"/>
      <c r="D496" s="1307"/>
      <c r="E496" s="1307"/>
      <c r="F496" s="1307"/>
      <c r="G496" s="1307"/>
      <c r="H496" s="1023"/>
      <c r="I496" s="1147"/>
    </row>
    <row r="497" spans="1:9">
      <c r="A497" s="446"/>
      <c r="B497" s="446"/>
      <c r="I497" s="490"/>
    </row>
    <row r="498" spans="1:9">
      <c r="D498" s="1336" t="s">
        <v>882</v>
      </c>
      <c r="E498" s="1336"/>
      <c r="F498" s="1336"/>
      <c r="I498" s="490"/>
    </row>
    <row r="499" spans="1:9">
      <c r="A499" s="484"/>
      <c r="B499" s="484"/>
      <c r="D499" s="1316" t="s">
        <v>1140</v>
      </c>
      <c r="E499" s="1316"/>
      <c r="F499" s="1316"/>
      <c r="I499" s="490"/>
    </row>
    <row r="500" spans="1:9">
      <c r="A500" s="484"/>
      <c r="B500" s="484"/>
      <c r="D500" s="447"/>
      <c r="I500" s="490"/>
    </row>
    <row r="501" spans="1:9">
      <c r="A501" s="484"/>
      <c r="B501" s="485" t="s">
        <v>306</v>
      </c>
      <c r="D501" s="1278" t="s">
        <v>1141</v>
      </c>
      <c r="E501" s="1278"/>
      <c r="F501" s="1278"/>
      <c r="I501" s="490"/>
    </row>
    <row r="502" spans="1:9">
      <c r="A502" s="484"/>
      <c r="B502" s="484"/>
      <c r="D502" s="1278"/>
      <c r="E502" s="1278"/>
      <c r="F502" s="1278"/>
      <c r="I502" s="490"/>
    </row>
    <row r="503" spans="1:9">
      <c r="A503" s="484"/>
      <c r="B503" s="484"/>
      <c r="D503" s="446"/>
      <c r="I503" s="490"/>
    </row>
    <row r="504" spans="1:9" ht="12.75" customHeight="1">
      <c r="B504" s="485" t="s">
        <v>306</v>
      </c>
      <c r="D504" s="1322" t="s">
        <v>1272</v>
      </c>
      <c r="E504" s="1322"/>
      <c r="F504" s="1322"/>
      <c r="I504" s="490"/>
    </row>
    <row r="505" spans="1:9">
      <c r="A505" s="484"/>
      <c r="D505" s="1322"/>
      <c r="E505" s="1322"/>
      <c r="F505" s="1322"/>
      <c r="I505" s="490"/>
    </row>
    <row r="506" spans="1:9">
      <c r="A506" s="484"/>
      <c r="B506" s="484"/>
      <c r="D506" s="1322"/>
      <c r="E506" s="1322"/>
      <c r="F506" s="1322"/>
      <c r="I506" s="490"/>
    </row>
    <row r="507" spans="1:9">
      <c r="A507" s="484"/>
      <c r="B507" s="484"/>
      <c r="D507" s="1322"/>
      <c r="E507" s="1322"/>
      <c r="F507" s="1322"/>
      <c r="I507" s="490"/>
    </row>
    <row r="508" spans="1:9">
      <c r="A508" s="484"/>
      <c r="D508" s="520"/>
      <c r="E508" s="520"/>
      <c r="F508" s="520"/>
      <c r="I508" s="490"/>
    </row>
    <row r="509" spans="1:9">
      <c r="A509" s="484"/>
      <c r="B509" s="485" t="s">
        <v>306</v>
      </c>
      <c r="D509" s="1308" t="s">
        <v>1142</v>
      </c>
      <c r="E509" s="1308"/>
      <c r="F509" s="1308"/>
      <c r="I509" s="490"/>
    </row>
    <row r="510" spans="1:9">
      <c r="A510" s="484"/>
      <c r="B510" s="484"/>
      <c r="D510" s="446"/>
      <c r="I510" s="490"/>
    </row>
    <row r="511" spans="1:9">
      <c r="A511" s="484"/>
      <c r="B511" s="485" t="s">
        <v>306</v>
      </c>
      <c r="D511" s="1306" t="s">
        <v>1143</v>
      </c>
      <c r="E511" s="1306"/>
      <c r="F511" s="1306"/>
      <c r="I511" s="490"/>
    </row>
    <row r="512" spans="1:9">
      <c r="A512" s="484"/>
      <c r="D512" s="1306"/>
      <c r="E512" s="1306"/>
      <c r="F512" s="1306"/>
      <c r="I512" s="490"/>
    </row>
    <row r="513" spans="1:9">
      <c r="A513" s="490"/>
      <c r="B513" s="490"/>
      <c r="D513" s="447"/>
      <c r="I513" s="490"/>
    </row>
    <row r="514" spans="1:9">
      <c r="A514" s="490"/>
      <c r="B514" s="485" t="s">
        <v>306</v>
      </c>
      <c r="D514" s="1308" t="s">
        <v>1144</v>
      </c>
      <c r="E514" s="1308"/>
      <c r="F514" s="1308"/>
      <c r="I514" s="490"/>
    </row>
    <row r="515" spans="1:9">
      <c r="D515" s="446"/>
      <c r="E515" s="446"/>
      <c r="F515" s="446"/>
      <c r="I515" s="490"/>
    </row>
    <row r="516" spans="1:9">
      <c r="B516" s="485" t="s">
        <v>306</v>
      </c>
      <c r="D516" s="1306" t="s">
        <v>2220</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c r="A520" s="484"/>
      <c r="B520" s="484"/>
      <c r="D520" s="446"/>
      <c r="I520" s="490"/>
    </row>
    <row r="521" spans="1:9">
      <c r="A521" s="1307" t="s">
        <v>1050</v>
      </c>
      <c r="B521" s="1307"/>
      <c r="C521" s="1307"/>
      <c r="D521" s="1307"/>
      <c r="E521" s="1307"/>
      <c r="F521" s="1307"/>
      <c r="G521" s="1307"/>
      <c r="H521" s="1023"/>
      <c r="I521" s="1147"/>
    </row>
    <row r="522" spans="1:9" ht="12" customHeight="1">
      <c r="A522" s="484"/>
      <c r="B522" s="484"/>
      <c r="D522" s="446"/>
      <c r="I522" s="490"/>
    </row>
    <row r="523" spans="1:9">
      <c r="C523" s="482"/>
      <c r="D523" s="1309" t="s">
        <v>792</v>
      </c>
      <c r="E523" s="1309"/>
      <c r="F523" s="130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306</v>
      </c>
      <c r="C527" s="483"/>
      <c r="D527" s="1278" t="s">
        <v>2018</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306</v>
      </c>
      <c r="D530" s="386" t="s">
        <v>1876</v>
      </c>
      <c r="E530" s="385"/>
      <c r="F530" s="385"/>
      <c r="I530" s="490"/>
    </row>
    <row r="531" spans="1:9">
      <c r="A531" s="483"/>
      <c r="B531" s="483"/>
      <c r="C531" s="483"/>
      <c r="D531" s="385"/>
      <c r="E531" s="96" t="s">
        <v>1877</v>
      </c>
      <c r="I531" s="490"/>
    </row>
    <row r="532" spans="1:9">
      <c r="A532" s="483"/>
      <c r="B532" s="483"/>
      <c r="D532" s="1286" t="s">
        <v>2019</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306</v>
      </c>
      <c r="C536" s="483"/>
      <c r="D536" s="1306" t="s">
        <v>2635</v>
      </c>
      <c r="E536" s="1306"/>
      <c r="F536" s="1306"/>
      <c r="I536" s="490"/>
    </row>
    <row r="537" spans="1:9" ht="13.15" customHeight="1">
      <c r="A537" s="483"/>
      <c r="B537" s="483"/>
      <c r="C537" s="483"/>
      <c r="D537" s="1306"/>
      <c r="E537" s="1306"/>
      <c r="F537" s="1306"/>
      <c r="I537" s="490"/>
    </row>
    <row r="538" spans="1:9">
      <c r="A538" s="483"/>
      <c r="B538" s="483"/>
      <c r="C538" s="483"/>
      <c r="D538" s="1306"/>
      <c r="E538" s="1306"/>
      <c r="F538" s="1306"/>
      <c r="I538" s="490"/>
    </row>
    <row r="539" spans="1:9" ht="12" customHeight="1">
      <c r="A539" s="446"/>
      <c r="B539" s="446"/>
      <c r="C539" s="487"/>
      <c r="D539" s="446"/>
      <c r="F539" s="448"/>
      <c r="I539" s="490"/>
    </row>
    <row r="540" spans="1:9">
      <c r="A540" s="1307" t="s">
        <v>1051</v>
      </c>
      <c r="B540" s="1307"/>
      <c r="C540" s="1307"/>
      <c r="D540" s="1307"/>
      <c r="E540" s="1307"/>
      <c r="F540" s="1307"/>
      <c r="G540" s="1307"/>
      <c r="H540" s="1023"/>
      <c r="I540" s="1147"/>
    </row>
    <row r="541" spans="1:9">
      <c r="A541" s="446"/>
      <c r="B541" s="446"/>
      <c r="C541" s="487"/>
      <c r="F541" s="448"/>
      <c r="I541" s="490"/>
    </row>
    <row r="542" spans="1:9">
      <c r="B542" s="1312" t="s">
        <v>445</v>
      </c>
      <c r="C542" s="1312"/>
      <c r="D542" s="1312"/>
      <c r="E542" s="1312"/>
      <c r="F542" s="1312"/>
      <c r="I542" s="490"/>
    </row>
    <row r="543" spans="1:9">
      <c r="A543" s="446"/>
      <c r="B543" s="446"/>
      <c r="C543" s="487"/>
      <c r="D543" s="446"/>
      <c r="F543" s="446"/>
      <c r="I543" s="490"/>
    </row>
    <row r="544" spans="1:9">
      <c r="A544" s="1310" t="s">
        <v>1052</v>
      </c>
      <c r="B544" s="1310"/>
      <c r="C544" s="1310"/>
      <c r="D544" s="1310"/>
      <c r="E544" s="1310"/>
      <c r="F544" s="1310"/>
      <c r="G544" s="1310"/>
      <c r="H544" s="1023"/>
      <c r="I544" s="1147"/>
    </row>
    <row r="545" spans="1:9">
      <c r="A545" s="446"/>
      <c r="B545" s="446"/>
      <c r="C545" s="487"/>
      <c r="D545" s="446"/>
      <c r="F545" s="446"/>
      <c r="I545" s="490"/>
    </row>
    <row r="546" spans="1:9">
      <c r="C546" s="487"/>
      <c r="D546" s="1309" t="s">
        <v>682</v>
      </c>
      <c r="E546" s="1309"/>
      <c r="F546" s="1309"/>
      <c r="I546" s="490"/>
    </row>
    <row r="547" spans="1:9">
      <c r="C547" s="487"/>
      <c r="D547" s="1308" t="s">
        <v>1080</v>
      </c>
      <c r="E547" s="1308"/>
      <c r="F547" s="1308"/>
      <c r="I547" s="490"/>
    </row>
    <row r="548" spans="1:9">
      <c r="C548" s="487"/>
      <c r="D548" s="446"/>
      <c r="E548" s="446"/>
      <c r="F548" s="446"/>
      <c r="I548" s="490"/>
    </row>
    <row r="549" spans="1:9" ht="13.75" customHeight="1">
      <c r="A549" s="484"/>
      <c r="B549" s="485" t="s">
        <v>306</v>
      </c>
      <c r="C549" s="487"/>
      <c r="D549" s="1308" t="s">
        <v>883</v>
      </c>
      <c r="E549" s="1308"/>
      <c r="F549" s="1308"/>
      <c r="I549" s="490"/>
    </row>
    <row r="550" spans="1:9" ht="13.75" customHeight="1">
      <c r="A550" s="487"/>
      <c r="B550" s="487"/>
      <c r="C550" s="487"/>
      <c r="D550" s="446"/>
      <c r="I550" s="490"/>
    </row>
    <row r="551" spans="1:9">
      <c r="A551" s="484"/>
      <c r="B551" s="485" t="s">
        <v>306</v>
      </c>
      <c r="C551" s="487"/>
      <c r="D551" s="1306" t="s">
        <v>1081</v>
      </c>
      <c r="E551" s="1306"/>
      <c r="F551" s="1306"/>
      <c r="I551" s="490"/>
    </row>
    <row r="552" spans="1:9">
      <c r="A552" s="487"/>
      <c r="B552" s="487"/>
      <c r="C552" s="487"/>
      <c r="D552" s="1306"/>
      <c r="E552" s="1306"/>
      <c r="F552" s="1306"/>
      <c r="I552" s="490"/>
    </row>
    <row r="553" spans="1:9">
      <c r="A553" s="487"/>
      <c r="B553" s="487"/>
      <c r="C553" s="487"/>
      <c r="D553" s="446"/>
      <c r="E553" s="446"/>
      <c r="F553" s="446"/>
      <c r="I553" s="490"/>
    </row>
    <row r="554" spans="1:9">
      <c r="A554" s="484"/>
      <c r="B554" s="485" t="s">
        <v>306</v>
      </c>
      <c r="C554" s="487"/>
      <c r="D554" s="1306" t="s">
        <v>1082</v>
      </c>
      <c r="E554" s="1306"/>
      <c r="F554" s="1306"/>
      <c r="I554" s="490"/>
    </row>
    <row r="555" spans="1:9">
      <c r="A555" s="487"/>
      <c r="B555" s="487"/>
      <c r="C555" s="487"/>
      <c r="D555" s="1306"/>
      <c r="E555" s="1306"/>
      <c r="F555" s="1306"/>
      <c r="I555" s="490"/>
    </row>
    <row r="556" spans="1:9">
      <c r="A556" s="487"/>
      <c r="B556" s="487"/>
      <c r="C556" s="487"/>
      <c r="D556" s="446"/>
      <c r="E556" s="446"/>
      <c r="F556" s="446"/>
      <c r="I556" s="490"/>
    </row>
    <row r="557" spans="1:9">
      <c r="A557" s="484"/>
      <c r="B557" s="485" t="s">
        <v>306</v>
      </c>
      <c r="C557" s="487"/>
      <c r="D557" s="1306" t="s">
        <v>1083</v>
      </c>
      <c r="E557" s="1306"/>
      <c r="F557" s="1306"/>
      <c r="I557" s="490"/>
    </row>
    <row r="558" spans="1:9">
      <c r="A558" s="487"/>
      <c r="B558" s="487"/>
      <c r="C558" s="487"/>
      <c r="D558" s="1306"/>
      <c r="E558" s="1306"/>
      <c r="F558" s="1306"/>
      <c r="I558" s="490"/>
    </row>
    <row r="559" spans="1:9">
      <c r="A559" s="487"/>
      <c r="B559" s="487"/>
      <c r="C559" s="487"/>
      <c r="D559" s="446"/>
      <c r="E559" s="446"/>
      <c r="F559" s="446"/>
      <c r="I559" s="490"/>
    </row>
    <row r="560" spans="1:9">
      <c r="A560" s="484"/>
      <c r="B560" s="485" t="s">
        <v>306</v>
      </c>
      <c r="C560" s="487"/>
      <c r="D560" s="1306" t="s">
        <v>1084</v>
      </c>
      <c r="E560" s="1306"/>
      <c r="F560" s="1306"/>
      <c r="I560" s="490"/>
    </row>
    <row r="561" spans="1:9">
      <c r="A561" s="487"/>
      <c r="B561" s="487"/>
      <c r="C561" s="487"/>
      <c r="D561" s="1306"/>
      <c r="E561" s="1306"/>
      <c r="F561" s="1306"/>
      <c r="I561" s="490"/>
    </row>
    <row r="562" spans="1:9">
      <c r="A562" s="487"/>
      <c r="B562" s="487"/>
      <c r="C562" s="487"/>
      <c r="D562" s="1306"/>
      <c r="E562" s="1306"/>
      <c r="F562" s="1306"/>
      <c r="I562" s="490"/>
    </row>
    <row r="563" spans="1:9">
      <c r="A563" s="487"/>
      <c r="B563" s="487"/>
      <c r="C563" s="487"/>
      <c r="D563" s="446"/>
      <c r="E563" s="446"/>
      <c r="F563" s="446"/>
      <c r="I563" s="490"/>
    </row>
    <row r="564" spans="1:9">
      <c r="A564" s="484"/>
      <c r="B564" s="485" t="s">
        <v>306</v>
      </c>
      <c r="C564" s="487"/>
      <c r="D564" s="1306" t="s">
        <v>2199</v>
      </c>
      <c r="E564" s="1306"/>
      <c r="F564" s="1306"/>
      <c r="I564" s="490"/>
    </row>
    <row r="565" spans="1:9">
      <c r="A565" s="487"/>
      <c r="B565" s="487"/>
      <c r="C565" s="487"/>
      <c r="D565" s="1306"/>
      <c r="E565" s="1306"/>
      <c r="F565" s="1306"/>
      <c r="I565" s="490"/>
    </row>
    <row r="566" spans="1:9">
      <c r="A566" s="487"/>
      <c r="B566" s="487"/>
      <c r="C566" s="487"/>
      <c r="D566" s="446"/>
      <c r="E566" s="446"/>
      <c r="F566" s="446"/>
      <c r="I566" s="490"/>
    </row>
    <row r="567" spans="1:9">
      <c r="A567" s="484"/>
      <c r="B567" s="485" t="s">
        <v>306</v>
      </c>
      <c r="C567" s="487"/>
      <c r="D567" s="1306" t="s">
        <v>1085</v>
      </c>
      <c r="E567" s="1306"/>
      <c r="F567" s="1306"/>
      <c r="I567" s="490"/>
    </row>
    <row r="568" spans="1:9">
      <c r="A568" s="487"/>
      <c r="B568" s="487"/>
      <c r="C568" s="487"/>
      <c r="D568" s="1306"/>
      <c r="E568" s="1306"/>
      <c r="F568" s="1306"/>
      <c r="I568" s="490"/>
    </row>
    <row r="569" spans="1:9">
      <c r="A569" s="487"/>
      <c r="B569" s="487"/>
      <c r="C569" s="487"/>
      <c r="D569" s="446"/>
      <c r="E569" s="446"/>
      <c r="F569" s="446"/>
      <c r="I569" s="490"/>
    </row>
    <row r="570" spans="1:9">
      <c r="A570" s="484"/>
      <c r="B570" s="485" t="s">
        <v>306</v>
      </c>
      <c r="C570" s="487"/>
      <c r="D570" s="1308" t="s">
        <v>1086</v>
      </c>
      <c r="E570" s="1308"/>
      <c r="F570" s="1308"/>
      <c r="I570" s="490"/>
    </row>
    <row r="571" spans="1:9">
      <c r="A571" s="490"/>
      <c r="B571" s="490"/>
      <c r="C571" s="487"/>
      <c r="D571" s="1308" t="s">
        <v>1879</v>
      </c>
      <c r="E571" s="1308"/>
      <c r="F571" s="1308"/>
      <c r="I571" s="490"/>
    </row>
    <row r="572" spans="1:9">
      <c r="A572" s="490"/>
      <c r="B572" s="490"/>
      <c r="C572" s="487"/>
      <c r="E572" s="96" t="s">
        <v>1878</v>
      </c>
      <c r="F572" s="404"/>
      <c r="I572" s="490"/>
    </row>
    <row r="573" spans="1:9">
      <c r="A573" s="484"/>
      <c r="B573" s="484"/>
      <c r="C573" s="487"/>
      <c r="E573" s="446"/>
      <c r="F573" s="446"/>
      <c r="I573" s="490"/>
    </row>
    <row r="574" spans="1:9">
      <c r="A574" s="484"/>
      <c r="B574" s="485" t="s">
        <v>306</v>
      </c>
      <c r="C574" s="487"/>
      <c r="D574" s="1308" t="s">
        <v>1087</v>
      </c>
      <c r="E574" s="1308"/>
      <c r="F574" s="1308"/>
      <c r="I574" s="490"/>
    </row>
    <row r="575" spans="1:9">
      <c r="C575" s="487"/>
      <c r="D575" s="1306" t="s">
        <v>1088</v>
      </c>
      <c r="E575" s="1306"/>
      <c r="F575" s="1306"/>
      <c r="I575" s="490"/>
    </row>
    <row r="576" spans="1:9">
      <c r="A576" s="487"/>
      <c r="B576" s="487"/>
      <c r="C576" s="487"/>
      <c r="D576" s="1306"/>
      <c r="E576" s="1306"/>
      <c r="F576" s="1306"/>
      <c r="I576" s="490"/>
    </row>
    <row r="577" spans="1:9">
      <c r="A577" s="487"/>
      <c r="B577" s="487"/>
      <c r="C577" s="487"/>
      <c r="D577" s="1306"/>
      <c r="E577" s="1306"/>
      <c r="F577" s="1306"/>
      <c r="I577" s="490"/>
    </row>
    <row r="578" spans="1:9">
      <c r="A578" s="487"/>
      <c r="B578" s="487"/>
      <c r="C578" s="487"/>
      <c r="D578" s="446"/>
      <c r="E578" s="446"/>
      <c r="F578" s="446"/>
      <c r="I578" s="490"/>
    </row>
    <row r="579" spans="1:9">
      <c r="A579" s="484"/>
      <c r="B579" s="485" t="s">
        <v>306</v>
      </c>
      <c r="C579" s="487"/>
      <c r="D579" s="1306" t="s">
        <v>2020</v>
      </c>
      <c r="E579" s="1306"/>
      <c r="F579" s="1306"/>
      <c r="I579" s="490"/>
    </row>
    <row r="580" spans="1:9">
      <c r="A580" s="484"/>
      <c r="B580" s="484"/>
      <c r="C580" s="487"/>
      <c r="D580" s="1306"/>
      <c r="E580" s="1306"/>
      <c r="F580" s="1306"/>
      <c r="I580" s="490"/>
    </row>
    <row r="581" spans="1:9">
      <c r="A581" s="484"/>
      <c r="B581" s="484"/>
      <c r="C581" s="487"/>
      <c r="D581" s="1306"/>
      <c r="E581" s="1306"/>
      <c r="F581" s="1306"/>
      <c r="I581" s="490"/>
    </row>
    <row r="582" spans="1:9">
      <c r="A582" s="484"/>
      <c r="B582" s="484"/>
      <c r="C582" s="487"/>
      <c r="D582" s="1306"/>
      <c r="E582" s="1306"/>
      <c r="F582" s="1306"/>
      <c r="I582" s="490"/>
    </row>
    <row r="583" spans="1:9">
      <c r="A583" s="484"/>
      <c r="B583" s="484"/>
      <c r="C583" s="487"/>
      <c r="D583" s="446"/>
      <c r="E583" s="446"/>
      <c r="F583" s="446"/>
      <c r="I583" s="490"/>
    </row>
    <row r="584" spans="1:9">
      <c r="A584" s="1307" t="s">
        <v>1053</v>
      </c>
      <c r="B584" s="1307"/>
      <c r="C584" s="1307"/>
      <c r="D584" s="1307"/>
      <c r="E584" s="1307"/>
      <c r="F584" s="1307"/>
      <c r="G584" s="1307"/>
      <c r="H584" s="1023"/>
      <c r="I584" s="1147"/>
    </row>
    <row r="585" spans="1:9">
      <c r="A585" s="487"/>
      <c r="B585" s="487"/>
      <c r="C585" s="487"/>
      <c r="E585" s="446"/>
      <c r="F585" s="446"/>
      <c r="I585" s="490"/>
    </row>
    <row r="586" spans="1:9" ht="12.75" customHeight="1">
      <c r="C586" s="482"/>
      <c r="D586" s="1326" t="s">
        <v>209</v>
      </c>
      <c r="E586" s="1326"/>
      <c r="F586" s="1326"/>
      <c r="I586" s="490"/>
    </row>
    <row r="587" spans="1:9">
      <c r="A587" s="483"/>
      <c r="B587" s="483"/>
      <c r="C587" s="483"/>
      <c r="D587" s="1322" t="s">
        <v>1066</v>
      </c>
      <c r="E587" s="1322"/>
      <c r="F587" s="1322"/>
      <c r="I587" s="490"/>
    </row>
    <row r="588" spans="1:9">
      <c r="A588" s="402"/>
      <c r="B588" s="402"/>
      <c r="C588" s="483"/>
      <c r="D588" s="499"/>
      <c r="I588" s="490"/>
    </row>
    <row r="589" spans="1:9">
      <c r="A589" s="483"/>
      <c r="B589" s="485" t="s">
        <v>306</v>
      </c>
      <c r="D589" s="1322" t="s">
        <v>887</v>
      </c>
      <c r="E589" s="1322"/>
      <c r="F589" s="1322"/>
      <c r="I589" s="490"/>
    </row>
    <row r="590" spans="1:9">
      <c r="A590" s="490"/>
      <c r="B590" s="490"/>
      <c r="D590" s="476"/>
      <c r="I590" s="490"/>
    </row>
    <row r="591" spans="1:9">
      <c r="A591" s="490"/>
      <c r="B591" s="485" t="s">
        <v>306</v>
      </c>
      <c r="D591" s="1322" t="s">
        <v>2021</v>
      </c>
      <c r="E591" s="1322"/>
      <c r="F591" s="1322"/>
      <c r="I591" s="490"/>
    </row>
    <row r="592" spans="1:9">
      <c r="A592" s="490"/>
      <c r="B592" s="490"/>
      <c r="D592" s="1322"/>
      <c r="E592" s="1322"/>
      <c r="F592" s="1322"/>
      <c r="I592" s="490"/>
    </row>
    <row r="593" spans="1:9">
      <c r="A593" s="490"/>
      <c r="B593" s="490"/>
      <c r="D593" s="1322"/>
      <c r="E593" s="1322"/>
      <c r="F593" s="1322"/>
      <c r="I593" s="490"/>
    </row>
    <row r="594" spans="1:9">
      <c r="A594" s="490"/>
      <c r="B594" s="490"/>
      <c r="D594" s="1322"/>
      <c r="E594" s="1322"/>
      <c r="F594" s="1322"/>
      <c r="I594" s="490"/>
    </row>
    <row r="595" spans="1:9">
      <c r="A595" s="490"/>
      <c r="B595" s="485" t="s">
        <v>306</v>
      </c>
      <c r="D595" s="1322" t="s">
        <v>1067</v>
      </c>
      <c r="E595" s="1322"/>
      <c r="F595" s="1322"/>
      <c r="I595" s="490"/>
    </row>
    <row r="596" spans="1:9">
      <c r="A596" s="490"/>
      <c r="B596" s="490"/>
      <c r="D596" s="1322"/>
      <c r="E596" s="1322"/>
      <c r="F596" s="1322"/>
      <c r="I596" s="490"/>
    </row>
    <row r="597" spans="1:9">
      <c r="A597" s="490"/>
      <c r="B597" s="490"/>
      <c r="D597" s="1322"/>
      <c r="E597" s="1322"/>
      <c r="F597" s="1322"/>
      <c r="I597" s="490"/>
    </row>
    <row r="598" spans="1:9">
      <c r="A598" s="490"/>
      <c r="B598" s="490"/>
      <c r="D598" s="1322"/>
      <c r="E598" s="1322"/>
      <c r="F598" s="1322"/>
      <c r="I598" s="490"/>
    </row>
    <row r="599" spans="1:9">
      <c r="A599" s="490"/>
      <c r="B599" s="490"/>
      <c r="D599" s="440"/>
      <c r="E599" s="440"/>
      <c r="F599" s="440"/>
      <c r="I599" s="490"/>
    </row>
    <row r="600" spans="1:9">
      <c r="A600" s="490"/>
      <c r="B600" s="485" t="s">
        <v>306</v>
      </c>
      <c r="D600" s="1322" t="s">
        <v>2022</v>
      </c>
      <c r="E600" s="1322"/>
      <c r="F600" s="1322"/>
      <c r="I600" s="490"/>
    </row>
    <row r="601" spans="1:9">
      <c r="A601" s="490"/>
      <c r="B601" s="490"/>
      <c r="D601" s="1322"/>
      <c r="E601" s="1322"/>
      <c r="F601" s="1322"/>
      <c r="I601" s="490"/>
    </row>
    <row r="602" spans="1:9">
      <c r="A602" s="490"/>
      <c r="B602" s="490"/>
      <c r="D602" s="499"/>
      <c r="I602" s="490"/>
    </row>
    <row r="603" spans="1:9">
      <c r="A603" s="490"/>
      <c r="B603" s="485" t="s">
        <v>306</v>
      </c>
      <c r="D603" s="1322" t="s">
        <v>1068</v>
      </c>
      <c r="E603" s="1322"/>
      <c r="F603" s="1322"/>
      <c r="I603" s="490"/>
    </row>
    <row r="604" spans="1:9">
      <c r="A604" s="490"/>
      <c r="B604" s="490"/>
      <c r="D604" s="1322"/>
      <c r="E604" s="1322"/>
      <c r="F604" s="1322"/>
      <c r="I604" s="490"/>
    </row>
    <row r="605" spans="1:9">
      <c r="A605" s="484"/>
      <c r="B605" s="484"/>
      <c r="D605" s="499"/>
      <c r="I605" s="490"/>
    </row>
    <row r="606" spans="1:9">
      <c r="A606" s="1307" t="s">
        <v>1054</v>
      </c>
      <c r="B606" s="1307"/>
      <c r="C606" s="1307"/>
      <c r="D606" s="1307"/>
      <c r="E606" s="1307"/>
      <c r="F606" s="1307"/>
      <c r="G606" s="1307"/>
      <c r="H606" s="1023"/>
      <c r="I606" s="1147"/>
    </row>
    <row r="607" spans="1:9">
      <c r="I607" s="490"/>
    </row>
    <row r="608" spans="1:9">
      <c r="D608" s="1309" t="s">
        <v>1106</v>
      </c>
      <c r="E608" s="1309"/>
      <c r="F608" s="1309"/>
      <c r="I608" s="490"/>
    </row>
    <row r="609" spans="1:9">
      <c r="D609" s="1288" t="s">
        <v>1107</v>
      </c>
      <c r="E609" s="1288"/>
      <c r="F609" s="1288"/>
      <c r="I609" s="490"/>
    </row>
    <row r="610" spans="1:9">
      <c r="D610" s="444"/>
      <c r="I610" s="490"/>
    </row>
    <row r="611" spans="1:9" ht="14.25" customHeight="1">
      <c r="A611" s="484"/>
      <c r="B611" s="485" t="s">
        <v>306</v>
      </c>
      <c r="D611" s="1323" t="s">
        <v>1880</v>
      </c>
      <c r="E611" s="1323"/>
      <c r="F611" s="1323"/>
      <c r="I611" s="490"/>
    </row>
    <row r="612" spans="1:9">
      <c r="D612" s="1323"/>
      <c r="E612" s="1323"/>
      <c r="F612" s="1323"/>
      <c r="I612" s="490"/>
    </row>
    <row r="613" spans="1:9">
      <c r="D613" s="385"/>
      <c r="E613" s="1031" t="s">
        <v>1881</v>
      </c>
      <c r="F613" s="385"/>
      <c r="I613" s="490"/>
    </row>
    <row r="614" spans="1:9">
      <c r="I614" s="490"/>
    </row>
    <row r="615" spans="1:9">
      <c r="A615" s="1307" t="s">
        <v>1055</v>
      </c>
      <c r="B615" s="1307"/>
      <c r="C615" s="1307"/>
      <c r="D615" s="1307"/>
      <c r="E615" s="1307"/>
      <c r="F615" s="1307"/>
      <c r="G615" s="1307"/>
      <c r="H615" s="1023"/>
      <c r="I615" s="1147"/>
    </row>
    <row r="616" spans="1:9">
      <c r="A616" s="446"/>
      <c r="B616" s="446"/>
      <c r="I616" s="490"/>
    </row>
    <row r="617" spans="1:9">
      <c r="A617" s="482"/>
      <c r="B617" s="482"/>
      <c r="C617" s="482"/>
      <c r="D617" s="1318" t="s">
        <v>1108</v>
      </c>
      <c r="E617" s="1318"/>
      <c r="F617" s="1318"/>
      <c r="I617" s="490"/>
    </row>
    <row r="618" spans="1:9">
      <c r="A618" s="482"/>
      <c r="B618" s="482"/>
      <c r="C618" s="482"/>
      <c r="D618" s="1318"/>
      <c r="E618" s="1318"/>
      <c r="F618" s="1318"/>
      <c r="I618" s="490"/>
    </row>
    <row r="619" spans="1:9">
      <c r="C619" s="483"/>
      <c r="D619" s="1288" t="s">
        <v>1109</v>
      </c>
      <c r="E619" s="1288"/>
      <c r="F619" s="1288"/>
      <c r="I619" s="490"/>
    </row>
    <row r="620" spans="1:9">
      <c r="C620" s="483"/>
      <c r="D620" s="444"/>
      <c r="E620" s="444"/>
      <c r="F620" s="444"/>
      <c r="I620" s="490"/>
    </row>
    <row r="621" spans="1:9">
      <c r="B621" s="485" t="s">
        <v>306</v>
      </c>
      <c r="C621" s="483"/>
      <c r="D621" s="1287" t="s">
        <v>2602</v>
      </c>
      <c r="E621" s="1287"/>
      <c r="F621" s="1287"/>
      <c r="I621" s="490"/>
    </row>
    <row r="622" spans="1:9">
      <c r="C622" s="483"/>
      <c r="D622" s="444"/>
      <c r="E622" s="444"/>
      <c r="F622" s="444"/>
      <c r="I622" s="490"/>
    </row>
    <row r="623" spans="1:9" ht="12.75" customHeight="1">
      <c r="A623" s="490"/>
      <c r="B623" s="485" t="s">
        <v>306</v>
      </c>
      <c r="D623" s="1305" t="s">
        <v>1110</v>
      </c>
      <c r="E623" s="1305"/>
      <c r="F623" s="1305"/>
      <c r="I623" s="490"/>
    </row>
    <row r="624" spans="1:9">
      <c r="D624" s="1305"/>
      <c r="E624" s="1305"/>
      <c r="F624" s="1305"/>
      <c r="I624" s="490"/>
    </row>
    <row r="625" spans="1:9">
      <c r="I625" s="490"/>
    </row>
    <row r="626" spans="1:9">
      <c r="B626" s="485" t="s">
        <v>306</v>
      </c>
      <c r="D626" s="1305" t="s">
        <v>1111</v>
      </c>
      <c r="E626" s="1305"/>
      <c r="F626" s="1305"/>
      <c r="I626" s="490"/>
    </row>
    <row r="627" spans="1:9">
      <c r="C627" s="500"/>
      <c r="D627" s="1305"/>
      <c r="E627" s="1305"/>
      <c r="F627" s="1305"/>
      <c r="I627" s="490"/>
    </row>
    <row r="628" spans="1:9">
      <c r="C628" s="500"/>
      <c r="I628" s="490"/>
    </row>
    <row r="629" spans="1:9">
      <c r="B629" s="485" t="s">
        <v>306</v>
      </c>
      <c r="C629" s="500"/>
      <c r="D629" s="1305" t="s">
        <v>1112</v>
      </c>
      <c r="E629" s="1305"/>
      <c r="F629" s="1305"/>
      <c r="I629" s="490"/>
    </row>
    <row r="630" spans="1:9">
      <c r="C630" s="500"/>
      <c r="D630" s="1305"/>
      <c r="E630" s="1305"/>
      <c r="F630" s="1305"/>
      <c r="I630" s="500"/>
    </row>
    <row r="631" spans="1:9">
      <c r="C631" s="500"/>
      <c r="I631" s="490"/>
    </row>
    <row r="632" spans="1:9">
      <c r="B632" s="485" t="s">
        <v>306</v>
      </c>
      <c r="C632" s="500"/>
      <c r="D632" s="1287" t="s">
        <v>2547</v>
      </c>
      <c r="E632" s="1287"/>
      <c r="F632" s="1287"/>
      <c r="I632" s="490"/>
    </row>
    <row r="633" spans="1:9">
      <c r="C633" s="500"/>
      <c r="I633" s="490"/>
    </row>
    <row r="634" spans="1:9">
      <c r="A634" s="1307" t="s">
        <v>1056</v>
      </c>
      <c r="B634" s="1307"/>
      <c r="C634" s="1307"/>
      <c r="D634" s="1307"/>
      <c r="E634" s="1307"/>
      <c r="F634" s="1307"/>
      <c r="G634" s="1307"/>
      <c r="H634" s="1023"/>
      <c r="I634" s="1147"/>
    </row>
    <row r="635" spans="1:9">
      <c r="A635" s="482"/>
      <c r="B635" s="482"/>
      <c r="C635" s="482"/>
      <c r="I635" s="490"/>
    </row>
    <row r="636" spans="1:9">
      <c r="C636" s="490"/>
      <c r="D636" s="1309" t="s">
        <v>1113</v>
      </c>
      <c r="E636" s="1309"/>
      <c r="F636" s="1309"/>
      <c r="I636" s="490"/>
    </row>
    <row r="637" spans="1:9">
      <c r="A637" s="490"/>
      <c r="B637" s="490"/>
      <c r="D637" s="404"/>
      <c r="I637" s="490"/>
    </row>
    <row r="638" spans="1:9" ht="14.25" customHeight="1">
      <c r="A638" s="484"/>
      <c r="B638" s="485" t="s">
        <v>306</v>
      </c>
      <c r="D638" s="1323" t="s">
        <v>2023</v>
      </c>
      <c r="E638" s="1323"/>
      <c r="F638" s="1323"/>
      <c r="I638" s="490"/>
    </row>
    <row r="639" spans="1:9">
      <c r="D639" s="1323"/>
      <c r="E639" s="1323"/>
      <c r="F639" s="1323"/>
      <c r="I639" s="490"/>
    </row>
    <row r="640" spans="1:9">
      <c r="D640" s="385"/>
      <c r="E640" s="1031" t="s">
        <v>1883</v>
      </c>
      <c r="F640" s="385"/>
      <c r="I640" s="490"/>
    </row>
    <row r="641" spans="1:9">
      <c r="D641" s="1306" t="s">
        <v>1882</v>
      </c>
      <c r="E641" s="1306"/>
      <c r="F641" s="1306"/>
      <c r="I641" s="490"/>
    </row>
    <row r="642" spans="1:9">
      <c r="D642" s="1306"/>
      <c r="E642" s="1306"/>
      <c r="F642" s="1306"/>
      <c r="I642" s="490"/>
    </row>
    <row r="643" spans="1:9">
      <c r="D643" s="1306"/>
      <c r="E643" s="1306"/>
      <c r="F643" s="1306"/>
      <c r="I643" s="490"/>
    </row>
    <row r="644" spans="1:9">
      <c r="D644" s="445"/>
      <c r="E644" s="445"/>
      <c r="F644" s="445"/>
      <c r="I644" s="490"/>
    </row>
    <row r="645" spans="1:9">
      <c r="A645" s="484"/>
      <c r="B645" s="485" t="s">
        <v>306</v>
      </c>
      <c r="D645" s="1306" t="s">
        <v>1114</v>
      </c>
      <c r="E645" s="1306"/>
      <c r="F645" s="1306"/>
      <c r="I645" s="490"/>
    </row>
    <row r="646" spans="1:9">
      <c r="A646" s="487"/>
      <c r="B646" s="487"/>
      <c r="C646" s="487"/>
      <c r="D646" s="1306"/>
      <c r="E646" s="1306"/>
      <c r="F646" s="1306"/>
      <c r="I646" s="490"/>
    </row>
    <row r="647" spans="1:9">
      <c r="A647" s="487"/>
      <c r="B647" s="487"/>
      <c r="C647" s="487"/>
      <c r="D647" s="446"/>
      <c r="E647" s="446"/>
      <c r="F647" s="446"/>
      <c r="I647" s="490"/>
    </row>
    <row r="648" spans="1:9">
      <c r="A648" s="484"/>
      <c r="B648" s="485" t="s">
        <v>306</v>
      </c>
      <c r="C648" s="487"/>
      <c r="D648" s="1306" t="s">
        <v>1224</v>
      </c>
      <c r="E648" s="1306"/>
      <c r="F648" s="1306"/>
      <c r="I648" s="490"/>
    </row>
    <row r="649" spans="1:9">
      <c r="A649" s="484"/>
      <c r="B649" s="484"/>
      <c r="C649" s="487"/>
      <c r="D649" s="1306"/>
      <c r="E649" s="1306"/>
      <c r="F649" s="1306"/>
      <c r="I649" s="490"/>
    </row>
    <row r="650" spans="1:9">
      <c r="A650" s="484"/>
      <c r="B650" s="484"/>
      <c r="C650" s="487"/>
      <c r="D650" s="1306"/>
      <c r="E650" s="1306"/>
      <c r="F650" s="1306"/>
      <c r="I650" s="490"/>
    </row>
    <row r="651" spans="1:9">
      <c r="A651" s="487"/>
      <c r="B651" s="485" t="s">
        <v>306</v>
      </c>
      <c r="C651" s="487"/>
      <c r="D651" s="1308" t="s">
        <v>1115</v>
      </c>
      <c r="E651" s="1308"/>
      <c r="F651" s="1308"/>
      <c r="I651" s="490"/>
    </row>
    <row r="652" spans="1:9">
      <c r="A652" s="487"/>
      <c r="B652" s="487"/>
      <c r="C652" s="487"/>
      <c r="D652" s="446"/>
      <c r="E652" s="446"/>
      <c r="F652" s="446"/>
      <c r="I652" s="490"/>
    </row>
    <row r="653" spans="1:9">
      <c r="A653" s="1307" t="s">
        <v>1057</v>
      </c>
      <c r="B653" s="1307"/>
      <c r="C653" s="1307"/>
      <c r="D653" s="1307"/>
      <c r="E653" s="1307"/>
      <c r="F653" s="1307"/>
      <c r="G653" s="1307"/>
      <c r="H653" s="1023"/>
      <c r="I653" s="1147"/>
    </row>
    <row r="654" spans="1:9">
      <c r="A654" s="446"/>
      <c r="B654" s="446"/>
      <c r="C654" s="487"/>
      <c r="D654" s="446"/>
      <c r="E654" s="446"/>
      <c r="F654" s="446"/>
      <c r="I654" s="490"/>
    </row>
    <row r="655" spans="1:9">
      <c r="C655" s="482"/>
      <c r="D655" s="1309" t="s">
        <v>1145</v>
      </c>
      <c r="E655" s="1309"/>
      <c r="F655" s="1309"/>
      <c r="I655" s="490"/>
    </row>
    <row r="656" spans="1:9">
      <c r="A656" s="483"/>
      <c r="B656" s="483"/>
      <c r="C656" s="483"/>
      <c r="D656" s="1308" t="s">
        <v>1146</v>
      </c>
      <c r="E656" s="1308"/>
      <c r="F656" s="1308"/>
      <c r="I656" s="490"/>
    </row>
    <row r="657" spans="1:9">
      <c r="A657" s="483"/>
      <c r="B657" s="483"/>
      <c r="C657" s="483"/>
      <c r="D657" s="446"/>
      <c r="E657" s="446"/>
      <c r="F657" s="446"/>
      <c r="I657" s="490"/>
    </row>
    <row r="658" spans="1:9" ht="12.75" customHeight="1">
      <c r="B658" s="485" t="s">
        <v>306</v>
      </c>
      <c r="C658" s="487"/>
      <c r="D658" s="1306" t="s">
        <v>1280</v>
      </c>
      <c r="E658" s="1306"/>
      <c r="F658" s="1306"/>
      <c r="I658" s="490"/>
    </row>
    <row r="659" spans="1:9">
      <c r="D659" s="1306"/>
      <c r="E659" s="1306"/>
      <c r="F659" s="1306"/>
      <c r="I659" s="490"/>
    </row>
    <row r="660" spans="1:9">
      <c r="D660" s="1306"/>
      <c r="E660" s="1306"/>
      <c r="F660" s="1306"/>
      <c r="I660" s="490"/>
    </row>
    <row r="661" spans="1:9">
      <c r="D661" s="1306"/>
      <c r="E661" s="1306"/>
      <c r="F661" s="1306"/>
      <c r="I661" s="490"/>
    </row>
    <row r="662" spans="1:9" ht="14.5" customHeight="1">
      <c r="A662" s="484"/>
      <c r="B662" s="484"/>
      <c r="C662" s="487"/>
      <c r="D662" s="385"/>
      <c r="E662" s="385"/>
      <c r="F662" s="385"/>
      <c r="I662" s="490"/>
    </row>
    <row r="663" spans="1:9" ht="12.75" customHeight="1">
      <c r="A663" s="483"/>
      <c r="B663" s="485" t="s">
        <v>306</v>
      </c>
      <c r="C663" s="487"/>
      <c r="D663" s="1306" t="s">
        <v>1282</v>
      </c>
      <c r="E663" s="1306"/>
      <c r="F663" s="1306"/>
      <c r="I663" s="490"/>
    </row>
    <row r="664" spans="1:9">
      <c r="A664" s="483"/>
      <c r="B664" s="484"/>
      <c r="C664" s="487"/>
      <c r="D664" s="1306"/>
      <c r="E664" s="1306"/>
      <c r="F664" s="1306"/>
      <c r="I664" s="490"/>
    </row>
    <row r="665" spans="1:9">
      <c r="A665" s="483"/>
      <c r="B665" s="484"/>
      <c r="C665" s="487"/>
      <c r="D665" s="1306"/>
      <c r="E665" s="1306"/>
      <c r="F665" s="1306"/>
      <c r="I665" s="490"/>
    </row>
    <row r="666" spans="1:9">
      <c r="A666" s="483"/>
      <c r="B666" s="484"/>
      <c r="C666" s="487"/>
      <c r="D666" s="1306"/>
      <c r="E666" s="1306"/>
      <c r="F666" s="1306"/>
      <c r="I666" s="490"/>
    </row>
    <row r="667" spans="1:9">
      <c r="A667" s="483"/>
      <c r="B667" s="484"/>
      <c r="C667" s="487"/>
      <c r="D667" s="1306"/>
      <c r="E667" s="1306"/>
      <c r="F667" s="1306"/>
      <c r="I667" s="490"/>
    </row>
    <row r="668" spans="1:9" ht="14.25" customHeight="1">
      <c r="A668" s="483"/>
      <c r="B668" s="484"/>
      <c r="C668" s="487"/>
      <c r="F668" s="386"/>
      <c r="I668" s="490"/>
    </row>
    <row r="669" spans="1:9" ht="12.75" customHeight="1">
      <c r="A669" s="483"/>
      <c r="B669" s="485" t="s">
        <v>306</v>
      </c>
      <c r="C669" s="487"/>
      <c r="D669" s="1306" t="s">
        <v>1281</v>
      </c>
      <c r="E669" s="1306"/>
      <c r="F669" s="1306"/>
      <c r="I669" s="490"/>
    </row>
    <row r="670" spans="1:9">
      <c r="A670" s="483"/>
      <c r="B670" s="484"/>
      <c r="C670" s="487"/>
      <c r="D670" s="1306"/>
      <c r="E670" s="1306"/>
      <c r="F670" s="1306"/>
      <c r="I670" s="490"/>
    </row>
    <row r="671" spans="1:9">
      <c r="A671" s="484"/>
      <c r="B671" s="484"/>
      <c r="C671" s="487"/>
      <c r="D671" s="1306"/>
      <c r="E671" s="1306"/>
      <c r="F671" s="1306"/>
      <c r="I671" s="490"/>
    </row>
    <row r="672" spans="1:9">
      <c r="A672" s="484"/>
      <c r="B672" s="484"/>
      <c r="C672" s="487"/>
      <c r="D672" s="1306"/>
      <c r="E672" s="1306"/>
      <c r="F672" s="1306"/>
      <c r="I672" s="490"/>
    </row>
    <row r="673" spans="1:11">
      <c r="A673" s="484"/>
      <c r="B673" s="484"/>
      <c r="C673" s="487"/>
      <c r="D673" s="445"/>
      <c r="E673" s="445"/>
      <c r="F673" s="445"/>
      <c r="I673" s="490"/>
    </row>
    <row r="674" spans="1:11" ht="12.75" customHeight="1">
      <c r="A674" s="483"/>
      <c r="B674" s="485" t="s">
        <v>306</v>
      </c>
      <c r="C674" s="487"/>
      <c r="D674" s="1306" t="s">
        <v>2024</v>
      </c>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ht="12.75" customHeight="1">
      <c r="A678" s="483"/>
      <c r="B678" s="484"/>
      <c r="C678" s="487"/>
      <c r="D678" s="1306"/>
      <c r="E678" s="1306"/>
      <c r="F678" s="1306"/>
      <c r="I678" s="490"/>
    </row>
    <row r="679" spans="1:11" ht="12.75" customHeight="1">
      <c r="A679" s="483"/>
      <c r="B679" s="484"/>
      <c r="C679" s="487"/>
      <c r="D679" s="1306"/>
      <c r="E679" s="1306"/>
      <c r="F679" s="1306"/>
      <c r="I679" s="490"/>
    </row>
    <row r="680" spans="1:11" ht="12.75" customHeight="1">
      <c r="A680" s="483"/>
      <c r="B680" s="484"/>
      <c r="C680" s="487"/>
      <c r="D680" s="1306"/>
      <c r="E680" s="1306"/>
      <c r="F680" s="1306"/>
      <c r="I680" s="490"/>
    </row>
    <row r="681" spans="1:11" ht="12.75" customHeight="1">
      <c r="A681" s="483"/>
      <c r="B681" s="484"/>
      <c r="C681" s="487"/>
      <c r="D681" s="1306"/>
      <c r="E681" s="1306"/>
      <c r="F681" s="1306"/>
      <c r="I681" s="490"/>
    </row>
    <row r="682" spans="1:11" ht="12.75" customHeight="1">
      <c r="A682" s="483"/>
      <c r="B682" s="484"/>
      <c r="C682" s="487"/>
      <c r="D682" s="1306"/>
      <c r="E682" s="1306"/>
      <c r="F682" s="1306"/>
      <c r="I682" s="490"/>
    </row>
    <row r="683" spans="1:11">
      <c r="A683" s="487"/>
      <c r="B683" s="487"/>
      <c r="C683" s="487"/>
      <c r="D683" s="446"/>
      <c r="E683" s="446"/>
      <c r="F683" s="446"/>
      <c r="I683" s="490"/>
    </row>
    <row r="684" spans="1:11">
      <c r="A684" s="1307" t="s">
        <v>1058</v>
      </c>
      <c r="B684" s="1307"/>
      <c r="C684" s="1307"/>
      <c r="D684" s="1307"/>
      <c r="E684" s="1307"/>
      <c r="F684" s="1307"/>
      <c r="G684" s="1307"/>
      <c r="H684" s="1025"/>
      <c r="I684" s="1151"/>
      <c r="J684" s="501"/>
      <c r="K684" s="501"/>
    </row>
    <row r="685" spans="1:11">
      <c r="A685" s="448"/>
      <c r="B685" s="448"/>
      <c r="C685" s="448"/>
      <c r="D685" s="448"/>
      <c r="E685" s="448"/>
      <c r="F685" s="448"/>
      <c r="G685" s="448"/>
      <c r="H685" s="501"/>
      <c r="I685" s="483"/>
      <c r="J685" s="501"/>
      <c r="K685" s="501"/>
    </row>
    <row r="686" spans="1:11">
      <c r="C686" s="482"/>
      <c r="D686" s="1309" t="s">
        <v>99</v>
      </c>
      <c r="E686" s="1309"/>
      <c r="F686" s="1309"/>
      <c r="H686" s="501"/>
      <c r="I686" s="483"/>
      <c r="J686" s="501"/>
      <c r="K686" s="501"/>
    </row>
    <row r="687" spans="1:11">
      <c r="A687" s="482"/>
      <c r="B687" s="482"/>
      <c r="C687" s="482"/>
      <c r="D687" s="1309" t="s">
        <v>123</v>
      </c>
      <c r="E687" s="1309"/>
      <c r="F687" s="1309"/>
      <c r="H687" s="501"/>
      <c r="I687" s="483"/>
      <c r="J687" s="501"/>
      <c r="K687" s="501"/>
    </row>
    <row r="688" spans="1:11">
      <c r="A688" s="483"/>
      <c r="B688" s="483"/>
      <c r="C688" s="483"/>
      <c r="D688" s="1308" t="s">
        <v>1075</v>
      </c>
      <c r="E688" s="1308"/>
      <c r="F688" s="1308"/>
      <c r="H688" s="501"/>
      <c r="I688" s="483"/>
      <c r="J688" s="501"/>
      <c r="K688" s="501"/>
    </row>
    <row r="689" spans="1:11">
      <c r="A689" s="483"/>
      <c r="B689" s="483"/>
      <c r="C689" s="483"/>
      <c r="H689" s="501"/>
      <c r="I689" s="483"/>
      <c r="J689" s="501"/>
      <c r="K689" s="501"/>
    </row>
    <row r="690" spans="1:11">
      <c r="A690" s="484"/>
      <c r="B690" s="485" t="s">
        <v>306</v>
      </c>
      <c r="C690" s="483"/>
      <c r="D690" s="1308" t="s">
        <v>884</v>
      </c>
      <c r="E690" s="1308"/>
      <c r="F690" s="1308"/>
      <c r="H690" s="501"/>
      <c r="I690" s="483"/>
      <c r="J690" s="501"/>
      <c r="K690" s="501"/>
    </row>
    <row r="691" spans="1:11">
      <c r="A691" s="483"/>
      <c r="B691" s="483"/>
      <c r="C691" s="483"/>
      <c r="D691" s="1308" t="s">
        <v>893</v>
      </c>
      <c r="E691" s="1308"/>
      <c r="F691" s="1308"/>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c r="A695" s="484"/>
      <c r="B695" s="485" t="s">
        <v>306</v>
      </c>
      <c r="C695" s="483"/>
      <c r="D695" s="1306" t="s">
        <v>2025</v>
      </c>
      <c r="E695" s="1306"/>
      <c r="F695" s="1306"/>
      <c r="H695" s="501"/>
      <c r="I695" s="483"/>
      <c r="J695" s="501"/>
      <c r="K695" s="501"/>
    </row>
    <row r="696" spans="1:11">
      <c r="A696" s="490"/>
      <c r="B696" s="490"/>
      <c r="C696" s="483"/>
      <c r="D696" s="1306"/>
      <c r="E696" s="1306"/>
      <c r="F696" s="1306"/>
      <c r="H696" s="501"/>
      <c r="I696" s="483"/>
      <c r="J696" s="501"/>
      <c r="K696" s="501"/>
    </row>
    <row r="697" spans="1:11">
      <c r="A697" s="483"/>
      <c r="B697" s="483"/>
      <c r="C697" s="483"/>
      <c r="D697" s="1306"/>
      <c r="E697" s="1306"/>
      <c r="F697" s="1306"/>
      <c r="H697" s="501"/>
      <c r="I697" s="483"/>
      <c r="J697" s="501"/>
      <c r="K697" s="501"/>
    </row>
    <row r="698" spans="1:11">
      <c r="A698" s="483"/>
      <c r="B698" s="483"/>
      <c r="C698" s="483"/>
      <c r="H698" s="501"/>
      <c r="J698" s="501"/>
      <c r="K698" s="501"/>
    </row>
    <row r="699" spans="1:11">
      <c r="A699" s="484"/>
      <c r="B699" s="485" t="s">
        <v>306</v>
      </c>
      <c r="C699" s="483"/>
      <c r="D699" s="1308" t="s">
        <v>916</v>
      </c>
      <c r="E699" s="1308"/>
      <c r="F699" s="1308"/>
      <c r="H699" s="501"/>
      <c r="I699" s="483"/>
      <c r="J699" s="501"/>
      <c r="K699" s="501"/>
    </row>
    <row r="700" spans="1:11">
      <c r="A700" s="484"/>
      <c r="B700" s="484"/>
      <c r="C700" s="483"/>
      <c r="D700" s="1308" t="s">
        <v>893</v>
      </c>
      <c r="E700" s="1308"/>
      <c r="F700" s="1308"/>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c r="A703" s="484"/>
      <c r="B703" s="485" t="s">
        <v>306</v>
      </c>
      <c r="C703" s="483"/>
      <c r="D703" s="1308" t="s">
        <v>2398</v>
      </c>
      <c r="E703" s="1308"/>
      <c r="F703" s="1308"/>
      <c r="H703" s="501"/>
      <c r="I703" s="483"/>
      <c r="J703" s="501"/>
      <c r="K703" s="501"/>
    </row>
    <row r="704" spans="1:11">
      <c r="A704" s="484"/>
      <c r="B704" s="484"/>
      <c r="C704" s="483"/>
      <c r="D704" s="1308" t="s">
        <v>893</v>
      </c>
      <c r="E704" s="1308"/>
      <c r="F704" s="1308"/>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c r="A707" s="484"/>
      <c r="B707" s="485" t="s">
        <v>306</v>
      </c>
      <c r="C707" s="483"/>
      <c r="D707" s="1306" t="s">
        <v>2196</v>
      </c>
      <c r="E707" s="1306"/>
      <c r="F707" s="1306"/>
      <c r="H707" s="501"/>
      <c r="I707" s="483"/>
      <c r="J707" s="501"/>
      <c r="K707" s="501"/>
    </row>
    <row r="708" spans="1:11">
      <c r="A708" s="483"/>
      <c r="B708" s="483"/>
      <c r="C708" s="483"/>
      <c r="D708" s="1306"/>
      <c r="E708" s="1306"/>
      <c r="F708" s="1306"/>
      <c r="H708" s="501"/>
      <c r="I708" s="483"/>
      <c r="J708" s="501"/>
      <c r="K708" s="501"/>
    </row>
    <row r="709" spans="1:11">
      <c r="A709" s="483"/>
      <c r="B709" s="483"/>
      <c r="C709" s="483"/>
      <c r="D709" s="1306"/>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1306"/>
      <c r="E711" s="1306"/>
      <c r="F711" s="1306"/>
      <c r="H711" s="501"/>
      <c r="I711" s="483"/>
      <c r="J711" s="501"/>
      <c r="K711" s="501"/>
    </row>
    <row r="712" spans="1:11">
      <c r="A712" s="483"/>
      <c r="B712" s="483"/>
      <c r="C712" s="483"/>
      <c r="D712" s="1306"/>
      <c r="E712" s="1306"/>
      <c r="F712" s="1306"/>
      <c r="H712" s="501"/>
      <c r="I712" s="483"/>
      <c r="J712" s="501"/>
      <c r="K712" s="501"/>
    </row>
    <row r="713" spans="1:11">
      <c r="A713" s="483"/>
      <c r="B713" s="483"/>
      <c r="C713" s="483"/>
      <c r="D713" s="445"/>
      <c r="E713" s="445"/>
      <c r="F713" s="445"/>
      <c r="H713" s="501"/>
      <c r="I713" s="483"/>
      <c r="J713" s="501"/>
      <c r="K713" s="501"/>
    </row>
    <row r="714" spans="1:11">
      <c r="A714" s="483"/>
      <c r="B714" s="485" t="s">
        <v>306</v>
      </c>
      <c r="C714" s="483"/>
      <c r="D714" s="1306" t="s">
        <v>1200</v>
      </c>
      <c r="E714" s="1306"/>
      <c r="F714" s="1306"/>
      <c r="H714" s="501"/>
      <c r="I714" s="483"/>
      <c r="J714" s="501"/>
      <c r="K714" s="501"/>
    </row>
    <row r="715" spans="1:11">
      <c r="A715" s="483"/>
      <c r="B715" s="483"/>
      <c r="C715" s="483"/>
      <c r="D715" s="1306"/>
      <c r="E715" s="1306"/>
      <c r="F715" s="1306"/>
      <c r="H715" s="501"/>
      <c r="I715" s="483"/>
      <c r="J715" s="501"/>
      <c r="K715" s="501"/>
    </row>
    <row r="716" spans="1:11">
      <c r="A716" s="483"/>
      <c r="B716" s="483"/>
      <c r="C716" s="483"/>
      <c r="D716" s="445"/>
      <c r="E716" s="445"/>
      <c r="F716" s="445"/>
      <c r="H716" s="501"/>
      <c r="I716" s="483"/>
      <c r="J716" s="501"/>
      <c r="K716" s="501"/>
    </row>
    <row r="717" spans="1:11">
      <c r="A717" s="484"/>
      <c r="B717" s="485" t="s">
        <v>306</v>
      </c>
      <c r="C717" s="483"/>
      <c r="D717" s="1306" t="s">
        <v>1076</v>
      </c>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ht="15" customHeight="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ht="15" customHeight="1">
      <c r="A725" s="483"/>
      <c r="B725" s="483"/>
      <c r="C725" s="483"/>
      <c r="D725" s="1306"/>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1306"/>
      <c r="E728" s="1306"/>
      <c r="F728" s="1306"/>
      <c r="H728" s="501"/>
      <c r="I728" s="483"/>
      <c r="J728" s="501"/>
      <c r="K728" s="501"/>
    </row>
    <row r="729" spans="1:11">
      <c r="A729" s="483"/>
      <c r="B729" s="483"/>
      <c r="C729" s="483"/>
      <c r="D729" s="1306"/>
      <c r="E729" s="1306"/>
      <c r="F729" s="1306"/>
      <c r="H729" s="501"/>
      <c r="I729" s="483"/>
      <c r="J729" s="501"/>
      <c r="K729" s="501"/>
    </row>
    <row r="730" spans="1:11">
      <c r="A730" s="483"/>
      <c r="B730" s="485" t="s">
        <v>306</v>
      </c>
      <c r="C730" s="483"/>
      <c r="D730" s="1306" t="s">
        <v>2391</v>
      </c>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D732" s="1306"/>
      <c r="E732" s="1306"/>
      <c r="F732" s="1306"/>
      <c r="H732" s="501"/>
      <c r="I732" s="483"/>
      <c r="J732" s="501"/>
      <c r="K732" s="501"/>
    </row>
    <row r="733" spans="1:11">
      <c r="A733" s="483"/>
      <c r="B733" s="483"/>
      <c r="C733" s="483"/>
      <c r="D733" s="445"/>
      <c r="E733" s="445"/>
      <c r="F733" s="445"/>
      <c r="H733" s="501"/>
      <c r="I733" s="483"/>
      <c r="J733" s="501"/>
      <c r="K733" s="501"/>
    </row>
    <row r="734" spans="1:11">
      <c r="A734" s="483"/>
      <c r="B734" s="485" t="s">
        <v>306</v>
      </c>
      <c r="C734" s="483"/>
      <c r="D734" s="1306" t="s">
        <v>2390</v>
      </c>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c r="A738" s="483"/>
      <c r="B738" s="485" t="s">
        <v>306</v>
      </c>
      <c r="C738" s="483"/>
      <c r="D738" s="1306" t="s">
        <v>2389</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H742" s="501"/>
      <c r="I742" s="483"/>
      <c r="J742" s="501"/>
      <c r="K742" s="501"/>
    </row>
    <row r="743" spans="1:11">
      <c r="A743" s="484"/>
      <c r="B743" s="485" t="s">
        <v>306</v>
      </c>
      <c r="C743" s="483"/>
      <c r="D743" s="1306" t="s">
        <v>1077</v>
      </c>
      <c r="E743" s="1306"/>
      <c r="F743" s="1306"/>
      <c r="H743" s="501"/>
      <c r="I743" s="483"/>
      <c r="J743" s="501"/>
      <c r="K743" s="501"/>
    </row>
    <row r="744" spans="1:11">
      <c r="A744" s="483"/>
      <c r="B744" s="483"/>
      <c r="C744" s="483"/>
      <c r="D744" s="1306"/>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492"/>
      <c r="H748" s="501"/>
      <c r="I748" s="483"/>
      <c r="J748" s="501"/>
      <c r="K748" s="501"/>
    </row>
    <row r="749" spans="1:11">
      <c r="A749" s="484"/>
      <c r="B749" s="485" t="s">
        <v>306</v>
      </c>
      <c r="C749" s="483"/>
      <c r="D749" s="1306" t="s">
        <v>2099</v>
      </c>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6"/>
      <c r="E751" s="1306"/>
      <c r="F751" s="1306"/>
      <c r="H751" s="501"/>
      <c r="I751" s="483"/>
      <c r="J751" s="501"/>
      <c r="K751" s="501"/>
    </row>
    <row r="752" spans="1:11">
      <c r="A752" s="483"/>
      <c r="B752" s="483"/>
      <c r="C752" s="483"/>
      <c r="D752" s="1306"/>
      <c r="E752" s="1306"/>
      <c r="F752" s="1306"/>
      <c r="H752" s="501"/>
      <c r="I752" s="483"/>
      <c r="J752" s="501"/>
      <c r="K752" s="501"/>
    </row>
    <row r="753" spans="1:11">
      <c r="A753" s="483"/>
      <c r="B753" s="483"/>
      <c r="C753" s="483"/>
      <c r="D753" s="1306"/>
      <c r="E753" s="1306"/>
      <c r="F753" s="1306"/>
      <c r="H753" s="501"/>
      <c r="I753" s="483"/>
      <c r="J753" s="501"/>
      <c r="K753" s="501"/>
    </row>
    <row r="754" spans="1:11">
      <c r="A754" s="483"/>
      <c r="B754" s="483"/>
      <c r="C754" s="483"/>
      <c r="D754" s="1306"/>
      <c r="E754" s="1306"/>
      <c r="F754" s="1306"/>
      <c r="H754" s="501"/>
      <c r="I754" s="483"/>
      <c r="J754" s="501"/>
      <c r="K754" s="501"/>
    </row>
    <row r="755" spans="1:11">
      <c r="A755" s="483"/>
      <c r="B755" s="483"/>
      <c r="C755" s="483"/>
      <c r="D755" s="1306"/>
      <c r="E755" s="1306"/>
      <c r="F755" s="1306"/>
      <c r="H755" s="501"/>
      <c r="I755" s="483"/>
      <c r="J755" s="501"/>
      <c r="K755" s="501"/>
    </row>
    <row r="756" spans="1:11">
      <c r="A756" s="483"/>
      <c r="B756" s="483"/>
      <c r="C756" s="483"/>
      <c r="D756" s="1311" t="s">
        <v>2612</v>
      </c>
      <c r="E756" s="1311"/>
      <c r="F756" s="1311"/>
      <c r="H756" s="501"/>
      <c r="I756" s="483"/>
      <c r="J756" s="501"/>
      <c r="K756" s="501"/>
    </row>
    <row r="757" spans="1:11">
      <c r="A757" s="483"/>
      <c r="B757" s="483"/>
      <c r="C757" s="483"/>
      <c r="D757" s="341"/>
      <c r="H757" s="501"/>
      <c r="I757" s="483"/>
      <c r="J757" s="501"/>
      <c r="K757" s="501"/>
    </row>
    <row r="758" spans="1:11">
      <c r="A758" s="1310" t="s">
        <v>1059</v>
      </c>
      <c r="B758" s="1310"/>
      <c r="C758" s="1310"/>
      <c r="D758" s="1310"/>
      <c r="E758" s="1310"/>
      <c r="F758" s="1310"/>
      <c r="G758" s="1310"/>
      <c r="H758" s="1025"/>
      <c r="I758" s="1151"/>
      <c r="J758" s="501"/>
      <c r="K758" s="501"/>
    </row>
    <row r="759" spans="1:11">
      <c r="A759" s="483"/>
      <c r="B759" s="483"/>
      <c r="C759" s="483"/>
      <c r="D759" s="492"/>
      <c r="G759" s="501"/>
      <c r="H759" s="501"/>
      <c r="I759" s="483"/>
      <c r="J759" s="501"/>
      <c r="K759" s="501"/>
    </row>
    <row r="760" spans="1:11" ht="13.75" customHeight="1">
      <c r="C760" s="483"/>
      <c r="D760" s="1326" t="s">
        <v>1069</v>
      </c>
      <c r="E760" s="1326"/>
      <c r="F760" s="1326"/>
      <c r="G760" s="501"/>
      <c r="H760" s="501"/>
      <c r="I760" s="483"/>
      <c r="J760" s="501"/>
      <c r="K760" s="501"/>
    </row>
    <row r="761" spans="1:11">
      <c r="A761" s="483"/>
      <c r="B761" s="483"/>
      <c r="C761" s="483"/>
      <c r="D761" s="1312" t="s">
        <v>1070</v>
      </c>
      <c r="E761" s="1312"/>
      <c r="F761" s="1312"/>
      <c r="G761" s="501"/>
      <c r="H761" s="501"/>
      <c r="I761" s="483"/>
      <c r="J761" s="501"/>
      <c r="K761" s="501"/>
    </row>
    <row r="762" spans="1:11">
      <c r="A762" s="483"/>
      <c r="B762" s="483"/>
      <c r="C762" s="483"/>
      <c r="G762" s="501"/>
      <c r="H762" s="501"/>
      <c r="I762" s="483"/>
      <c r="J762" s="501"/>
      <c r="K762" s="501"/>
    </row>
    <row r="763" spans="1:11">
      <c r="A763" s="484"/>
      <c r="B763" s="485" t="s">
        <v>306</v>
      </c>
      <c r="D763" s="1306" t="s">
        <v>1071</v>
      </c>
      <c r="E763" s="1306"/>
      <c r="F763" s="1306"/>
      <c r="G763" s="501"/>
      <c r="H763" s="501"/>
      <c r="I763" s="483"/>
      <c r="J763" s="501"/>
      <c r="K763" s="501"/>
    </row>
    <row r="764" spans="1:11" ht="10.5" customHeight="1">
      <c r="D764" s="1306"/>
      <c r="E764" s="1306"/>
      <c r="F764" s="1306"/>
      <c r="G764" s="501"/>
      <c r="H764" s="501"/>
      <c r="I764" s="483"/>
      <c r="J764" s="501"/>
      <c r="K764" s="501"/>
    </row>
    <row r="765" spans="1:11">
      <c r="D765" s="1306"/>
      <c r="E765" s="1306"/>
      <c r="F765" s="1306"/>
      <c r="G765" s="501"/>
      <c r="H765" s="501"/>
      <c r="I765" s="483"/>
      <c r="J765" s="501"/>
      <c r="K765" s="501"/>
    </row>
    <row r="766" spans="1:11">
      <c r="D766" s="1306"/>
      <c r="E766" s="1306"/>
      <c r="F766" s="1306"/>
      <c r="G766" s="501"/>
      <c r="H766" s="501"/>
      <c r="I766" s="483"/>
      <c r="J766" s="501"/>
      <c r="K766" s="501"/>
    </row>
    <row r="767" spans="1:11">
      <c r="D767" s="1306"/>
      <c r="E767" s="1306"/>
      <c r="F767" s="1306"/>
      <c r="G767" s="501"/>
      <c r="H767" s="501"/>
      <c r="I767" s="483"/>
      <c r="J767" s="501"/>
      <c r="K767" s="501"/>
    </row>
    <row r="768" spans="1:11" ht="15.65" customHeight="1">
      <c r="D768" s="1306"/>
      <c r="E768" s="1306"/>
      <c r="F768" s="1306"/>
      <c r="G768" s="501"/>
      <c r="H768" s="501"/>
      <c r="I768" s="483"/>
      <c r="J768" s="501"/>
      <c r="K768" s="501"/>
    </row>
    <row r="769" spans="1:11">
      <c r="D769" s="499"/>
      <c r="E769" s="446"/>
      <c r="F769" s="446"/>
      <c r="G769" s="501"/>
      <c r="H769" s="501"/>
      <c r="I769" s="483"/>
      <c r="J769" s="501"/>
      <c r="K769" s="501"/>
    </row>
    <row r="770" spans="1:11" s="505" customFormat="1">
      <c r="A770" s="503"/>
      <c r="B770" s="485" t="s">
        <v>306</v>
      </c>
      <c r="C770" s="504"/>
      <c r="D770" s="1306" t="s">
        <v>1240</v>
      </c>
      <c r="E770" s="1306"/>
      <c r="F770" s="1306"/>
      <c r="I770" s="1152"/>
    </row>
    <row r="771" spans="1:11" s="505" customFormat="1">
      <c r="A771" s="504"/>
      <c r="B771" s="504"/>
      <c r="C771" s="504"/>
      <c r="D771" s="1306"/>
      <c r="E771" s="1306"/>
      <c r="F771" s="1306"/>
      <c r="I771" s="1152"/>
    </row>
    <row r="772" spans="1:11" s="505" customFormat="1">
      <c r="A772" s="504"/>
      <c r="B772" s="504"/>
      <c r="C772" s="504"/>
      <c r="D772" s="1306"/>
      <c r="E772" s="1306"/>
      <c r="F772" s="1306"/>
      <c r="I772" s="1152"/>
    </row>
    <row r="773" spans="1:11" s="505" customFormat="1">
      <c r="A773" s="504"/>
      <c r="B773" s="504"/>
      <c r="C773" s="504"/>
      <c r="D773" s="1306"/>
      <c r="E773" s="1306"/>
      <c r="F773" s="1306"/>
      <c r="I773" s="1152"/>
    </row>
    <row r="774" spans="1:11" s="505" customFormat="1">
      <c r="A774" s="504"/>
      <c r="B774" s="504"/>
      <c r="C774" s="504"/>
      <c r="D774" s="499"/>
      <c r="I774" s="1152"/>
    </row>
    <row r="775" spans="1:11" s="505" customFormat="1">
      <c r="A775" s="484"/>
      <c r="B775" s="485" t="s">
        <v>306</v>
      </c>
      <c r="C775" s="504"/>
      <c r="D775" s="1305" t="s">
        <v>1241</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c r="A779" s="484"/>
      <c r="B779" s="485" t="s">
        <v>306</v>
      </c>
      <c r="D779" s="1306" t="s">
        <v>1197</v>
      </c>
      <c r="E779" s="1306"/>
      <c r="F779" s="1306"/>
      <c r="G779" s="501"/>
      <c r="H779" s="501"/>
      <c r="I779" s="483"/>
      <c r="J779" s="501"/>
      <c r="K779" s="501"/>
    </row>
    <row r="780" spans="1:11">
      <c r="D780" s="1306"/>
      <c r="E780" s="1306"/>
      <c r="F780" s="1306"/>
      <c r="G780" s="501"/>
      <c r="H780" s="501"/>
      <c r="I780" s="483"/>
      <c r="J780" s="501"/>
      <c r="K780" s="501"/>
    </row>
    <row r="781" spans="1:11">
      <c r="D781" s="445"/>
      <c r="E781" s="445"/>
      <c r="F781" s="445"/>
      <c r="G781" s="501"/>
      <c r="H781" s="501"/>
      <c r="I781" s="483"/>
      <c r="J781" s="501"/>
      <c r="K781" s="501"/>
    </row>
    <row r="782" spans="1:11">
      <c r="B782" s="485" t="s">
        <v>306</v>
      </c>
      <c r="D782" s="1306" t="s">
        <v>1214</v>
      </c>
      <c r="E782" s="1306"/>
      <c r="F782" s="1306"/>
      <c r="G782" s="501"/>
      <c r="H782" s="501"/>
      <c r="I782" s="483"/>
      <c r="J782" s="501"/>
      <c r="K782" s="501"/>
    </row>
    <row r="783" spans="1:11">
      <c r="D783" s="1306"/>
      <c r="E783" s="1306"/>
      <c r="F783" s="1306"/>
      <c r="G783" s="501"/>
      <c r="H783" s="501"/>
      <c r="I783" s="483"/>
      <c r="J783" s="501"/>
      <c r="K783" s="501"/>
    </row>
    <row r="784" spans="1:11">
      <c r="D784" s="1306"/>
      <c r="E784" s="1306"/>
      <c r="F784" s="1306"/>
      <c r="G784" s="501"/>
      <c r="H784" s="501"/>
      <c r="I784" s="483"/>
      <c r="J784" s="501"/>
      <c r="K784" s="501"/>
    </row>
    <row r="785" spans="1:11">
      <c r="D785" s="445"/>
      <c r="E785" s="445"/>
      <c r="F785" s="445"/>
      <c r="G785" s="501"/>
      <c r="H785" s="501"/>
      <c r="I785" s="483"/>
      <c r="J785" s="501"/>
      <c r="K785" s="501"/>
    </row>
    <row r="786" spans="1:11" hidden="1">
      <c r="A786" s="1325" t="s">
        <v>1789</v>
      </c>
      <c r="B786" s="1325"/>
      <c r="C786" s="1325"/>
      <c r="D786" s="1325"/>
      <c r="E786" s="1325"/>
      <c r="F786" s="1325"/>
      <c r="G786" s="1325"/>
      <c r="H786" s="1023"/>
      <c r="I786" s="1147"/>
    </row>
    <row r="787" spans="1:11" hidden="1">
      <c r="A787" s="57"/>
      <c r="B787" s="57"/>
      <c r="C787" s="354"/>
      <c r="D787" s="3"/>
      <c r="E787" s="3"/>
      <c r="F787" s="3"/>
      <c r="G787" s="3"/>
      <c r="I787" s="490"/>
    </row>
    <row r="788" spans="1:11" hidden="1">
      <c r="A788" s="57"/>
      <c r="B788" s="57"/>
      <c r="C788" s="354"/>
      <c r="D788" s="1324" t="s">
        <v>1829</v>
      </c>
      <c r="E788" s="1324"/>
      <c r="F788" s="1324"/>
      <c r="G788" s="3"/>
      <c r="I788" s="490"/>
    </row>
    <row r="789" spans="1:11" hidden="1">
      <c r="A789" s="57"/>
      <c r="B789" s="57"/>
      <c r="C789" s="354"/>
      <c r="D789" s="1316" t="s">
        <v>1743</v>
      </c>
      <c r="E789" s="1316"/>
      <c r="F789" s="1316"/>
      <c r="G789" s="3"/>
      <c r="I789" s="490"/>
    </row>
    <row r="790" spans="1:11" hidden="1">
      <c r="A790" s="57"/>
      <c r="B790" s="57"/>
      <c r="C790" s="354"/>
      <c r="D790" s="447"/>
      <c r="E790" s="447"/>
      <c r="F790" s="447"/>
      <c r="G790" s="3"/>
      <c r="I790" s="490"/>
    </row>
    <row r="791" spans="1:11" hidden="1">
      <c r="A791" s="57"/>
      <c r="B791" s="485" t="s">
        <v>306</v>
      </c>
      <c r="C791" s="354"/>
      <c r="D791" s="1298" t="s">
        <v>1744</v>
      </c>
      <c r="E791" s="1298"/>
      <c r="F791" s="1298"/>
      <c r="G791" s="3"/>
      <c r="I791" s="483"/>
    </row>
    <row r="792" spans="1:11" hidden="1">
      <c r="A792" s="57"/>
      <c r="B792" s="57"/>
      <c r="C792" s="354"/>
      <c r="D792" s="1298"/>
      <c r="E792" s="1298"/>
      <c r="F792" s="1298"/>
      <c r="G792" s="3"/>
      <c r="I792" s="490"/>
    </row>
    <row r="793" spans="1:11" hidden="1">
      <c r="A793" s="174"/>
      <c r="B793" s="174"/>
      <c r="C793" s="174"/>
      <c r="D793" s="1298"/>
      <c r="E793" s="1298"/>
      <c r="F793" s="1298"/>
      <c r="G793" s="118"/>
      <c r="I793" s="490"/>
    </row>
    <row r="794" spans="1:11" hidden="1">
      <c r="A794" s="354"/>
      <c r="B794" s="354"/>
      <c r="C794" s="354"/>
      <c r="D794" s="173"/>
      <c r="E794" s="3"/>
      <c r="F794" s="3"/>
      <c r="G794" s="3"/>
      <c r="I794" s="490"/>
    </row>
    <row r="795" spans="1:11" hidden="1">
      <c r="A795" s="172"/>
      <c r="B795" s="485" t="s">
        <v>306</v>
      </c>
      <c r="C795" s="172"/>
      <c r="D795" s="1298" t="s">
        <v>1745</v>
      </c>
      <c r="E795" s="1298"/>
      <c r="F795" s="1298"/>
      <c r="G795" s="3"/>
      <c r="I795" s="483"/>
    </row>
    <row r="796" spans="1:11" hidden="1">
      <c r="A796" s="172"/>
      <c r="B796" s="172"/>
      <c r="C796" s="172"/>
      <c r="D796" s="1298"/>
      <c r="E796" s="1298"/>
      <c r="F796" s="1298"/>
      <c r="G796" s="3"/>
      <c r="I796" s="490"/>
    </row>
    <row r="797" spans="1:11" hidden="1">
      <c r="A797" s="172"/>
      <c r="B797" s="172"/>
      <c r="C797" s="172"/>
      <c r="D797" s="1298"/>
      <c r="E797" s="1298"/>
      <c r="F797" s="1298"/>
      <c r="G797" s="3"/>
      <c r="I797" s="490"/>
    </row>
    <row r="798" spans="1:11" hidden="1">
      <c r="A798" s="174"/>
      <c r="B798" s="174"/>
      <c r="C798" s="174"/>
      <c r="D798" s="3"/>
      <c r="E798" s="983"/>
      <c r="F798" s="983"/>
      <c r="G798" s="983"/>
      <c r="I798" s="490"/>
    </row>
    <row r="799" spans="1:11" hidden="1">
      <c r="A799" s="175"/>
      <c r="B799" s="485" t="s">
        <v>306</v>
      </c>
      <c r="C799" s="984"/>
      <c r="D799" s="1298" t="s">
        <v>1746</v>
      </c>
      <c r="E799" s="1298"/>
      <c r="F799" s="1298"/>
      <c r="G799" s="983"/>
      <c r="I799" s="483"/>
    </row>
    <row r="800" spans="1:11" hidden="1">
      <c r="A800" s="175"/>
      <c r="B800" s="175"/>
      <c r="C800" s="984"/>
      <c r="D800" s="1298"/>
      <c r="E800" s="1298"/>
      <c r="F800" s="1298"/>
      <c r="G800" s="983"/>
      <c r="I800" s="490"/>
    </row>
    <row r="801" spans="1:9" hidden="1">
      <c r="A801" s="175"/>
      <c r="B801" s="175"/>
      <c r="C801" s="984"/>
      <c r="D801" s="1298"/>
      <c r="E801" s="1298"/>
      <c r="F801" s="1298"/>
      <c r="G801" s="983"/>
      <c r="I801" s="490"/>
    </row>
    <row r="802" spans="1:9" hidden="1">
      <c r="A802" s="175"/>
      <c r="B802" s="175"/>
      <c r="C802" s="984"/>
      <c r="D802" s="118"/>
      <c r="E802" s="3"/>
      <c r="F802" s="3"/>
      <c r="G802" s="983"/>
      <c r="I802" s="490"/>
    </row>
    <row r="803" spans="1:9" hidden="1">
      <c r="A803" s="175"/>
      <c r="B803" s="485" t="s">
        <v>306</v>
      </c>
      <c r="C803" s="984"/>
      <c r="D803" s="1298" t="s">
        <v>1747</v>
      </c>
      <c r="E803" s="1298"/>
      <c r="F803" s="1298"/>
      <c r="G803" s="983"/>
      <c r="I803" s="483"/>
    </row>
    <row r="804" spans="1:9" hidden="1">
      <c r="A804" s="175"/>
      <c r="B804" s="175"/>
      <c r="C804" s="984"/>
      <c r="D804" s="1298"/>
      <c r="E804" s="1298"/>
      <c r="F804" s="1298"/>
      <c r="G804" s="983"/>
      <c r="I804" s="490"/>
    </row>
    <row r="805" spans="1:9" hidden="1">
      <c r="A805" s="175"/>
      <c r="B805" s="175"/>
      <c r="C805" s="984"/>
      <c r="D805" s="1298"/>
      <c r="E805" s="1298"/>
      <c r="F805" s="1298"/>
      <c r="G805" s="983"/>
      <c r="I805" s="490"/>
    </row>
    <row r="806" spans="1:9" hidden="1">
      <c r="A806" s="175"/>
      <c r="B806" s="175"/>
      <c r="C806" s="984"/>
      <c r="D806" s="1298"/>
      <c r="E806" s="1298"/>
      <c r="F806" s="1298"/>
      <c r="G806" s="983"/>
      <c r="I806" s="490"/>
    </row>
    <row r="807" spans="1:9" hidden="1">
      <c r="A807" s="175"/>
      <c r="B807" s="175"/>
      <c r="C807" s="984"/>
      <c r="D807" s="1298"/>
      <c r="E807" s="1298"/>
      <c r="F807" s="1298"/>
      <c r="G807" s="983"/>
      <c r="I807" s="490"/>
    </row>
    <row r="808" spans="1:9" hidden="1">
      <c r="A808" s="175"/>
      <c r="B808" s="175"/>
      <c r="C808" s="984"/>
      <c r="D808" s="1298"/>
      <c r="E808" s="1298"/>
      <c r="F808" s="1298"/>
      <c r="G808" s="983"/>
      <c r="I808" s="490"/>
    </row>
    <row r="809" spans="1:9" hidden="1">
      <c r="A809" s="175"/>
      <c r="B809" s="175"/>
      <c r="C809" s="984"/>
      <c r="D809" s="1298" t="s">
        <v>1790</v>
      </c>
      <c r="E809" s="1298"/>
      <c r="F809" s="1298"/>
      <c r="G809" s="983"/>
      <c r="I809" s="490"/>
    </row>
    <row r="810" spans="1:9" hidden="1">
      <c r="A810" s="175"/>
      <c r="B810" s="175"/>
      <c r="C810" s="984"/>
      <c r="D810" s="1298"/>
      <c r="E810" s="1298"/>
      <c r="F810" s="1298"/>
      <c r="G810" s="983"/>
      <c r="I810" s="490"/>
    </row>
    <row r="811" spans="1:9" hidden="1">
      <c r="A811" s="175"/>
      <c r="B811" s="175"/>
      <c r="C811" s="984"/>
      <c r="D811" s="1298"/>
      <c r="E811" s="1298"/>
      <c r="F811" s="1298"/>
      <c r="G811" s="983"/>
      <c r="I811" s="490"/>
    </row>
    <row r="812" spans="1:9" hidden="1">
      <c r="A812" s="175"/>
      <c r="B812" s="354"/>
      <c r="C812" s="984"/>
      <c r="D812" s="985"/>
      <c r="E812" s="985"/>
      <c r="F812" s="985"/>
      <c r="G812" s="983"/>
      <c r="I812" s="490"/>
    </row>
    <row r="813" spans="1:9" hidden="1">
      <c r="A813" s="175"/>
      <c r="B813" s="485" t="s">
        <v>306</v>
      </c>
      <c r="C813" s="984"/>
      <c r="D813" s="1298" t="s">
        <v>1748</v>
      </c>
      <c r="E813" s="1298"/>
      <c r="F813" s="1298"/>
      <c r="G813" s="983"/>
      <c r="I813" s="483"/>
    </row>
    <row r="814" spans="1:9" hidden="1">
      <c r="A814" s="175"/>
      <c r="B814" s="175"/>
      <c r="C814" s="984"/>
      <c r="D814" s="1298"/>
      <c r="E814" s="1298"/>
      <c r="F814" s="1298"/>
      <c r="G814" s="983"/>
      <c r="I814" s="490"/>
    </row>
    <row r="815" spans="1:9" hidden="1">
      <c r="A815" s="175"/>
      <c r="B815" s="175"/>
      <c r="C815" s="984"/>
      <c r="D815" s="1298"/>
      <c r="E815" s="1298"/>
      <c r="F815" s="1298"/>
      <c r="G815" s="983"/>
      <c r="I815" s="490"/>
    </row>
    <row r="816" spans="1:9" hidden="1">
      <c r="A816" s="175"/>
      <c r="B816" s="175"/>
      <c r="C816" s="984"/>
      <c r="D816" s="1298"/>
      <c r="E816" s="1298"/>
      <c r="F816" s="1298"/>
      <c r="G816" s="983"/>
      <c r="I816" s="490"/>
    </row>
    <row r="817" spans="1:9" hidden="1">
      <c r="A817" s="175"/>
      <c r="B817" s="175"/>
      <c r="C817" s="984"/>
      <c r="D817" s="1298"/>
      <c r="E817" s="1298"/>
      <c r="F817" s="1298"/>
      <c r="G817" s="983"/>
      <c r="I817" s="490"/>
    </row>
    <row r="818" spans="1:9" hidden="1">
      <c r="A818" s="175"/>
      <c r="B818" s="175"/>
      <c r="C818" s="984"/>
      <c r="D818" s="1298"/>
      <c r="E818" s="1298"/>
      <c r="F818" s="1298"/>
      <c r="G818" s="983"/>
      <c r="I818" s="490"/>
    </row>
    <row r="819" spans="1:9" hidden="1">
      <c r="A819" s="175"/>
      <c r="B819" s="175"/>
      <c r="C819" s="984"/>
      <c r="D819" s="977"/>
      <c r="E819" s="977"/>
      <c r="F819" s="977"/>
      <c r="G819" s="983"/>
      <c r="I819" s="490"/>
    </row>
    <row r="820" spans="1:9" hidden="1">
      <c r="A820" s="175"/>
      <c r="B820" s="485" t="s">
        <v>306</v>
      </c>
      <c r="C820" s="984"/>
      <c r="D820" s="1298" t="s">
        <v>1749</v>
      </c>
      <c r="E820" s="1298"/>
      <c r="F820" s="1298"/>
      <c r="G820" s="983"/>
      <c r="I820" s="483"/>
    </row>
    <row r="821" spans="1:9" hidden="1">
      <c r="A821" s="175"/>
      <c r="B821" s="175"/>
      <c r="C821" s="984"/>
      <c r="D821" s="1298"/>
      <c r="E821" s="1298"/>
      <c r="F821" s="1298"/>
      <c r="G821" s="983"/>
      <c r="I821" s="490"/>
    </row>
    <row r="822" spans="1:9" hidden="1">
      <c r="A822" s="175"/>
      <c r="B822" s="175"/>
      <c r="C822" s="984"/>
      <c r="D822" s="1298"/>
      <c r="E822" s="1298"/>
      <c r="F822" s="1298"/>
      <c r="G822" s="983"/>
      <c r="I822" s="490"/>
    </row>
    <row r="823" spans="1:9" hidden="1">
      <c r="A823" s="175"/>
      <c r="B823" s="175"/>
      <c r="C823" s="984"/>
      <c r="D823" s="1298"/>
      <c r="E823" s="1298"/>
      <c r="F823" s="1298"/>
      <c r="G823" s="983"/>
      <c r="I823" s="490"/>
    </row>
    <row r="824" spans="1:9" hidden="1">
      <c r="A824" s="175"/>
      <c r="B824" s="175"/>
      <c r="C824" s="984"/>
      <c r="D824" s="1298"/>
      <c r="E824" s="1298"/>
      <c r="F824" s="1298"/>
      <c r="G824" s="983"/>
      <c r="I824" s="490"/>
    </row>
    <row r="825" spans="1:9" hidden="1">
      <c r="A825" s="175"/>
      <c r="B825" s="175"/>
      <c r="C825" s="984"/>
      <c r="D825" s="1298"/>
      <c r="E825" s="1298"/>
      <c r="F825" s="1298"/>
      <c r="G825" s="983"/>
      <c r="I825" s="490"/>
    </row>
    <row r="826" spans="1:9" hidden="1">
      <c r="A826" s="175"/>
      <c r="B826" s="175"/>
      <c r="C826" s="984"/>
      <c r="D826" s="977"/>
      <c r="E826" s="977"/>
      <c r="F826" s="977"/>
      <c r="G826" s="983"/>
      <c r="I826" s="490"/>
    </row>
    <row r="827" spans="1:9" hidden="1">
      <c r="A827" s="175"/>
      <c r="B827" s="485" t="s">
        <v>306</v>
      </c>
      <c r="C827" s="984"/>
      <c r="D827" s="1294" t="s">
        <v>1750</v>
      </c>
      <c r="E827" s="1294"/>
      <c r="F827" s="1294"/>
      <c r="G827" s="983"/>
      <c r="I827" s="483"/>
    </row>
    <row r="828" spans="1:9" hidden="1">
      <c r="A828" s="175"/>
      <c r="B828" s="175"/>
      <c r="C828" s="984"/>
      <c r="D828" s="1294"/>
      <c r="E828" s="1294"/>
      <c r="F828" s="1294"/>
      <c r="G828" s="983"/>
      <c r="I828" s="490"/>
    </row>
    <row r="829" spans="1:9" hidden="1">
      <c r="A829" s="13"/>
      <c r="B829" s="13"/>
      <c r="C829" s="984"/>
      <c r="D829" s="1294"/>
      <c r="E829" s="1294"/>
      <c r="F829" s="1294"/>
      <c r="G829" s="983"/>
      <c r="I829" s="490"/>
    </row>
    <row r="830" spans="1:9" hidden="1">
      <c r="A830" s="175"/>
      <c r="B830" s="13"/>
      <c r="C830" s="984"/>
      <c r="D830" s="1294"/>
      <c r="E830" s="1294"/>
      <c r="F830" s="1294"/>
      <c r="G830" s="983"/>
      <c r="I830" s="490"/>
    </row>
    <row r="831" spans="1:9" ht="12.75" hidden="1" customHeight="1">
      <c r="A831" s="175"/>
      <c r="B831" s="13"/>
      <c r="C831" s="984"/>
      <c r="D831" s="1294"/>
      <c r="E831" s="1294"/>
      <c r="F831" s="1294"/>
      <c r="G831" s="983"/>
      <c r="I831" s="490"/>
    </row>
    <row r="832" spans="1:9" ht="12.75" hidden="1" customHeight="1">
      <c r="A832" s="175"/>
      <c r="B832" s="13"/>
      <c r="C832" s="984"/>
      <c r="D832" s="1294"/>
      <c r="E832" s="1294"/>
      <c r="F832" s="1294"/>
      <c r="G832" s="983"/>
      <c r="I832" s="490"/>
    </row>
    <row r="833" spans="1:9" ht="12.75" hidden="1" customHeight="1">
      <c r="A833" s="13"/>
      <c r="B833" s="13"/>
      <c r="C833" s="984"/>
      <c r="D833" s="983"/>
      <c r="E833" s="3"/>
      <c r="F833" s="3"/>
      <c r="G833" s="983"/>
      <c r="I833" s="490"/>
    </row>
    <row r="834" spans="1:9" ht="12.75" customHeight="1">
      <c r="A834" s="1292" t="s">
        <v>1751</v>
      </c>
      <c r="B834" s="1292"/>
      <c r="C834" s="1292"/>
      <c r="D834" s="1292"/>
      <c r="E834" s="1292"/>
      <c r="F834" s="1292"/>
      <c r="G834" s="1292"/>
      <c r="H834" s="1023"/>
      <c r="I834" s="1147"/>
    </row>
    <row r="835" spans="1:9" ht="12.75" customHeight="1">
      <c r="A835" s="172"/>
      <c r="B835" s="172"/>
      <c r="C835" s="984"/>
      <c r="D835" s="983"/>
      <c r="E835" s="983"/>
      <c r="F835" s="983"/>
      <c r="G835" s="983"/>
      <c r="I835" s="490"/>
    </row>
    <row r="836" spans="1:9" ht="12.75" customHeight="1">
      <c r="A836" s="175"/>
      <c r="B836" s="175"/>
      <c r="C836" s="354"/>
      <c r="D836" s="1314" t="s">
        <v>1791</v>
      </c>
      <c r="E836" s="1314"/>
      <c r="F836" s="1314"/>
      <c r="G836" s="3"/>
      <c r="I836" s="490"/>
    </row>
    <row r="837" spans="1:9" ht="14.25" customHeight="1">
      <c r="A837" s="175"/>
      <c r="B837" s="175"/>
      <c r="C837" s="354"/>
      <c r="D837" s="1268" t="s">
        <v>1752</v>
      </c>
      <c r="E837" s="1268"/>
      <c r="F837" s="1268"/>
      <c r="G837" s="3"/>
      <c r="I837" s="490"/>
    </row>
    <row r="838" spans="1:9" ht="12.75" customHeight="1">
      <c r="A838" s="175"/>
      <c r="B838" s="175"/>
      <c r="C838" s="354"/>
      <c r="D838" s="441"/>
      <c r="E838" s="441"/>
      <c r="F838" s="441"/>
      <c r="G838" s="3"/>
      <c r="I838" s="490"/>
    </row>
    <row r="839" spans="1:9" ht="12.75" customHeight="1">
      <c r="A839" s="354"/>
      <c r="B839" s="485" t="s">
        <v>306</v>
      </c>
      <c r="C839" s="984"/>
      <c r="D839" s="1268" t="s">
        <v>1753</v>
      </c>
      <c r="E839" s="1268"/>
      <c r="F839" s="1268"/>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15" t="s">
        <v>2031</v>
      </c>
      <c r="E842" s="1315"/>
      <c r="F842" s="1315"/>
      <c r="G842" s="3"/>
      <c r="I842" s="490"/>
    </row>
    <row r="843" spans="1:9" ht="12.75" hidden="1" customHeight="1">
      <c r="A843" s="13"/>
      <c r="B843" s="13"/>
      <c r="C843" s="984"/>
      <c r="D843" s="1315"/>
      <c r="E843" s="1315"/>
      <c r="F843" s="1315"/>
      <c r="G843" s="3"/>
      <c r="I843" s="490"/>
    </row>
    <row r="844" spans="1:9" ht="12.75" hidden="1" customHeight="1">
      <c r="A844" s="13"/>
      <c r="B844" s="13"/>
      <c r="C844" s="984"/>
      <c r="D844" s="1315"/>
      <c r="E844" s="1315"/>
      <c r="F844" s="1315"/>
      <c r="G844" s="3"/>
      <c r="I844" s="490"/>
    </row>
    <row r="845" spans="1:9" ht="12.75" hidden="1" customHeight="1">
      <c r="A845" s="13"/>
      <c r="B845" s="13"/>
      <c r="C845" s="984"/>
      <c r="D845" s="1315"/>
      <c r="E845" s="1315"/>
      <c r="F845" s="1315"/>
      <c r="G845" s="3"/>
      <c r="I845" s="490"/>
    </row>
    <row r="846" spans="1:9" ht="12.75" hidden="1" customHeight="1">
      <c r="A846" s="13"/>
      <c r="B846" s="13"/>
      <c r="C846" s="984"/>
      <c r="D846" s="1315"/>
      <c r="E846" s="1315"/>
      <c r="F846" s="1315"/>
      <c r="G846" s="3"/>
      <c r="I846" s="490"/>
    </row>
    <row r="847" spans="1:9" ht="12.75" hidden="1" customHeight="1">
      <c r="A847" s="13"/>
      <c r="B847" s="13"/>
      <c r="C847" s="984"/>
      <c r="D847" s="1315"/>
      <c r="E847" s="1315"/>
      <c r="F847" s="1315"/>
      <c r="G847" s="3"/>
      <c r="I847" s="490"/>
    </row>
    <row r="848" spans="1:9" ht="12.75" hidden="1" customHeight="1">
      <c r="A848" s="13"/>
      <c r="B848" s="13"/>
      <c r="C848" s="984"/>
      <c r="D848" s="1315"/>
      <c r="E848" s="1315"/>
      <c r="F848" s="1315"/>
      <c r="G848" s="3"/>
      <c r="I848" s="490"/>
    </row>
    <row r="849" spans="1:9" ht="12.75" hidden="1" customHeight="1">
      <c r="A849" s="13"/>
      <c r="B849" s="13"/>
      <c r="C849" s="984"/>
      <c r="D849" s="1315"/>
      <c r="E849" s="1315"/>
      <c r="F849" s="1315"/>
      <c r="G849" s="3"/>
      <c r="I849" s="490"/>
    </row>
    <row r="850" spans="1:9" ht="12.75" hidden="1" customHeight="1">
      <c r="A850" s="13"/>
      <c r="B850" s="13"/>
      <c r="C850" s="984"/>
      <c r="D850" s="1315"/>
      <c r="E850" s="1315"/>
      <c r="F850" s="1315"/>
      <c r="G850" s="3"/>
      <c r="I850" s="490"/>
    </row>
    <row r="851" spans="1:9" ht="12.75" hidden="1" customHeight="1">
      <c r="A851" s="13"/>
      <c r="B851" s="13"/>
      <c r="C851" s="984"/>
      <c r="D851" s="1315"/>
      <c r="E851" s="1315"/>
      <c r="F851" s="1315"/>
      <c r="G851" s="3"/>
      <c r="I851" s="490"/>
    </row>
    <row r="852" spans="1:9" ht="12.75" hidden="1" customHeight="1">
      <c r="A852" s="13"/>
      <c r="B852" s="13"/>
      <c r="C852" s="984"/>
      <c r="D852" s="986"/>
      <c r="E852" s="3"/>
      <c r="F852" s="3"/>
      <c r="G852" s="3"/>
      <c r="I852" s="490"/>
    </row>
    <row r="853" spans="1:9" ht="12.75" customHeight="1">
      <c r="A853" s="175"/>
      <c r="B853" s="485" t="s">
        <v>306</v>
      </c>
      <c r="C853" s="984"/>
      <c r="D853" s="1268" t="s">
        <v>1754</v>
      </c>
      <c r="E853" s="1268"/>
      <c r="F853" s="1268"/>
      <c r="G853" s="3"/>
      <c r="I853" s="490" t="s">
        <v>1856</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306</v>
      </c>
      <c r="C857" s="984"/>
      <c r="D857" s="1314" t="s">
        <v>1755</v>
      </c>
      <c r="E857" s="1314"/>
      <c r="F857" s="1314"/>
      <c r="G857" s="3"/>
      <c r="I857" s="490"/>
    </row>
    <row r="858" spans="1:9" ht="12.75" customHeight="1">
      <c r="A858" s="354"/>
      <c r="B858" s="987"/>
      <c r="C858" s="984"/>
      <c r="D858" s="1314"/>
      <c r="E858" s="1314"/>
      <c r="F858" s="1314"/>
      <c r="G858" s="3"/>
      <c r="I858" s="490"/>
    </row>
    <row r="859" spans="1:9" ht="12.75" customHeight="1">
      <c r="A859" s="175"/>
      <c r="B859" s="354"/>
      <c r="C859" s="984"/>
      <c r="D859" s="1268" t="s">
        <v>2026</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306</v>
      </c>
      <c r="C866" s="984"/>
      <c r="D866" s="1268" t="s">
        <v>1756</v>
      </c>
      <c r="E866" s="1268"/>
      <c r="F866" s="1268"/>
      <c r="G866" s="3"/>
      <c r="I866" s="490" t="s">
        <v>1854</v>
      </c>
    </row>
    <row r="867" spans="1:9" ht="12.75" customHeight="1">
      <c r="A867" s="175"/>
      <c r="B867" s="175"/>
      <c r="C867" s="984"/>
      <c r="D867" s="1268" t="s">
        <v>1757</v>
      </c>
      <c r="E867" s="1268"/>
      <c r="F867" s="1268"/>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306</v>
      </c>
      <c r="C870" s="984"/>
      <c r="D870" s="1268" t="s">
        <v>1758</v>
      </c>
      <c r="E870" s="1268"/>
      <c r="F870" s="1268"/>
      <c r="G870" s="3"/>
      <c r="I870" s="490" t="s">
        <v>1857</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5" t="s">
        <v>1792</v>
      </c>
      <c r="E877" s="1295"/>
      <c r="F877" s="1295"/>
      <c r="G877" s="983"/>
      <c r="I877" s="490"/>
    </row>
    <row r="878" spans="1:9" ht="12.75" customHeight="1">
      <c r="A878" s="354"/>
      <c r="B878" s="354"/>
      <c r="C878" s="174"/>
      <c r="D878" s="1313" t="s">
        <v>1760</v>
      </c>
      <c r="E878" s="1313"/>
      <c r="F878" s="1313"/>
      <c r="G878" s="983"/>
      <c r="I878" s="490"/>
    </row>
    <row r="879" spans="1:9" ht="12.75" customHeight="1">
      <c r="A879" s="354"/>
      <c r="B879" s="354"/>
      <c r="C879" s="174"/>
      <c r="D879" s="990"/>
      <c r="E879" s="990"/>
      <c r="F879" s="990"/>
      <c r="G879" s="983"/>
      <c r="I879" s="490"/>
    </row>
    <row r="880" spans="1:9" ht="12.75" customHeight="1">
      <c r="A880" s="175"/>
      <c r="B880" s="485" t="s">
        <v>306</v>
      </c>
      <c r="C880" s="354"/>
      <c r="D880" s="1296" t="s">
        <v>1761</v>
      </c>
      <c r="E880" s="1296"/>
      <c r="F880" s="1296"/>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306</v>
      </c>
      <c r="C883" s="354"/>
      <c r="D883" s="1268" t="s">
        <v>1762</v>
      </c>
      <c r="E883" s="1320"/>
      <c r="F883" s="1320"/>
      <c r="G883" s="3"/>
      <c r="I883" s="490" t="s">
        <v>1857</v>
      </c>
    </row>
    <row r="884" spans="1:9" ht="12.75" customHeight="1">
      <c r="A884" s="354"/>
      <c r="B884" s="354"/>
      <c r="C884" s="354"/>
      <c r="D884" s="1320"/>
      <c r="E884" s="1320"/>
      <c r="F884" s="1320"/>
      <c r="G884" s="3"/>
      <c r="I884" s="490"/>
    </row>
    <row r="885" spans="1:9" ht="12.75" customHeight="1">
      <c r="A885" s="354"/>
      <c r="B885" s="354"/>
      <c r="C885" s="354"/>
      <c r="D885" s="118"/>
      <c r="E885" s="3"/>
      <c r="F885" s="3"/>
      <c r="G885" s="3"/>
      <c r="I885" s="490"/>
    </row>
    <row r="886" spans="1:9" ht="12.75" customHeight="1">
      <c r="A886" s="354"/>
      <c r="B886" s="485" t="s">
        <v>306</v>
      </c>
      <c r="C886" s="354"/>
      <c r="D886" s="1321" t="s">
        <v>1763</v>
      </c>
      <c r="E886" s="1321"/>
      <c r="F886" s="1321"/>
      <c r="G886" s="983"/>
      <c r="I886" s="490"/>
    </row>
    <row r="887" spans="1:9" ht="12.75" customHeight="1">
      <c r="A887" s="354"/>
      <c r="B887" s="991"/>
      <c r="C887" s="354"/>
      <c r="D887" s="1321"/>
      <c r="E887" s="1321"/>
      <c r="F887" s="1321"/>
      <c r="G887" s="983"/>
      <c r="I887" s="490"/>
    </row>
    <row r="888" spans="1:9" ht="12.75" customHeight="1">
      <c r="A888" s="175"/>
      <c r="B888"/>
      <c r="C888" s="354"/>
      <c r="D888" s="1268" t="s">
        <v>2026</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306</v>
      </c>
      <c r="C895" s="354"/>
      <c r="D895" s="1287" t="s">
        <v>1756</v>
      </c>
      <c r="E895" s="1287"/>
      <c r="F895" s="1287"/>
      <c r="G895" s="983"/>
      <c r="I895" s="490"/>
    </row>
    <row r="896" spans="1:9" ht="12.75" customHeight="1">
      <c r="A896" s="175"/>
      <c r="B896" s="175"/>
      <c r="C896" s="354"/>
      <c r="D896" s="1287" t="s">
        <v>1757</v>
      </c>
      <c r="E896" s="1287"/>
      <c r="F896" s="1287"/>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306</v>
      </c>
      <c r="C899" s="354"/>
      <c r="D899" s="1268" t="s">
        <v>1758</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292" t="s">
        <v>1793</v>
      </c>
      <c r="B904" s="1292"/>
      <c r="C904" s="1292"/>
      <c r="D904" s="1292"/>
      <c r="E904" s="1292"/>
      <c r="F904" s="1292"/>
      <c r="G904" s="1292"/>
      <c r="H904" s="1023"/>
      <c r="I904" s="1147"/>
    </row>
    <row r="905" spans="1:9" ht="12.75" customHeight="1">
      <c r="A905" s="57"/>
      <c r="B905" s="57"/>
      <c r="C905" s="57"/>
      <c r="D905" s="57"/>
      <c r="E905" s="57"/>
      <c r="F905" s="57"/>
      <c r="G905" s="57"/>
      <c r="I905" s="490"/>
    </row>
    <row r="906" spans="1:9" ht="12.75" customHeight="1">
      <c r="A906" s="57"/>
      <c r="B906" s="57"/>
      <c r="C906" s="57"/>
      <c r="D906" s="1290" t="s">
        <v>1799</v>
      </c>
      <c r="E906" s="1290"/>
      <c r="F906" s="1290"/>
      <c r="G906" s="57"/>
      <c r="I906" s="490"/>
    </row>
    <row r="907" spans="1:9" ht="12.75" customHeight="1">
      <c r="A907" s="57"/>
      <c r="B907" s="57"/>
      <c r="C907" s="57"/>
      <c r="D907" s="976"/>
      <c r="E907" s="976"/>
      <c r="F907" s="976"/>
      <c r="G907" s="57"/>
      <c r="I907" s="490"/>
    </row>
    <row r="908" spans="1:9" ht="12.75" customHeight="1">
      <c r="A908" s="57"/>
      <c r="B908" s="485" t="s">
        <v>306</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0" t="s">
        <v>1794</v>
      </c>
      <c r="E910" s="1290"/>
      <c r="F910" s="1290"/>
      <c r="G910" s="983"/>
      <c r="I910" s="490"/>
    </row>
    <row r="911" spans="1:9" ht="12.75" customHeight="1">
      <c r="A911" s="172"/>
      <c r="B911" s="172"/>
      <c r="C911" s="172"/>
      <c r="D911" s="1296" t="s">
        <v>1764</v>
      </c>
      <c r="E911" s="1296"/>
      <c r="F911" s="1296"/>
      <c r="G911" s="983"/>
      <c r="I911" s="490"/>
    </row>
    <row r="912" spans="1:9" ht="12.75" customHeight="1">
      <c r="A912" s="984"/>
      <c r="B912" s="984"/>
      <c r="C912" s="984"/>
      <c r="D912" s="2"/>
      <c r="E912" s="983"/>
      <c r="F912" s="983"/>
      <c r="G912" s="983"/>
      <c r="I912" s="490"/>
    </row>
    <row r="913" spans="1:9" ht="12.75" customHeight="1">
      <c r="A913" s="175"/>
      <c r="B913" s="485" t="s">
        <v>306</v>
      </c>
      <c r="C913" s="354"/>
      <c r="D913" s="1268" t="s">
        <v>1768</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1767</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306</v>
      </c>
      <c r="C918" s="174"/>
      <c r="D918" s="1279" t="s">
        <v>1765</v>
      </c>
      <c r="E918" s="1279"/>
      <c r="F918" s="1279"/>
      <c r="G918" s="983"/>
      <c r="I918" s="490"/>
    </row>
    <row r="919" spans="1:9" ht="12.75" customHeight="1">
      <c r="A919" s="175"/>
      <c r="B919" s="175"/>
      <c r="C919" s="174"/>
      <c r="D919" s="1279"/>
      <c r="E919" s="1279"/>
      <c r="F919" s="1279"/>
      <c r="G919" s="983"/>
      <c r="I919" s="490"/>
    </row>
    <row r="920" spans="1:9" ht="12.75" customHeight="1">
      <c r="A920" s="175"/>
      <c r="B920" s="175"/>
      <c r="C920" s="174"/>
      <c r="D920" s="1279"/>
      <c r="E920" s="1279"/>
      <c r="F920" s="1279"/>
      <c r="G920" s="983"/>
      <c r="I920" s="490"/>
    </row>
    <row r="921" spans="1:9" ht="12.75" customHeight="1">
      <c r="A921" s="175"/>
      <c r="B921" s="175"/>
      <c r="C921" s="174"/>
      <c r="D921" s="1279"/>
      <c r="E921" s="1279"/>
      <c r="F921" s="1279"/>
      <c r="G921" s="983"/>
      <c r="I921" s="490"/>
    </row>
    <row r="922" spans="1:9" ht="12.75" customHeight="1">
      <c r="A922" s="175"/>
      <c r="B922" s="175"/>
      <c r="C922" s="174"/>
      <c r="D922" s="1279"/>
      <c r="E922" s="1279"/>
      <c r="F922" s="1279"/>
      <c r="G922" s="983"/>
      <c r="I922" s="490"/>
    </row>
    <row r="923" spans="1:9" ht="12.75" customHeight="1">
      <c r="A923" s="174"/>
      <c r="B923" s="174"/>
      <c r="C923" s="174"/>
      <c r="D923" s="1279"/>
      <c r="E923" s="1279"/>
      <c r="F923" s="1279"/>
      <c r="G923" s="983"/>
      <c r="I923" s="490"/>
    </row>
    <row r="924" spans="1:9" ht="12.75" customHeight="1">
      <c r="A924" s="174"/>
      <c r="B924" s="174"/>
      <c r="C924" s="174"/>
      <c r="D924" s="1279"/>
      <c r="E924" s="1279"/>
      <c r="F924" s="1279"/>
      <c r="G924" s="983"/>
      <c r="I924" s="490"/>
    </row>
    <row r="925" spans="1:9" ht="12.75" customHeight="1">
      <c r="A925" s="174"/>
      <c r="B925" s="174"/>
      <c r="C925" s="174"/>
      <c r="D925" s="1279"/>
      <c r="E925" s="1279"/>
      <c r="F925" s="1279"/>
      <c r="G925" s="983"/>
      <c r="I925" s="490"/>
    </row>
    <row r="926" spans="1:9" ht="12.75" customHeight="1">
      <c r="A926" s="174"/>
      <c r="B926" s="174"/>
      <c r="C926" s="174"/>
      <c r="D926" s="335"/>
      <c r="E926" s="335"/>
      <c r="F926" s="335"/>
      <c r="G926" s="983"/>
      <c r="I926" s="490"/>
    </row>
    <row r="927" spans="1:9" ht="12.75" customHeight="1">
      <c r="A927" s="984"/>
      <c r="B927" s="485" t="s">
        <v>306</v>
      </c>
      <c r="C927" s="984"/>
      <c r="D927" s="1268" t="s">
        <v>1769</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306</v>
      </c>
      <c r="C930" s="984"/>
      <c r="D930" s="1294" t="s">
        <v>1770</v>
      </c>
      <c r="E930" s="1294"/>
      <c r="F930" s="1294"/>
      <c r="G930" s="983"/>
      <c r="I930" s="490"/>
    </row>
    <row r="931" spans="1:9" ht="12.75" customHeight="1">
      <c r="A931" s="984"/>
      <c r="B931" s="984"/>
      <c r="C931" s="984"/>
      <c r="D931" s="1294"/>
      <c r="E931" s="1294"/>
      <c r="F931" s="1294"/>
      <c r="G931" s="983"/>
      <c r="I931" s="490"/>
    </row>
    <row r="932" spans="1:9" ht="12.75" customHeight="1">
      <c r="A932" s="984"/>
      <c r="B932" s="984"/>
      <c r="C932" s="984"/>
      <c r="D932" s="1294"/>
      <c r="E932" s="1294"/>
      <c r="F932" s="1294"/>
      <c r="G932" s="983"/>
      <c r="I932" s="490"/>
    </row>
    <row r="933" spans="1:9" ht="12.75" customHeight="1">
      <c r="A933" s="984"/>
      <c r="B933" s="984"/>
      <c r="C933" s="984"/>
      <c r="D933" s="1294"/>
      <c r="E933" s="1294"/>
      <c r="F933" s="1294"/>
      <c r="G933" s="983"/>
      <c r="I933" s="490"/>
    </row>
    <row r="934" spans="1:9" ht="12.75" customHeight="1">
      <c r="A934" s="984"/>
      <c r="B934" s="984"/>
      <c r="C934" s="984"/>
      <c r="D934" s="118"/>
      <c r="E934" s="983"/>
      <c r="F934" s="983"/>
      <c r="G934" s="983"/>
      <c r="I934" s="490"/>
    </row>
    <row r="935" spans="1:9" ht="12.75" customHeight="1">
      <c r="A935" s="984"/>
      <c r="B935" s="485" t="s">
        <v>306</v>
      </c>
      <c r="C935" s="984"/>
      <c r="D935" s="1296" t="s">
        <v>2027</v>
      </c>
      <c r="E935" s="1296"/>
      <c r="F935" s="1296"/>
      <c r="G935" s="983"/>
      <c r="I935" s="490"/>
    </row>
    <row r="936" spans="1:9" ht="12.75" customHeight="1">
      <c r="A936" s="984"/>
      <c r="B936" s="984"/>
      <c r="C936" s="984"/>
      <c r="D936" s="118"/>
      <c r="E936" s="983"/>
      <c r="F936" s="983"/>
      <c r="G936" s="983"/>
      <c r="I936" s="490"/>
    </row>
    <row r="937" spans="1:9" ht="12.75" customHeight="1">
      <c r="A937" s="984"/>
      <c r="B937" s="485" t="s">
        <v>306</v>
      </c>
      <c r="C937" s="984"/>
      <c r="D937" s="1296" t="s">
        <v>2028</v>
      </c>
      <c r="E937" s="1296"/>
      <c r="F937" s="1296"/>
      <c r="G937" s="983"/>
      <c r="I937" s="490"/>
    </row>
    <row r="938" spans="1:9" ht="12.75" customHeight="1">
      <c r="A938" s="174"/>
      <c r="B938" s="174"/>
      <c r="C938" s="174"/>
      <c r="D938" s="2"/>
      <c r="E938" s="3"/>
      <c r="F938" s="983"/>
      <c r="G938" s="983"/>
      <c r="I938" s="490"/>
    </row>
    <row r="939" spans="1:9" ht="12.75" customHeight="1">
      <c r="A939" s="992"/>
      <c r="B939" s="485" t="s">
        <v>306</v>
      </c>
      <c r="C939" s="993"/>
      <c r="D939" s="1279" t="s">
        <v>1766</v>
      </c>
      <c r="E939" s="1279"/>
      <c r="F939" s="1279"/>
      <c r="G939" s="994"/>
      <c r="I939" s="490"/>
    </row>
    <row r="940" spans="1:9" ht="12.75" customHeight="1">
      <c r="A940" s="992"/>
      <c r="B940" s="992"/>
      <c r="C940" s="993"/>
      <c r="D940" s="1279"/>
      <c r="E940" s="1279"/>
      <c r="F940" s="1279"/>
      <c r="G940" s="994"/>
      <c r="I940" s="490"/>
    </row>
    <row r="941" spans="1:9" ht="12.75" customHeight="1">
      <c r="A941" s="992"/>
      <c r="B941" s="992"/>
      <c r="C941" s="993"/>
      <c r="D941" s="1279"/>
      <c r="E941" s="1279"/>
      <c r="F941" s="1279"/>
      <c r="G941" s="994"/>
      <c r="I941" s="490"/>
    </row>
    <row r="942" spans="1:9" ht="12.75" customHeight="1">
      <c r="A942" s="992"/>
      <c r="B942" s="992"/>
      <c r="C942" s="993"/>
      <c r="D942" s="1279"/>
      <c r="E942" s="1279"/>
      <c r="F942" s="1279"/>
      <c r="G942" s="994"/>
      <c r="I942" s="490"/>
    </row>
    <row r="943" spans="1:9" ht="12.75" customHeight="1">
      <c r="A943" s="992"/>
      <c r="B943" s="992"/>
      <c r="C943" s="993"/>
      <c r="D943" s="1279"/>
      <c r="E943" s="1279"/>
      <c r="F943" s="1279"/>
      <c r="G943" s="994"/>
      <c r="I943" s="490"/>
    </row>
    <row r="944" spans="1:9" ht="12.75" customHeight="1">
      <c r="A944" s="992"/>
      <c r="B944" s="992"/>
      <c r="C944" s="993"/>
      <c r="D944" s="1279"/>
      <c r="E944" s="1279"/>
      <c r="F944" s="1279"/>
      <c r="G944" s="994"/>
      <c r="I944" s="490"/>
    </row>
    <row r="945" spans="1:9" ht="12.75" customHeight="1">
      <c r="A945" s="992"/>
      <c r="B945" s="992"/>
      <c r="C945" s="993"/>
      <c r="D945" s="1279"/>
      <c r="E945" s="1279"/>
      <c r="F945" s="1279"/>
      <c r="G945" s="994"/>
      <c r="I945" s="490"/>
    </row>
    <row r="946" spans="1:9" ht="12.75" customHeight="1">
      <c r="A946" s="992"/>
      <c r="B946" s="992"/>
      <c r="C946" s="993"/>
      <c r="D946" s="1279"/>
      <c r="E946" s="1279"/>
      <c r="F946" s="1279"/>
      <c r="G946" s="994"/>
      <c r="I946" s="490"/>
    </row>
    <row r="947" spans="1:9" ht="12.75" customHeight="1">
      <c r="A947" s="992"/>
      <c r="B947" s="992"/>
      <c r="C947" s="993"/>
      <c r="D947" s="1279"/>
      <c r="E947" s="1279"/>
      <c r="F947" s="1279"/>
      <c r="G947" s="994"/>
      <c r="I947" s="490"/>
    </row>
    <row r="948" spans="1:9" ht="12.75" customHeight="1">
      <c r="A948" s="174"/>
      <c r="B948" s="174"/>
      <c r="C948" s="174"/>
      <c r="D948" s="2"/>
      <c r="E948" s="3"/>
      <c r="F948" s="983"/>
      <c r="G948" s="983"/>
      <c r="I948" s="490"/>
    </row>
    <row r="949" spans="1:9" ht="12.75" customHeight="1">
      <c r="A949" s="175"/>
      <c r="B949" s="485" t="s">
        <v>306</v>
      </c>
      <c r="C949" s="174"/>
      <c r="D949" s="1304" t="s">
        <v>1860</v>
      </c>
      <c r="E949" s="1304"/>
      <c r="F949" s="1304"/>
      <c r="G949" s="983"/>
      <c r="I949" s="490"/>
    </row>
    <row r="950" spans="1:9" ht="12.75" customHeight="1">
      <c r="A950" s="175"/>
      <c r="B950" s="175"/>
      <c r="C950" s="174"/>
      <c r="D950" s="1304"/>
      <c r="E950" s="1304"/>
      <c r="F950" s="1304"/>
      <c r="G950" s="983"/>
      <c r="I950" s="490"/>
    </row>
    <row r="951" spans="1:9" ht="12.75" customHeight="1">
      <c r="A951" s="175"/>
      <c r="B951" s="175"/>
      <c r="C951" s="174"/>
      <c r="D951" s="1304"/>
      <c r="E951" s="1304"/>
      <c r="F951" s="1304"/>
      <c r="G951" s="983"/>
      <c r="I951" s="490"/>
    </row>
    <row r="952" spans="1:9" ht="12.75" customHeight="1">
      <c r="A952" s="175"/>
      <c r="B952" s="175"/>
      <c r="C952" s="174"/>
      <c r="D952" s="1304"/>
      <c r="E952" s="1304"/>
      <c r="F952" s="1304"/>
      <c r="G952" s="983"/>
      <c r="I952" s="490"/>
    </row>
    <row r="953" spans="1:9" ht="12.75" customHeight="1">
      <c r="A953" s="175"/>
      <c r="B953" s="175"/>
      <c r="C953" s="174"/>
      <c r="D953" s="1304"/>
      <c r="E953" s="1304"/>
      <c r="F953" s="1304"/>
      <c r="G953" s="983"/>
      <c r="I953" s="490"/>
    </row>
    <row r="954" spans="1:9" ht="12.75" customHeight="1">
      <c r="A954" s="175"/>
      <c r="B954" s="175"/>
      <c r="C954" s="174"/>
      <c r="D954" s="1304"/>
      <c r="E954" s="1304"/>
      <c r="F954" s="1304"/>
      <c r="G954" s="983"/>
      <c r="I954" s="490"/>
    </row>
    <row r="955" spans="1:9" ht="12.75" customHeight="1">
      <c r="A955" s="175"/>
      <c r="B955" s="175"/>
      <c r="C955" s="174"/>
      <c r="D955" s="1304"/>
      <c r="E955" s="1304"/>
      <c r="F955" s="1304"/>
      <c r="G955" s="983"/>
      <c r="I955" s="490"/>
    </row>
    <row r="956" spans="1:9" ht="12.75" customHeight="1">
      <c r="A956" s="175"/>
      <c r="B956" s="175"/>
      <c r="C956" s="174"/>
      <c r="D956" s="1021"/>
      <c r="E956" s="1021"/>
      <c r="F956" s="1021"/>
      <c r="G956" s="983"/>
      <c r="I956" s="490"/>
    </row>
    <row r="957" spans="1:9" ht="12.75" customHeight="1">
      <c r="A957" s="175"/>
      <c r="B957" s="485" t="s">
        <v>306</v>
      </c>
      <c r="C957" s="174"/>
      <c r="D957" s="1278" t="s">
        <v>2092</v>
      </c>
      <c r="E957" s="1278"/>
      <c r="F957" s="1278"/>
      <c r="G957" s="983"/>
      <c r="I957" s="490"/>
    </row>
    <row r="958" spans="1:9" ht="12.75" customHeight="1">
      <c r="A958" s="175"/>
      <c r="B958" s="175"/>
      <c r="C958" s="174"/>
      <c r="D958" s="1278"/>
      <c r="E958" s="1278"/>
      <c r="F958" s="1278"/>
      <c r="G958" s="983"/>
      <c r="I958" s="490"/>
    </row>
    <row r="959" spans="1:9" ht="12.75" customHeight="1">
      <c r="A959" s="175"/>
      <c r="B959" s="175"/>
      <c r="C959" s="174"/>
      <c r="D959" s="1278"/>
      <c r="E959" s="1278"/>
      <c r="F959" s="1278"/>
      <c r="G959" s="983"/>
      <c r="I959" s="490"/>
    </row>
    <row r="960" spans="1:9" ht="12.75" customHeight="1">
      <c r="A960" s="175"/>
      <c r="B960" s="175"/>
      <c r="C960" s="174"/>
      <c r="D960" s="1278"/>
      <c r="E960" s="1278"/>
      <c r="F960" s="1278"/>
      <c r="G960" s="983"/>
      <c r="I960" s="490"/>
    </row>
    <row r="961" spans="1:9" ht="12.75" customHeight="1">
      <c r="A961" s="175"/>
      <c r="B961" s="175"/>
      <c r="C961" s="174"/>
      <c r="D961" s="1278"/>
      <c r="E961" s="1278"/>
      <c r="F961" s="1278"/>
      <c r="G961" s="983"/>
      <c r="I961" s="490"/>
    </row>
    <row r="962" spans="1:9" ht="12.75" customHeight="1">
      <c r="A962" s="175"/>
      <c r="B962" s="175"/>
      <c r="C962" s="174"/>
      <c r="D962" s="1278"/>
      <c r="E962" s="1278"/>
      <c r="F962" s="1278"/>
      <c r="G962" s="983"/>
      <c r="I962" s="490"/>
    </row>
    <row r="963" spans="1:9" ht="12.75" customHeight="1">
      <c r="A963" s="175"/>
      <c r="B963" s="175"/>
      <c r="C963" s="174"/>
      <c r="D963" s="1021"/>
      <c r="E963" s="1021"/>
      <c r="F963" s="1021"/>
      <c r="G963" s="983"/>
      <c r="I963" s="490"/>
    </row>
    <row r="964" spans="1:9" ht="12.75" customHeight="1">
      <c r="A964" s="984"/>
      <c r="B964" s="485" t="s">
        <v>306</v>
      </c>
      <c r="C964" s="984"/>
      <c r="D964" s="1294" t="s">
        <v>1771</v>
      </c>
      <c r="E964" s="1294"/>
      <c r="F964" s="1294"/>
      <c r="G964" s="983"/>
      <c r="I964" s="490"/>
    </row>
    <row r="965" spans="1:9" ht="12.75" customHeight="1">
      <c r="A965" s="984"/>
      <c r="B965" s="984"/>
      <c r="C965" s="984"/>
      <c r="D965" s="1294"/>
      <c r="E965" s="1294"/>
      <c r="F965" s="1294"/>
      <c r="G965" s="983"/>
      <c r="I965" s="490"/>
    </row>
    <row r="966" spans="1:9" ht="12.75" customHeight="1">
      <c r="A966" s="984"/>
      <c r="B966" s="984"/>
      <c r="C966" s="984"/>
      <c r="D966" s="1294"/>
      <c r="E966" s="1294"/>
      <c r="F966" s="129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306</v>
      </c>
      <c r="C969" s="174"/>
      <c r="D969" s="1279" t="s">
        <v>1859</v>
      </c>
      <c r="E969" s="1279"/>
      <c r="F969" s="1279"/>
      <c r="G969" s="983"/>
      <c r="I969" s="490"/>
    </row>
    <row r="970" spans="1:9" ht="12.75" customHeight="1">
      <c r="A970" s="175"/>
      <c r="B970" s="175"/>
      <c r="C970" s="174"/>
      <c r="D970" s="1279"/>
      <c r="E970" s="1279"/>
      <c r="F970" s="1279"/>
      <c r="G970" s="983"/>
      <c r="I970" s="490"/>
    </row>
    <row r="971" spans="1:9" ht="12.75" customHeight="1">
      <c r="A971" s="175"/>
      <c r="B971" s="175"/>
      <c r="C971" s="174"/>
      <c r="D971" s="1279"/>
      <c r="E971" s="1279"/>
      <c r="F971" s="1279"/>
      <c r="G971" s="983"/>
      <c r="I971" s="490"/>
    </row>
    <row r="972" spans="1:9" ht="12.75" customHeight="1">
      <c r="A972" s="175"/>
      <c r="B972" s="175"/>
      <c r="C972" s="174"/>
      <c r="D972" s="1279"/>
      <c r="E972" s="1279"/>
      <c r="F972" s="1279"/>
      <c r="G972" s="983"/>
      <c r="I972" s="490"/>
    </row>
    <row r="973" spans="1:9" ht="12.75" customHeight="1">
      <c r="A973" s="984"/>
      <c r="B973" s="984"/>
      <c r="C973" s="984"/>
      <c r="D973" s="975"/>
      <c r="E973" s="975"/>
      <c r="F973" s="975"/>
      <c r="G973" s="975"/>
      <c r="I973" s="490"/>
    </row>
    <row r="974" spans="1:9" ht="12.75" customHeight="1">
      <c r="A974" s="354"/>
      <c r="B974" s="354"/>
      <c r="C974" s="354"/>
      <c r="D974" s="1295" t="s">
        <v>1772</v>
      </c>
      <c r="E974" s="1295"/>
      <c r="F974" s="1295"/>
      <c r="G974" s="3"/>
      <c r="I974" s="490"/>
    </row>
    <row r="975" spans="1:9" ht="12.75" customHeight="1">
      <c r="A975" s="175"/>
      <c r="B975" s="485" t="s">
        <v>306</v>
      </c>
      <c r="C975" s="354"/>
      <c r="D975" s="1296" t="s">
        <v>1795</v>
      </c>
      <c r="E975" s="1296"/>
      <c r="F975" s="1296"/>
      <c r="G975" s="3"/>
      <c r="I975" s="490"/>
    </row>
    <row r="976" spans="1:9" ht="12.75" customHeight="1">
      <c r="A976" s="354"/>
      <c r="B976" s="354"/>
      <c r="C976" s="354"/>
      <c r="D976" s="3"/>
      <c r="E976" s="3"/>
      <c r="F976" s="3"/>
      <c r="G976" s="3"/>
      <c r="I976" s="490"/>
    </row>
    <row r="977" spans="1:9" ht="12.75" customHeight="1">
      <c r="A977" s="354"/>
      <c r="B977" s="354"/>
      <c r="C977" s="354"/>
      <c r="D977" s="1295" t="s">
        <v>1773</v>
      </c>
      <c r="E977" s="1295"/>
      <c r="F977" s="1295"/>
      <c r="G977"/>
      <c r="I977" s="490"/>
    </row>
    <row r="978" spans="1:9" ht="12.75" customHeight="1">
      <c r="A978" s="175"/>
      <c r="B978" s="485" t="s">
        <v>306</v>
      </c>
      <c r="C978" s="354"/>
      <c r="D978" s="1268" t="s">
        <v>2029</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292" t="s">
        <v>1774</v>
      </c>
      <c r="B994" s="1292"/>
      <c r="C994" s="1292"/>
      <c r="D994" s="1292"/>
      <c r="E994" s="1292"/>
      <c r="F994" s="1292"/>
      <c r="G994" s="1292"/>
      <c r="H994" s="1023"/>
      <c r="I994" s="1147"/>
    </row>
    <row r="995" spans="1:9" ht="12.75" customHeight="1">
      <c r="A995" s="118"/>
      <c r="B995" s="118"/>
      <c r="C995" s="354"/>
      <c r="D995" s="3"/>
      <c r="E995" s="3"/>
      <c r="F995" s="3"/>
      <c r="G995" s="3"/>
      <c r="I995" s="490"/>
    </row>
    <row r="996" spans="1:9" ht="12.75" customHeight="1">
      <c r="A996" s="354"/>
      <c r="B996" s="354"/>
      <c r="C996" s="984"/>
      <c r="D996" s="1295" t="s">
        <v>1796</v>
      </c>
      <c r="E996" s="1295"/>
      <c r="F996" s="1295"/>
      <c r="G996" s="3"/>
      <c r="I996" s="490"/>
    </row>
    <row r="997" spans="1:9" ht="12.75" customHeight="1">
      <c r="A997" s="172"/>
      <c r="B997" s="172"/>
      <c r="C997" s="172"/>
      <c r="D997" s="1296" t="s">
        <v>1775</v>
      </c>
      <c r="E997" s="1296"/>
      <c r="F997" s="1296"/>
      <c r="G997" s="3"/>
      <c r="I997" s="490"/>
    </row>
    <row r="998" spans="1:9" ht="12.75" customHeight="1">
      <c r="A998" s="172"/>
      <c r="B998" s="172"/>
      <c r="C998" s="172"/>
      <c r="D998" s="3"/>
      <c r="E998" s="3"/>
      <c r="F998" s="983"/>
      <c r="G998"/>
      <c r="I998" s="490"/>
    </row>
    <row r="999" spans="1:9" ht="12.75" customHeight="1">
      <c r="A999" s="354"/>
      <c r="B999" s="485" t="s">
        <v>306</v>
      </c>
      <c r="C999" s="354"/>
      <c r="D999" s="1297" t="s">
        <v>1888</v>
      </c>
      <c r="E999" s="1297"/>
      <c r="F999" s="1297"/>
      <c r="G999"/>
      <c r="I999" s="490"/>
    </row>
    <row r="1000" spans="1:9" ht="12.75" customHeight="1">
      <c r="A1000" s="354"/>
      <c r="B1000" s="354"/>
      <c r="C1000" s="354"/>
      <c r="D1000" s="1297"/>
      <c r="E1000" s="1297"/>
      <c r="F1000" s="1297"/>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3" t="s">
        <v>1887</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306</v>
      </c>
      <c r="C1007" s="174"/>
      <c r="D1007" s="1268" t="s">
        <v>1776</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306</v>
      </c>
      <c r="C1012" s="174"/>
      <c r="D1012" s="1268" t="s">
        <v>2183</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306</v>
      </c>
      <c r="C1015" s="354"/>
      <c r="D1015" s="1296" t="s">
        <v>1777</v>
      </c>
      <c r="E1015" s="1296"/>
      <c r="F1015" s="1296"/>
      <c r="G1015"/>
      <c r="I1015" s="490"/>
    </row>
    <row r="1016" spans="1:9" ht="12.75" customHeight="1">
      <c r="A1016" s="354"/>
      <c r="B1016" s="354"/>
      <c r="C1016" s="354"/>
      <c r="D1016" s="3"/>
      <c r="E1016" s="3"/>
      <c r="F1016" s="3"/>
      <c r="G1016"/>
      <c r="I1016" s="490"/>
    </row>
    <row r="1017" spans="1:9" ht="12.75" customHeight="1">
      <c r="A1017" s="175"/>
      <c r="B1017" s="485" t="s">
        <v>306</v>
      </c>
      <c r="C1017" s="354"/>
      <c r="D1017" s="1296" t="s">
        <v>1778</v>
      </c>
      <c r="E1017" s="1296"/>
      <c r="F1017" s="1296"/>
      <c r="G1017"/>
      <c r="I1017" s="490"/>
    </row>
    <row r="1018" spans="1:9" ht="12.75" customHeight="1">
      <c r="A1018" s="354"/>
      <c r="B1018" s="354"/>
      <c r="C1018" s="354"/>
      <c r="D1018" s="118"/>
      <c r="E1018" s="3"/>
      <c r="F1018" s="3"/>
      <c r="G1018"/>
      <c r="I1018" s="490"/>
    </row>
    <row r="1019" spans="1:9" ht="12.75" customHeight="1">
      <c r="A1019" s="175"/>
      <c r="B1019" s="485" t="s">
        <v>306</v>
      </c>
      <c r="C1019" s="354"/>
      <c r="D1019" s="1296" t="s">
        <v>1779</v>
      </c>
      <c r="E1019" s="1296"/>
      <c r="F1019" s="1296"/>
      <c r="G1019"/>
      <c r="I1019" s="490"/>
    </row>
    <row r="1020" spans="1:9" ht="12.75" customHeight="1">
      <c r="A1020" s="354"/>
      <c r="B1020" s="354"/>
      <c r="C1020" s="354"/>
      <c r="D1020" s="118"/>
      <c r="E1020" s="3"/>
      <c r="F1020" s="3"/>
      <c r="G1020"/>
      <c r="I1020" s="490"/>
    </row>
    <row r="1021" spans="1:9" ht="12.75" customHeight="1">
      <c r="A1021" s="175"/>
      <c r="B1021" s="485" t="s">
        <v>306</v>
      </c>
      <c r="C1021" s="354"/>
      <c r="D1021" s="1268" t="s">
        <v>1780</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306</v>
      </c>
      <c r="C1024" s="995"/>
      <c r="D1024" s="1298" t="s">
        <v>1781</v>
      </c>
      <c r="E1024" s="1298"/>
      <c r="F1024" s="1298"/>
      <c r="G1024" s="996"/>
      <c r="I1024" s="490"/>
    </row>
    <row r="1025" spans="1:9" ht="12.75" customHeight="1">
      <c r="A1025" s="995"/>
      <c r="B1025" s="995"/>
      <c r="C1025" s="995"/>
      <c r="D1025" s="1298"/>
      <c r="E1025" s="1298"/>
      <c r="F1025" s="1298"/>
      <c r="G1025" s="996"/>
      <c r="I1025" s="490"/>
    </row>
    <row r="1026" spans="1:9" ht="12.75" customHeight="1">
      <c r="A1026" s="995"/>
      <c r="B1026" s="995"/>
      <c r="C1026" s="995"/>
      <c r="D1026" s="979"/>
      <c r="E1026" s="996"/>
      <c r="F1026" s="996"/>
      <c r="G1026" s="996"/>
      <c r="I1026" s="490"/>
    </row>
    <row r="1027" spans="1:9" ht="12.75" customHeight="1">
      <c r="A1027" s="254"/>
      <c r="B1027" s="485" t="s">
        <v>306</v>
      </c>
      <c r="C1027" s="995"/>
      <c r="D1027" s="1291" t="s">
        <v>1782</v>
      </c>
      <c r="E1027" s="1291"/>
      <c r="F1027" s="1291"/>
      <c r="G1027" s="996"/>
      <c r="I1027" s="490"/>
    </row>
    <row r="1028" spans="1:9" ht="12.75" customHeight="1">
      <c r="A1028" s="995"/>
      <c r="B1028" s="995"/>
      <c r="C1028" s="995"/>
      <c r="D1028" s="979"/>
      <c r="E1028" s="996"/>
      <c r="F1028" s="996"/>
      <c r="G1028" s="996"/>
      <c r="I1028" s="490"/>
    </row>
    <row r="1029" spans="1:9" ht="12.75" customHeight="1">
      <c r="A1029" s="175"/>
      <c r="B1029" s="485" t="s">
        <v>306</v>
      </c>
      <c r="C1029" s="354"/>
      <c r="D1029" s="1296" t="s">
        <v>1783</v>
      </c>
      <c r="E1029" s="1296"/>
      <c r="F1029" s="1296"/>
      <c r="G1029" s="3"/>
      <c r="I1029" s="490"/>
    </row>
    <row r="1030" spans="1:9" ht="12.75" customHeight="1">
      <c r="A1030" s="175"/>
      <c r="B1030" s="175"/>
      <c r="C1030" s="354"/>
      <c r="D1030" s="118"/>
      <c r="E1030" s="3"/>
      <c r="F1030" s="3"/>
      <c r="G1030" s="3"/>
      <c r="I1030" s="490"/>
    </row>
    <row r="1031" spans="1:9" ht="12.75" customHeight="1">
      <c r="A1031" s="175"/>
      <c r="B1031" s="485" t="s">
        <v>306</v>
      </c>
      <c r="C1031" s="354"/>
      <c r="D1031" s="1268" t="s">
        <v>1784</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292" t="s">
        <v>1785</v>
      </c>
      <c r="B1034" s="1292"/>
      <c r="C1034" s="1292"/>
      <c r="D1034" s="1292"/>
      <c r="E1034" s="1292"/>
      <c r="F1034" s="1292"/>
      <c r="G1034" s="1292"/>
      <c r="H1034" s="1023"/>
      <c r="I1034" s="1147"/>
    </row>
    <row r="1035" spans="1:9" ht="12.75" customHeight="1">
      <c r="A1035" s="354"/>
      <c r="B1035" s="354"/>
      <c r="C1035" s="354"/>
      <c r="D1035" s="3"/>
      <c r="E1035" s="3"/>
      <c r="F1035" s="3"/>
      <c r="G1035" s="3"/>
      <c r="I1035" s="490"/>
    </row>
    <row r="1036" spans="1:9" ht="12.75" customHeight="1">
      <c r="A1036" s="354"/>
      <c r="B1036" s="354"/>
      <c r="C1036" s="354"/>
      <c r="D1036" s="1290" t="s">
        <v>1786</v>
      </c>
      <c r="E1036" s="1290"/>
      <c r="F1036" s="1290"/>
      <c r="G1036" s="3"/>
      <c r="I1036" s="490"/>
    </row>
    <row r="1037" spans="1:9" ht="12.75" customHeight="1">
      <c r="A1037" s="354"/>
      <c r="B1037" s="354"/>
      <c r="C1037" s="354"/>
      <c r="D1037" s="1291" t="s">
        <v>1787</v>
      </c>
      <c r="E1037" s="1291"/>
      <c r="F1037" s="1291"/>
      <c r="G1037" s="3"/>
      <c r="I1037" s="490"/>
    </row>
    <row r="1038" spans="1:9" ht="12.75" customHeight="1">
      <c r="A1038" s="172"/>
      <c r="B1038" s="172"/>
      <c r="C1038" s="172"/>
      <c r="D1038" s="3"/>
      <c r="E1038" s="3"/>
      <c r="F1038" s="3"/>
      <c r="G1038" s="3"/>
      <c r="I1038" s="490"/>
    </row>
    <row r="1039" spans="1:9" ht="12.75" customHeight="1">
      <c r="A1039" s="175"/>
      <c r="B1039" s="175"/>
      <c r="C1039" s="174"/>
      <c r="D1039" s="1290" t="s">
        <v>1801</v>
      </c>
      <c r="E1039" s="1290"/>
      <c r="F1039" s="1290"/>
      <c r="G1039" s="3"/>
      <c r="I1039" s="490"/>
    </row>
    <row r="1040" spans="1:9" ht="12.75" customHeight="1">
      <c r="A1040" s="354"/>
      <c r="B1040" s="485" t="s">
        <v>306</v>
      </c>
      <c r="C1040" s="354"/>
      <c r="D1040" s="1291" t="s">
        <v>1270</v>
      </c>
      <c r="E1040" s="1291"/>
      <c r="F1040" s="1291"/>
      <c r="G1040" s="3"/>
      <c r="I1040" s="490"/>
    </row>
    <row r="1041" spans="1:9" ht="12.75" customHeight="1">
      <c r="A1041" s="354"/>
      <c r="B1041" s="175"/>
      <c r="C1041" s="354"/>
      <c r="D1041" s="1291" t="s">
        <v>1788</v>
      </c>
      <c r="E1041" s="1291"/>
      <c r="F1041" s="1291"/>
      <c r="G1041" s="3"/>
      <c r="I1041" s="490"/>
    </row>
    <row r="1042" spans="1:9" ht="12.75" customHeight="1">
      <c r="A1042" s="354"/>
      <c r="B1042" s="354"/>
      <c r="C1042" s="354"/>
      <c r="D1042" s="1291"/>
      <c r="E1042" s="1291"/>
      <c r="F1042" s="1291"/>
      <c r="G1042" s="3"/>
      <c r="I1042" s="490"/>
    </row>
    <row r="1043" spans="1:9" ht="12.75" customHeight="1">
      <c r="A1043" s="1292" t="s">
        <v>1797</v>
      </c>
      <c r="B1043" s="1292"/>
      <c r="C1043" s="1292"/>
      <c r="D1043" s="1292"/>
      <c r="E1043" s="1292"/>
      <c r="F1043" s="1292"/>
      <c r="G1043" s="1292"/>
      <c r="H1043" s="1023"/>
      <c r="I1043" s="1147"/>
    </row>
    <row r="1044" spans="1:9" ht="12.75" customHeight="1">
      <c r="A1044" s="118"/>
      <c r="B1044" s="118"/>
      <c r="C1044" s="354"/>
      <c r="D1044" s="3"/>
      <c r="E1044" s="3"/>
      <c r="F1044" s="3"/>
      <c r="G1044" s="3"/>
      <c r="I1044" s="490"/>
    </row>
    <row r="1045" spans="1:9" ht="12.75" hidden="1" customHeight="1">
      <c r="A1045" s="118"/>
      <c r="B1045" s="402"/>
      <c r="D1045" s="1289" t="s">
        <v>1271</v>
      </c>
      <c r="E1045" s="1289"/>
      <c r="F1045" s="1289"/>
      <c r="G1045" s="3"/>
      <c r="I1045" s="490"/>
    </row>
    <row r="1046" spans="1:9" ht="12.75" hidden="1" customHeight="1">
      <c r="A1046" s="118"/>
      <c r="B1046" s="485" t="s">
        <v>306</v>
      </c>
      <c r="D1046" s="1288" t="s">
        <v>1270</v>
      </c>
      <c r="E1046" s="1288"/>
      <c r="F1046" s="1288"/>
      <c r="G1046" s="3"/>
      <c r="I1046" s="490"/>
    </row>
    <row r="1047" spans="1:9" ht="12.75" hidden="1" customHeight="1">
      <c r="A1047" s="118"/>
      <c r="B1047" s="402"/>
      <c r="D1047" s="1288" t="s">
        <v>1798</v>
      </c>
      <c r="E1047" s="1288"/>
      <c r="F1047" s="1288"/>
      <c r="G1047" s="3"/>
      <c r="I1047" s="490"/>
    </row>
    <row r="1048" spans="1:9" ht="12.75" hidden="1" customHeight="1">
      <c r="A1048" s="118"/>
      <c r="B1048" s="402"/>
      <c r="D1048" s="444"/>
      <c r="E1048" s="444"/>
      <c r="F1048" s="444"/>
      <c r="G1048" s="3"/>
      <c r="I1048" s="490"/>
    </row>
    <row r="1049" spans="1:9" ht="12.75" customHeight="1">
      <c r="A1049" s="118"/>
      <c r="B1049" s="118"/>
      <c r="C1049" s="354"/>
      <c r="D1049" s="1293" t="s">
        <v>1065</v>
      </c>
      <c r="E1049" s="1293"/>
      <c r="F1049" s="1293"/>
      <c r="G1049" s="3"/>
      <c r="I1049" s="490"/>
    </row>
    <row r="1050" spans="1:9" ht="12.75" customHeight="1">
      <c r="A1050" s="319"/>
      <c r="B1050" s="319"/>
      <c r="C1050" s="319"/>
      <c r="D1050" s="1287" t="s">
        <v>2200</v>
      </c>
      <c r="E1050" s="1287"/>
      <c r="F1050" s="1287"/>
      <c r="G1050" s="98"/>
      <c r="I1050" s="490"/>
    </row>
    <row r="1051" spans="1:9" ht="12.75" customHeight="1">
      <c r="A1051" s="175"/>
      <c r="B1051" s="485" t="s">
        <v>306</v>
      </c>
      <c r="C1051" s="354"/>
      <c r="D1051" s="1287" t="s">
        <v>984</v>
      </c>
      <c r="E1051" s="1287"/>
      <c r="F1051" s="1287"/>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292" t="s">
        <v>2615</v>
      </c>
      <c r="B1054" s="1292"/>
      <c r="C1054" s="1292"/>
      <c r="D1054" s="1292"/>
      <c r="E1054" s="1292"/>
      <c r="F1054" s="1292"/>
      <c r="G1054" s="1292"/>
      <c r="H1054" s="1023"/>
      <c r="I1054" s="1147"/>
    </row>
    <row r="1055" spans="1:9">
      <c r="A1055" s="402"/>
      <c r="B1055" s="402"/>
      <c r="C1055" s="402"/>
      <c r="I1055" s="490"/>
    </row>
    <row r="1056" spans="1:9">
      <c r="A1056" s="402"/>
      <c r="B1056" s="402"/>
      <c r="C1056" s="402"/>
      <c r="D1056" s="404" t="s">
        <v>2614</v>
      </c>
      <c r="I1056" s="490"/>
    </row>
    <row r="1057" spans="1:9">
      <c r="A1057" s="402"/>
      <c r="B1057" s="402"/>
      <c r="C1057" s="402"/>
      <c r="D1057" s="402" t="s">
        <v>2618</v>
      </c>
      <c r="I1057" s="490"/>
    </row>
    <row r="1058" spans="1:9">
      <c r="A1058" s="402"/>
      <c r="B1058" s="402"/>
      <c r="C1058" s="402"/>
      <c r="D1058" s="404"/>
      <c r="I1058" s="490"/>
    </row>
    <row r="1059" spans="1:9">
      <c r="A1059" s="402"/>
      <c r="B1059" s="485" t="s">
        <v>306</v>
      </c>
      <c r="C1059" s="402"/>
      <c r="D1059" s="1300" t="s">
        <v>1802</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2619</v>
      </c>
      <c r="I1065" s="490"/>
    </row>
    <row r="1066" spans="1:9">
      <c r="A1066" s="402"/>
      <c r="B1066" s="402"/>
      <c r="C1066" s="402"/>
      <c r="I1066" s="490"/>
    </row>
    <row r="1067" spans="1:9">
      <c r="A1067" s="402"/>
      <c r="B1067" s="485" t="s">
        <v>306</v>
      </c>
      <c r="C1067" s="402"/>
      <c r="D1067" s="402" t="s">
        <v>1800</v>
      </c>
      <c r="I1067" s="490"/>
    </row>
    <row r="1068" spans="1:9">
      <c r="A1068" s="402"/>
      <c r="B1068" s="402"/>
      <c r="C1068" s="402"/>
      <c r="I1068" s="490"/>
    </row>
    <row r="1069" spans="1:9">
      <c r="A1069" s="402"/>
      <c r="B1069" s="485" t="s">
        <v>306</v>
      </c>
      <c r="C1069" s="402"/>
      <c r="D1069" s="1300" t="s">
        <v>1803</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292" t="s">
        <v>1804</v>
      </c>
      <c r="B1075" s="1292"/>
      <c r="C1075" s="1292"/>
      <c r="D1075" s="1292"/>
      <c r="E1075" s="1292"/>
      <c r="F1075" s="1292"/>
      <c r="G1075" s="1292"/>
      <c r="H1075" s="1023"/>
      <c r="I1075" s="1147"/>
    </row>
    <row r="1076" spans="1:9">
      <c r="A1076" s="402"/>
      <c r="B1076" s="402"/>
      <c r="C1076" s="402"/>
      <c r="I1076" s="490"/>
    </row>
    <row r="1077" spans="1:9">
      <c r="A1077" s="402"/>
      <c r="B1077" s="402"/>
      <c r="C1077" s="402"/>
      <c r="I1077" s="490"/>
    </row>
    <row r="1078" spans="1:9">
      <c r="A1078" s="402"/>
      <c r="B1078" s="485" t="s">
        <v>306</v>
      </c>
      <c r="C1078" s="402"/>
      <c r="D1078" s="527" t="s">
        <v>1807</v>
      </c>
      <c r="I1078" s="490"/>
    </row>
    <row r="1079" spans="1:9">
      <c r="A1079" s="402"/>
      <c r="B1079" s="402"/>
      <c r="C1079" s="402"/>
      <c r="D1079" s="527" t="s">
        <v>2628</v>
      </c>
      <c r="I1079" s="490"/>
    </row>
    <row r="1080" spans="1:9">
      <c r="A1080" s="402"/>
      <c r="B1080" s="402"/>
      <c r="C1080" s="402"/>
      <c r="D1080" s="527"/>
      <c r="I1080" s="490"/>
    </row>
    <row r="1081" spans="1:9">
      <c r="A1081" s="402"/>
      <c r="B1081" s="485" t="s">
        <v>306</v>
      </c>
      <c r="C1081" s="402"/>
      <c r="D1081" s="1303" t="s">
        <v>2621</v>
      </c>
      <c r="E1081" s="1303"/>
      <c r="F1081" s="1303"/>
      <c r="I1081" s="490"/>
    </row>
    <row r="1082" spans="1:9">
      <c r="A1082" s="402"/>
      <c r="B1082" s="402"/>
      <c r="C1082" s="402"/>
      <c r="D1082" s="1303"/>
      <c r="E1082" s="1303"/>
      <c r="F1082" s="1303"/>
      <c r="I1082" s="490"/>
    </row>
    <row r="1083" spans="1:9">
      <c r="A1083" s="402"/>
      <c r="B1083" s="402"/>
      <c r="C1083" s="402"/>
      <c r="D1083" s="527" t="s">
        <v>2620</v>
      </c>
      <c r="I1083" s="490"/>
    </row>
    <row r="1084" spans="1:9">
      <c r="A1084" s="402"/>
      <c r="B1084" s="402"/>
      <c r="C1084" s="402"/>
      <c r="D1084" s="527"/>
      <c r="I1084" s="490"/>
    </row>
    <row r="1085" spans="1:9">
      <c r="A1085" s="402"/>
      <c r="B1085" s="485" t="s">
        <v>306</v>
      </c>
      <c r="C1085" s="402"/>
      <c r="D1085" s="119" t="s">
        <v>2629</v>
      </c>
      <c r="I1085" s="490"/>
    </row>
    <row r="1086" spans="1:9">
      <c r="A1086" s="402"/>
      <c r="B1086" s="402"/>
      <c r="C1086" s="402"/>
      <c r="D1086" s="1268" t="s">
        <v>2631</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2630</v>
      </c>
      <c r="I1090" s="490"/>
    </row>
    <row r="1091" spans="1:9">
      <c r="A1091" s="402"/>
      <c r="B1091" s="402"/>
      <c r="C1091" s="402"/>
      <c r="D1091" s="119"/>
      <c r="I1091" s="490"/>
    </row>
    <row r="1092" spans="1:9">
      <c r="A1092" s="402"/>
      <c r="B1092" s="402"/>
      <c r="C1092" s="402"/>
      <c r="D1092" s="527" t="s">
        <v>1805</v>
      </c>
      <c r="I1092" s="490"/>
    </row>
    <row r="1093" spans="1:9">
      <c r="A1093" s="402"/>
      <c r="B1093" s="485" t="s">
        <v>306</v>
      </c>
      <c r="C1093" s="402"/>
      <c r="D1093" s="1299" t="s">
        <v>1806</v>
      </c>
      <c r="E1093" s="1299"/>
      <c r="F1093" s="1299"/>
      <c r="I1093" s="490"/>
    </row>
    <row r="1094" spans="1:9">
      <c r="A1094" s="402"/>
      <c r="B1094" s="402"/>
      <c r="C1094" s="402"/>
      <c r="D1094" s="1299"/>
      <c r="E1094" s="1299"/>
      <c r="F1094" s="1299"/>
      <c r="I1094" s="490"/>
    </row>
    <row r="1095" spans="1:9">
      <c r="A1095" s="402"/>
      <c r="B1095" s="402"/>
      <c r="C1095" s="402"/>
      <c r="D1095" s="1299"/>
      <c r="E1095" s="1299"/>
      <c r="F1095" s="1299"/>
      <c r="I1095" s="490"/>
    </row>
    <row r="1096" spans="1:9">
      <c r="A1096" s="402"/>
      <c r="B1096" s="402"/>
      <c r="C1096" s="402"/>
      <c r="D1096" s="1299"/>
      <c r="E1096" s="1299"/>
      <c r="F1096" s="1299"/>
      <c r="I1096" s="490"/>
    </row>
    <row r="1097" spans="1:9">
      <c r="A1097" s="402"/>
      <c r="B1097" s="402"/>
      <c r="C1097" s="402"/>
      <c r="D1097" s="1299"/>
      <c r="E1097" s="1299"/>
      <c r="F1097" s="1299"/>
      <c r="I1097" s="490"/>
    </row>
    <row r="1098" spans="1:9">
      <c r="A1098" s="402"/>
      <c r="B1098" s="402"/>
      <c r="C1098" s="402"/>
      <c r="D1098" s="527" t="s">
        <v>2632</v>
      </c>
      <c r="I1098" s="490"/>
    </row>
    <row r="1099" spans="1:9">
      <c r="A1099" s="402"/>
      <c r="B1099" s="402"/>
      <c r="C1099" s="402"/>
      <c r="I1099" s="490"/>
    </row>
    <row r="1100" spans="1:9">
      <c r="A1100" s="402"/>
      <c r="B1100" s="485" t="s">
        <v>306</v>
      </c>
      <c r="C1100" s="402"/>
      <c r="D1100" s="1282" t="s">
        <v>2221</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292" t="s">
        <v>1808</v>
      </c>
      <c r="B1104" s="1292"/>
      <c r="C1104" s="1292"/>
      <c r="D1104" s="1292"/>
      <c r="E1104" s="1292"/>
      <c r="F1104" s="1292"/>
      <c r="G1104" s="1292"/>
      <c r="H1104" s="1023"/>
      <c r="I1104" s="1147"/>
    </row>
    <row r="1105" spans="1:9">
      <c r="A1105" s="402"/>
      <c r="B1105" s="402"/>
      <c r="C1105" s="402"/>
      <c r="I1105" s="490"/>
    </row>
    <row r="1106" spans="1:9">
      <c r="A1106" s="402"/>
      <c r="B1106" s="402"/>
      <c r="C1106" s="402"/>
      <c r="I1106" s="490"/>
    </row>
    <row r="1107" spans="1:9" ht="12.75" customHeight="1">
      <c r="A1107" s="402"/>
      <c r="B1107" s="485" t="s">
        <v>306</v>
      </c>
      <c r="C1107" s="402"/>
      <c r="D1107" s="1301" t="s">
        <v>1902</v>
      </c>
      <c r="E1107" s="1301"/>
      <c r="F1107" s="1301"/>
      <c r="I1107" s="490"/>
    </row>
    <row r="1108" spans="1:9">
      <c r="A1108" s="402"/>
      <c r="B1108" s="402"/>
      <c r="C1108" s="402"/>
      <c r="D1108" s="1301"/>
      <c r="E1108" s="1301"/>
      <c r="F1108" s="1301"/>
      <c r="I1108" s="490"/>
    </row>
    <row r="1109" spans="1:9">
      <c r="A1109" s="402"/>
      <c r="B1109" s="402"/>
      <c r="C1109" s="402"/>
      <c r="D1109" s="1302" t="s">
        <v>2636</v>
      </c>
      <c r="E1109" s="1268"/>
      <c r="F1109" s="1268"/>
      <c r="I1109" s="490"/>
    </row>
    <row r="1110" spans="1:9">
      <c r="A1110" s="402"/>
      <c r="B1110" s="402"/>
      <c r="C1110" s="402"/>
      <c r="D1110" s="527"/>
      <c r="I1110" s="490"/>
    </row>
    <row r="1111" spans="1:9">
      <c r="A1111" s="402"/>
      <c r="B1111" s="485" t="s">
        <v>306</v>
      </c>
      <c r="C1111" s="402"/>
      <c r="D1111" s="1299" t="s">
        <v>2584</v>
      </c>
      <c r="E1111" s="1299"/>
      <c r="F1111" s="1299"/>
      <c r="I1111" s="490"/>
    </row>
    <row r="1112" spans="1:9">
      <c r="A1112" s="402"/>
      <c r="B1112" s="402"/>
      <c r="C1112" s="402"/>
      <c r="D1112" s="1299"/>
      <c r="E1112" s="1299"/>
      <c r="F1112" s="1299"/>
      <c r="I1112" s="490"/>
    </row>
    <row r="1113" spans="1:9">
      <c r="A1113" s="402"/>
      <c r="B1113" s="402"/>
      <c r="C1113" s="402"/>
      <c r="D1113" s="1299"/>
      <c r="E1113" s="1299"/>
      <c r="F1113" s="1299"/>
      <c r="I1113" s="490"/>
    </row>
    <row r="1114" spans="1:9">
      <c r="A1114" s="402"/>
      <c r="B1114" s="402"/>
      <c r="C1114" s="402"/>
      <c r="D1114" s="527"/>
      <c r="I1114" s="490"/>
    </row>
    <row r="1115" spans="1:9">
      <c r="A1115" s="402"/>
      <c r="B1115" s="485" t="s">
        <v>306</v>
      </c>
      <c r="C1115" s="402"/>
      <c r="D1115" s="1299" t="s">
        <v>2603</v>
      </c>
      <c r="E1115" s="1299"/>
      <c r="F1115" s="1299"/>
      <c r="I1115" s="490"/>
    </row>
    <row r="1116" spans="1:9">
      <c r="A1116" s="402"/>
      <c r="B1116" s="402"/>
      <c r="C1116" s="402"/>
      <c r="D1116" s="1299"/>
      <c r="E1116" s="1299"/>
      <c r="F1116" s="1299"/>
      <c r="I1116" s="490"/>
    </row>
    <row r="1117" spans="1:9">
      <c r="A1117" s="402"/>
      <c r="B1117" s="402"/>
      <c r="C1117" s="402"/>
      <c r="D1117" s="1299"/>
      <c r="E1117" s="1299"/>
      <c r="F1117" s="1299"/>
      <c r="I1117" s="490"/>
    </row>
    <row r="1118" spans="1:9">
      <c r="A1118" s="402"/>
      <c r="B1118" s="402"/>
      <c r="C1118" s="402"/>
      <c r="D1118" s="1299"/>
      <c r="E1118" s="1299"/>
      <c r="F1118" s="1299"/>
      <c r="I1118" s="490"/>
    </row>
    <row r="1119" spans="1:9">
      <c r="A1119" s="402"/>
      <c r="B1119" s="402"/>
      <c r="C1119" s="402"/>
      <c r="D1119" s="1299"/>
      <c r="E1119" s="1299"/>
      <c r="F1119" s="1299"/>
      <c r="I1119" s="490"/>
    </row>
    <row r="1120" spans="1:9" ht="12.5">
      <c r="A1120" s="402"/>
      <c r="B1120" s="402"/>
      <c r="C1120" s="402"/>
      <c r="D1120" s="527"/>
      <c r="I1120" s="480"/>
    </row>
    <row r="1121" spans="1:9">
      <c r="A1121" s="402"/>
      <c r="B1121" s="485" t="s">
        <v>306</v>
      </c>
      <c r="C1121" s="402"/>
      <c r="D1121" s="1299" t="s">
        <v>1809</v>
      </c>
      <c r="E1121" s="1299"/>
      <c r="F1121" s="1299"/>
      <c r="I1121" s="490"/>
    </row>
    <row r="1122" spans="1:9">
      <c r="A1122" s="402"/>
      <c r="B1122" s="402"/>
      <c r="C1122" s="402"/>
      <c r="D1122" s="1299"/>
      <c r="E1122" s="1299"/>
      <c r="F1122" s="1299"/>
      <c r="I1122" s="490"/>
    </row>
    <row r="1123" spans="1:9">
      <c r="A1123" s="402"/>
      <c r="B1123" s="402"/>
      <c r="C1123" s="402"/>
      <c r="D1123" s="1299"/>
      <c r="E1123" s="1299"/>
      <c r="F1123" s="1299"/>
      <c r="I1123" s="490"/>
    </row>
    <row r="1124" spans="1:9">
      <c r="A1124" s="402"/>
      <c r="B1124" s="402"/>
      <c r="C1124" s="402"/>
      <c r="D1124" s="527"/>
      <c r="I1124" s="490"/>
    </row>
    <row r="1125" spans="1:9">
      <c r="A1125" s="402"/>
      <c r="B1125" s="485" t="s">
        <v>306</v>
      </c>
      <c r="C1125" s="402"/>
      <c r="D1125" s="1273" t="s">
        <v>1861</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306</v>
      </c>
      <c r="C1129" s="402"/>
      <c r="D1129" s="1268" t="s">
        <v>1862</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306</v>
      </c>
      <c r="C1134" s="402"/>
      <c r="D1134" s="1273" t="s">
        <v>2613</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ht="12.5">
      <c r="A1141" s="402"/>
      <c r="B1141" s="485" t="s">
        <v>306</v>
      </c>
      <c r="C1141" s="402"/>
      <c r="D1141" s="1300" t="s">
        <v>2585</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9"/>
      <c r="H1553" s="1309"/>
      <c r="I1553" s="1309"/>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614" zoomScale="110" zoomScaleNormal="110" workbookViewId="0">
      <selection activeCell="Q635" sqref="Q635:S635"/>
    </sheetView>
  </sheetViews>
  <sheetFormatPr defaultColWidth="0" defaultRowHeight="0" customHeight="1" zeroHeight="1"/>
  <cols>
    <col min="1" max="45" width="2.7265625" customWidth="1"/>
    <col min="46" max="46" width="12.453125" customWidth="1"/>
    <col min="47" max="16384" width="12.453125" hidden="1"/>
  </cols>
  <sheetData>
    <row r="1" spans="1:58" ht="13" customHeight="1">
      <c r="J1" s="100"/>
      <c r="AS1" s="1026">
        <v>4</v>
      </c>
      <c r="BD1" s="3" t="s">
        <v>2426</v>
      </c>
      <c r="BE1" s="3"/>
      <c r="BF1" s="3"/>
    </row>
    <row r="2" spans="1:58" ht="13" customHeight="1">
      <c r="BD2" s="3" t="s">
        <v>2427</v>
      </c>
      <c r="BE2" s="3" t="s">
        <v>2428</v>
      </c>
      <c r="BF2" s="3" t="s">
        <v>2429</v>
      </c>
    </row>
    <row r="3" spans="1:58" ht="13" customHeight="1">
      <c r="BD3" s="3" t="s">
        <v>2521</v>
      </c>
      <c r="BE3" t="str">
        <f>AC220</f>
        <v>City of Los Angeles</v>
      </c>
    </row>
    <row r="4" spans="1:58" ht="13" customHeight="1">
      <c r="BD4" s="3" t="s">
        <v>2436</v>
      </c>
      <c r="BE4" s="1180"/>
    </row>
    <row r="5" spans="1:58" ht="13" customHeight="1">
      <c r="BD5" s="3" t="s">
        <v>2437</v>
      </c>
      <c r="BE5">
        <f>SUMIF($AC$726:$AC$760,"&lt;=20%",$G$726:G$760)</f>
        <v>0</v>
      </c>
      <c r="BF5" s="3" t="s">
        <v>2442</v>
      </c>
    </row>
    <row r="6" spans="1:58" ht="13" customHeight="1">
      <c r="BD6" s="3" t="s">
        <v>2438</v>
      </c>
      <c r="BE6" s="1183">
        <f>SUMIF($AC$726:$AC$760,"&lt;=25%",$G$726:G$760)-SUM($BE$5:BE5)</f>
        <v>0</v>
      </c>
    </row>
    <row r="7" spans="1:58" ht="13" customHeight="1">
      <c r="BD7" s="1181" t="s">
        <v>2430</v>
      </c>
      <c r="BE7" s="1183">
        <f>SUMIF($AC$726:$AC$760,"&lt;=30%",$G$726:G$760)-SUM($BE$5:BE6)</f>
        <v>30</v>
      </c>
    </row>
    <row r="8" spans="1:58" ht="26.25" customHeight="1">
      <c r="A8" s="1505" t="s">
        <v>100</v>
      </c>
      <c r="B8" s="1505"/>
      <c r="C8" s="1505"/>
      <c r="D8" s="1505"/>
      <c r="E8" s="1505"/>
      <c r="F8" s="1505"/>
      <c r="G8" s="1505"/>
      <c r="H8" s="1505"/>
      <c r="I8" s="1505"/>
      <c r="J8" s="1505"/>
      <c r="K8" s="1505"/>
      <c r="L8" s="1505"/>
      <c r="M8" s="1505"/>
      <c r="N8" s="1505"/>
      <c r="O8" s="1505"/>
      <c r="P8" s="1505"/>
      <c r="Q8" s="1505"/>
      <c r="R8" s="1505"/>
      <c r="S8" s="1505"/>
      <c r="T8" s="1505"/>
      <c r="U8" s="1505"/>
      <c r="V8" s="1505"/>
      <c r="W8" s="1505"/>
      <c r="X8" s="1505"/>
      <c r="Y8" s="1505"/>
      <c r="Z8" s="1505"/>
      <c r="AA8" s="1505"/>
      <c r="AB8" s="1505"/>
      <c r="AC8" s="1505"/>
      <c r="AD8" s="1505"/>
      <c r="AE8" s="1505"/>
      <c r="AF8" s="1505"/>
      <c r="AG8" s="1505"/>
      <c r="AH8" s="1505"/>
      <c r="AI8" s="1505"/>
      <c r="AJ8" s="1505"/>
      <c r="AK8" s="1505"/>
      <c r="AL8" s="1505"/>
      <c r="AM8" s="1505"/>
      <c r="AN8" s="1505"/>
      <c r="AO8" s="1505"/>
      <c r="AP8" s="1505"/>
      <c r="AQ8" s="1505"/>
      <c r="AR8" s="1505"/>
      <c r="AS8" s="1505"/>
      <c r="AT8" s="1505"/>
      <c r="AU8" s="894"/>
      <c r="AV8" s="894"/>
      <c r="AW8" s="894"/>
      <c r="AX8" s="894"/>
      <c r="AY8" s="894"/>
      <c r="BD8" s="3" t="s">
        <v>2439</v>
      </c>
      <c r="BE8" s="1183">
        <f>SUMIF($AC$726:$AC$760,"&lt;=35%",$G$726:G$760)-SUM($BE$5:BE7)</f>
        <v>0</v>
      </c>
    </row>
    <row r="9" spans="1:58" ht="13" customHeight="1">
      <c r="A9" s="1343" t="s">
        <v>2032</v>
      </c>
      <c r="B9" s="1343"/>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1343"/>
      <c r="AT9" s="1343"/>
      <c r="AU9" s="13"/>
      <c r="AV9" s="13"/>
      <c r="AW9" s="13"/>
      <c r="AX9" s="13"/>
      <c r="AY9" s="13"/>
      <c r="BD9" s="1182" t="s">
        <v>2431</v>
      </c>
      <c r="BE9" s="1183">
        <f>SUMIF($AC$726:$AC$760,"&lt;=40%",$G$726:G$760)-SUM($BE$5:BE8)</f>
        <v>0</v>
      </c>
    </row>
    <row r="10" spans="1:58" ht="13" customHeight="1">
      <c r="A10" s="1343" t="s">
        <v>2605</v>
      </c>
      <c r="B10" s="1343"/>
      <c r="C10" s="1343"/>
      <c r="D10" s="1343"/>
      <c r="E10" s="1343"/>
      <c r="F10" s="1343"/>
      <c r="G10" s="1343"/>
      <c r="H10" s="1343"/>
      <c r="I10" s="1343"/>
      <c r="J10" s="1343"/>
      <c r="K10" s="1343"/>
      <c r="L10" s="1343"/>
      <c r="M10" s="1343"/>
      <c r="N10" s="1343"/>
      <c r="O10" s="1343"/>
      <c r="P10" s="1343"/>
      <c r="Q10" s="1343"/>
      <c r="R10" s="1343"/>
      <c r="S10" s="1343"/>
      <c r="T10" s="134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c r="AR10" s="1343"/>
      <c r="AS10" s="1343"/>
      <c r="AT10" s="1343"/>
      <c r="AU10" s="13"/>
      <c r="AV10" s="13"/>
      <c r="AW10" s="13"/>
      <c r="AX10" s="13"/>
      <c r="AY10" s="13"/>
      <c r="BD10" s="3" t="s">
        <v>2440</v>
      </c>
      <c r="BE10" s="1183">
        <f>SUMIF($AC$726:$AC$760,"&lt;=45%",$G$726:G$760)-SUM($BE$5:BE9)</f>
        <v>0</v>
      </c>
    </row>
    <row r="11" spans="1:58" ht="13" customHeight="1">
      <c r="A11" s="1343" t="s">
        <v>2529</v>
      </c>
      <c r="B11" s="1343"/>
      <c r="C11" s="1343"/>
      <c r="D11" s="1343"/>
      <c r="E11" s="1343"/>
      <c r="F11" s="1343"/>
      <c r="G11" s="1343"/>
      <c r="H11" s="1343"/>
      <c r="I11" s="1343"/>
      <c r="J11" s="1343"/>
      <c r="K11" s="1343"/>
      <c r="L11" s="1343"/>
      <c r="M11" s="1343"/>
      <c r="N11" s="1343"/>
      <c r="O11" s="1343"/>
      <c r="P11" s="1343"/>
      <c r="Q11" s="1343"/>
      <c r="R11" s="1343"/>
      <c r="S11" s="1343"/>
      <c r="T11" s="1343"/>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
      <c r="AV11" s="13"/>
      <c r="AW11" s="13"/>
      <c r="AX11" s="13"/>
      <c r="AY11" s="13"/>
      <c r="BD11" s="1181" t="s">
        <v>2432</v>
      </c>
      <c r="BE11" s="1183">
        <f>SUMIF($AC$726:$AC$760,"&lt;=50%",$G$726:G$760)-SUM($BE$5:BE10)</f>
        <v>30</v>
      </c>
    </row>
    <row r="12" spans="1:58" ht="13" customHeight="1">
      <c r="A12" s="1506" t="s">
        <v>2642</v>
      </c>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c r="AT12" s="1506"/>
      <c r="AU12" s="6"/>
      <c r="AV12" s="6"/>
      <c r="AW12" s="6"/>
      <c r="AX12" s="6"/>
      <c r="AY12" s="6"/>
      <c r="BD12" s="3" t="s">
        <v>2441</v>
      </c>
      <c r="BE12" s="1183">
        <f>SUMIF($AC$726:$AC$760,"&lt;=55%",$G$726:G$760)-SUM($BE$5:BE11)</f>
        <v>0</v>
      </c>
    </row>
    <row r="13" spans="1:58" ht="13" customHeight="1">
      <c r="A13" s="1266" t="s">
        <v>2033</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5"/>
      <c r="AV13" s="895"/>
      <c r="AW13" s="895"/>
      <c r="AX13" s="895"/>
      <c r="AY13" s="895"/>
      <c r="BD13" s="1182" t="s">
        <v>2433</v>
      </c>
      <c r="BE13" s="1183">
        <f>SUMIF($AC$726:$AC$760,"&lt;=60%",$G$726:G$760)-SUM($BE$5:BE12)</f>
        <v>0</v>
      </c>
    </row>
    <row r="14" spans="1:58" ht="13"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5"/>
      <c r="AV14" s="895"/>
      <c r="AW14" s="895"/>
      <c r="AX14" s="895"/>
      <c r="AY14" s="895"/>
      <c r="BD14" s="1181" t="s">
        <v>2434</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3" customHeight="1">
      <c r="A16" s="57" t="s">
        <v>2034</v>
      </c>
      <c r="C16" s="4"/>
      <c r="D16" s="4"/>
      <c r="E16" s="4"/>
      <c r="F16" s="4"/>
      <c r="G16" s="4"/>
      <c r="H16" s="1514" t="s">
        <v>2643</v>
      </c>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BD16" s="1182" t="s">
        <v>655</v>
      </c>
      <c r="BE16" s="1183" t="str">
        <f>Application!H18</f>
        <v>George McDonald Court</v>
      </c>
    </row>
    <row r="17" spans="1:58" ht="13" customHeight="1">
      <c r="BD17" s="1181" t="s">
        <v>2447</v>
      </c>
      <c r="BE17" s="1183">
        <f>Application!AA943</f>
        <v>0</v>
      </c>
    </row>
    <row r="18" spans="1:58" ht="13" customHeight="1">
      <c r="A18" s="57" t="s">
        <v>101</v>
      </c>
      <c r="C18" s="4"/>
      <c r="D18" s="4"/>
      <c r="E18" s="4"/>
      <c r="F18" s="4"/>
      <c r="G18" s="4"/>
      <c r="H18" s="1511" t="s">
        <v>2644</v>
      </c>
      <c r="I18" s="1512"/>
      <c r="J18" s="1512"/>
      <c r="K18" s="1512"/>
      <c r="L18" s="1512"/>
      <c r="M18" s="1512"/>
      <c r="N18" s="1512"/>
      <c r="O18" s="1512"/>
      <c r="P18" s="1512"/>
      <c r="Q18" s="1512"/>
      <c r="R18" s="1512"/>
      <c r="S18" s="1512"/>
      <c r="T18" s="1512"/>
      <c r="U18" s="1512"/>
      <c r="V18" s="1512"/>
      <c r="W18" s="1512"/>
      <c r="X18" s="1512"/>
      <c r="Y18" s="1512"/>
      <c r="Z18" s="1512"/>
      <c r="AA18" s="1512"/>
      <c r="AB18" s="1512"/>
      <c r="AC18" s="1512"/>
      <c r="AD18" s="1512"/>
      <c r="AE18" s="1512"/>
      <c r="AF18" s="1512"/>
      <c r="AG18" s="1512"/>
      <c r="AH18" s="1512"/>
      <c r="AI18" s="1512"/>
      <c r="AJ18" s="1512"/>
      <c r="BD18" s="1182" t="s">
        <v>2448</v>
      </c>
      <c r="BE18" s="1183">
        <f>AA943</f>
        <v>0</v>
      </c>
    </row>
    <row r="19" spans="1:58" ht="13" customHeight="1">
      <c r="BD19" s="1181" t="s">
        <v>2449</v>
      </c>
      <c r="BE19" s="1183">
        <f>Application!M26</f>
        <v>1324941</v>
      </c>
    </row>
    <row r="20" spans="1:58" ht="13" customHeight="1">
      <c r="A20" s="1507" t="s">
        <v>872</v>
      </c>
      <c r="B20" s="1507"/>
      <c r="C20" s="1507"/>
      <c r="D20" s="1507"/>
      <c r="E20" s="1507"/>
      <c r="F20" s="1507"/>
      <c r="G20" s="1507"/>
      <c r="H20" s="1507"/>
      <c r="I20" s="1507"/>
      <c r="J20" s="1507"/>
      <c r="K20" s="1507"/>
      <c r="L20" s="1507"/>
      <c r="M20" s="1507"/>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c r="AL20" s="1507"/>
      <c r="AM20" s="1507"/>
      <c r="AN20" s="1507"/>
      <c r="AO20" s="1507"/>
      <c r="AP20" s="1507"/>
      <c r="AQ20" s="1507"/>
      <c r="AR20" s="1507"/>
      <c r="AS20" s="1507"/>
      <c r="AT20" s="1507"/>
      <c r="AU20" s="896"/>
      <c r="AV20" s="896"/>
      <c r="AW20" s="896"/>
      <c r="AX20" s="896"/>
      <c r="AY20" s="896"/>
      <c r="BD20" s="1182" t="s">
        <v>2450</v>
      </c>
      <c r="BE20" s="1183">
        <f>Application!M27</f>
        <v>0</v>
      </c>
    </row>
    <row r="21" spans="1:58" ht="13" customHeight="1">
      <c r="A21" s="1407" t="s">
        <v>1008</v>
      </c>
      <c r="B21" s="1407"/>
      <c r="C21" s="140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407"/>
      <c r="AM21" s="897"/>
      <c r="AN21" s="897"/>
      <c r="AO21" s="897"/>
      <c r="AP21" s="897"/>
      <c r="AQ21" s="897"/>
      <c r="AR21" s="897"/>
      <c r="AS21" s="897"/>
      <c r="AT21" s="897"/>
      <c r="AU21" s="897"/>
      <c r="AV21" s="897"/>
      <c r="AW21" s="897"/>
      <c r="AX21" s="897"/>
      <c r="AY21" s="897"/>
      <c r="BD21" s="1181" t="s">
        <v>2451</v>
      </c>
      <c r="BE21" s="1183">
        <f>Application!AM562</f>
        <v>8942000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35096325</v>
      </c>
      <c r="BF22" s="3" t="s">
        <v>2522</v>
      </c>
    </row>
    <row r="23" spans="1:58" ht="13" customHeight="1">
      <c r="A23" s="1301" t="s">
        <v>2100</v>
      </c>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c r="AU23" s="18"/>
      <c r="AV23" s="18"/>
      <c r="AW23" s="18"/>
      <c r="AX23" s="18"/>
      <c r="AY23" s="18"/>
      <c r="AZ23" s="18"/>
      <c r="BD23" s="1181" t="s">
        <v>2452</v>
      </c>
      <c r="BE23" s="1183">
        <f>'Sources and Uses Budget'!B4</f>
        <v>4600000</v>
      </c>
    </row>
    <row r="24" spans="1:58" ht="13" customHeight="1">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1"/>
      <c r="AR24" s="1301"/>
      <c r="AS24" s="1301"/>
      <c r="AT24" s="1301"/>
      <c r="AU24" s="18"/>
      <c r="AV24" s="18"/>
      <c r="AW24" s="18"/>
      <c r="AX24" s="18"/>
      <c r="AY24" s="18"/>
      <c r="AZ24" s="18"/>
      <c r="BD24" s="1182" t="s">
        <v>2453</v>
      </c>
      <c r="BE24" s="1183">
        <f>Application!AG459</f>
        <v>54492</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v>
      </c>
    </row>
    <row r="26" spans="1:58" ht="13" customHeight="1">
      <c r="A26" s="4"/>
      <c r="C26" s="4"/>
      <c r="D26" s="4"/>
      <c r="E26" s="4"/>
      <c r="F26" s="4"/>
      <c r="G26" s="4"/>
      <c r="H26" s="4"/>
      <c r="I26" s="4"/>
      <c r="J26" s="4"/>
      <c r="K26" s="4"/>
      <c r="L26" s="4"/>
      <c r="M26" s="1513">
        <f>'Basis &amp; Credits'!AB56</f>
        <v>1324941</v>
      </c>
      <c r="N26" s="1513"/>
      <c r="O26" s="1513"/>
      <c r="P26" s="1513"/>
      <c r="Q26" s="1513"/>
      <c r="R26" s="4" t="s">
        <v>758</v>
      </c>
      <c r="S26" s="4"/>
      <c r="T26" s="4"/>
      <c r="U26" s="4"/>
      <c r="V26" s="4"/>
      <c r="W26" s="4"/>
      <c r="X26" s="4"/>
      <c r="Y26" s="4"/>
      <c r="Z26" s="4"/>
      <c r="AF26" s="4"/>
      <c r="AG26" s="4"/>
      <c r="AH26" s="4"/>
      <c r="AI26" s="4"/>
      <c r="AJ26" s="4"/>
      <c r="AK26" s="4"/>
      <c r="BD26" s="1182" t="s">
        <v>1627</v>
      </c>
      <c r="BE26" s="1183" t="b">
        <f>Application!M365="Yes"</f>
        <v>0</v>
      </c>
    </row>
    <row r="27" spans="1:58" ht="13" customHeight="1">
      <c r="A27" s="4"/>
      <c r="C27" s="4"/>
      <c r="D27" s="4"/>
      <c r="E27" s="4"/>
      <c r="F27" s="4"/>
      <c r="G27" s="4"/>
      <c r="H27" s="4"/>
      <c r="I27" s="4"/>
      <c r="J27" s="4"/>
      <c r="K27" s="4"/>
      <c r="L27" s="4"/>
      <c r="M27" s="1408">
        <f>'Basis &amp; Credits'!AB78</f>
        <v>0</v>
      </c>
      <c r="N27" s="1408"/>
      <c r="O27" s="1408"/>
      <c r="P27" s="1408"/>
      <c r="Q27" s="1408"/>
      <c r="R27" s="3" t="s">
        <v>1266</v>
      </c>
      <c r="S27" s="4"/>
      <c r="T27" s="4"/>
      <c r="U27" s="4"/>
      <c r="V27" s="4"/>
      <c r="W27" s="4"/>
      <c r="X27" s="4"/>
      <c r="Y27" s="4"/>
      <c r="Z27" s="4"/>
      <c r="AF27" s="4"/>
      <c r="AG27" s="4"/>
      <c r="AH27" s="4"/>
      <c r="AI27" s="4"/>
      <c r="AJ27" s="4"/>
      <c r="AK27" s="4"/>
      <c r="BD27" s="1181" t="s">
        <v>2053</v>
      </c>
      <c r="BE27" s="1183" t="b">
        <f>Application!M364="Yes"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3" customHeight="1">
      <c r="A29" s="1508" t="s">
        <v>2101</v>
      </c>
      <c r="B29" s="1508"/>
      <c r="C29" s="1508"/>
      <c r="D29" s="1508"/>
      <c r="E29" s="1508"/>
      <c r="F29" s="1508"/>
      <c r="G29" s="1508"/>
      <c r="H29" s="1508"/>
      <c r="I29" s="1508"/>
      <c r="J29" s="1508"/>
      <c r="K29" s="1508"/>
      <c r="L29" s="1508"/>
      <c r="M29" s="1508"/>
      <c r="N29" s="1508"/>
      <c r="O29" s="1508"/>
      <c r="P29" s="1508"/>
      <c r="Q29" s="1508"/>
      <c r="R29" s="1508"/>
      <c r="S29" s="1508"/>
      <c r="T29" s="1508"/>
      <c r="U29" s="1508"/>
      <c r="V29" s="1508"/>
      <c r="W29" s="1508"/>
      <c r="X29" s="1508"/>
      <c r="Y29" s="1508"/>
      <c r="Z29" s="1508"/>
      <c r="AA29" s="1508"/>
      <c r="AB29" s="1508"/>
      <c r="AC29" s="1508"/>
      <c r="AD29" s="1508"/>
      <c r="AE29" s="1508"/>
      <c r="AF29" s="1508"/>
      <c r="AG29" s="1508"/>
      <c r="AH29" s="1508"/>
      <c r="AI29" s="1508"/>
      <c r="AJ29" s="1508"/>
      <c r="AK29" s="1508"/>
      <c r="AL29" s="1508"/>
      <c r="AM29" s="1508"/>
      <c r="AN29" s="1508"/>
      <c r="AO29" s="1508"/>
      <c r="AP29" s="1508"/>
      <c r="AQ29" s="1508"/>
      <c r="AR29" s="1508"/>
      <c r="AS29" s="1508"/>
      <c r="AT29" s="1508"/>
      <c r="BD29" s="1181" t="s">
        <v>2456</v>
      </c>
      <c r="BE29" s="1183" t="b">
        <f>Application!M367="Yes"</f>
        <v>1</v>
      </c>
    </row>
    <row r="30" spans="1:58" ht="13" customHeight="1">
      <c r="A30" s="1508"/>
      <c r="B30" s="1508"/>
      <c r="C30" s="1508"/>
      <c r="D30" s="1508"/>
      <c r="E30" s="1508"/>
      <c r="F30" s="1508"/>
      <c r="G30" s="1508"/>
      <c r="H30" s="1508"/>
      <c r="I30" s="1508"/>
      <c r="J30" s="1508"/>
      <c r="K30" s="1508"/>
      <c r="L30" s="1508"/>
      <c r="M30" s="1508"/>
      <c r="N30" s="1508"/>
      <c r="O30" s="1508"/>
      <c r="P30" s="1508"/>
      <c r="Q30" s="1508"/>
      <c r="R30" s="1508"/>
      <c r="S30" s="1508"/>
      <c r="T30" s="1508"/>
      <c r="U30" s="1508"/>
      <c r="V30" s="1508"/>
      <c r="W30" s="1508"/>
      <c r="X30" s="1508"/>
      <c r="Y30" s="1508"/>
      <c r="Z30" s="1508"/>
      <c r="AA30" s="1508"/>
      <c r="AB30" s="1508"/>
      <c r="AC30" s="1508"/>
      <c r="AD30" s="1508"/>
      <c r="AE30" s="1508"/>
      <c r="AF30" s="1508"/>
      <c r="AG30" s="1508"/>
      <c r="AH30" s="1508"/>
      <c r="AI30" s="1508"/>
      <c r="AJ30" s="1508"/>
      <c r="AK30" s="1508"/>
      <c r="AL30" s="1508"/>
      <c r="AM30" s="1508"/>
      <c r="AN30" s="1508"/>
      <c r="AO30" s="1508"/>
      <c r="AP30" s="1508"/>
      <c r="AQ30" s="1508"/>
      <c r="AR30" s="1508"/>
      <c r="AS30" s="1508"/>
      <c r="AT30" s="1508"/>
      <c r="AZ30" s="20"/>
      <c r="BD30" s="1182" t="s">
        <v>28</v>
      </c>
      <c r="BE30" s="1183" t="b">
        <f>Application!AJ364="Yes"</f>
        <v>0</v>
      </c>
    </row>
    <row r="31" spans="1:58" ht="13" customHeight="1">
      <c r="A31" s="1508"/>
      <c r="B31" s="1508"/>
      <c r="C31" s="1508"/>
      <c r="D31" s="1508"/>
      <c r="E31" s="1508"/>
      <c r="F31" s="1508"/>
      <c r="G31" s="1508"/>
      <c r="H31" s="1508"/>
      <c r="I31" s="1508"/>
      <c r="J31" s="1508"/>
      <c r="K31" s="1508"/>
      <c r="L31" s="1508"/>
      <c r="M31" s="1508"/>
      <c r="N31" s="1508"/>
      <c r="O31" s="1508"/>
      <c r="P31" s="1508"/>
      <c r="Q31" s="1508"/>
      <c r="R31" s="1508"/>
      <c r="S31" s="1508"/>
      <c r="T31" s="1508"/>
      <c r="U31" s="1508"/>
      <c r="V31" s="1508"/>
      <c r="W31" s="1508"/>
      <c r="X31" s="1508"/>
      <c r="Y31" s="1508"/>
      <c r="Z31" s="1508"/>
      <c r="AA31" s="1508"/>
      <c r="AB31" s="1508"/>
      <c r="AC31" s="1508"/>
      <c r="AD31" s="1508"/>
      <c r="AE31" s="1508"/>
      <c r="AF31" s="1508"/>
      <c r="AG31" s="1508"/>
      <c r="AH31" s="1508"/>
      <c r="AI31" s="1508"/>
      <c r="AJ31" s="1508"/>
      <c r="AK31" s="1508"/>
      <c r="AL31" s="1508"/>
      <c r="AM31" s="1508"/>
      <c r="AN31" s="1508"/>
      <c r="AO31" s="1508"/>
      <c r="AP31" s="1508"/>
      <c r="AQ31" s="1508"/>
      <c r="AR31" s="1508"/>
      <c r="AS31" s="1508"/>
      <c r="AT31" s="1508"/>
      <c r="AU31" s="20"/>
      <c r="AV31" s="20"/>
      <c r="AW31" s="20"/>
      <c r="AX31" s="20"/>
      <c r="AY31" s="20"/>
      <c r="AZ31" s="20"/>
      <c r="BD31" s="1181" t="s">
        <v>2457</v>
      </c>
      <c r="BE31" s="118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3" hidden="1" customHeight="1">
      <c r="A33" s="519" t="s">
        <v>1277</v>
      </c>
      <c r="C33" s="519"/>
      <c r="D33" s="519"/>
      <c r="E33" s="519"/>
      <c r="F33" s="519"/>
      <c r="G33" s="519"/>
      <c r="H33" s="519"/>
      <c r="I33" s="519"/>
      <c r="J33" s="519"/>
      <c r="K33" s="519"/>
      <c r="L33" s="519"/>
      <c r="M33" s="519"/>
      <c r="N33" s="519"/>
      <c r="O33" s="1339" t="s">
        <v>668</v>
      </c>
      <c r="P33" s="1339"/>
      <c r="Q33" s="1509" t="s">
        <v>2102</v>
      </c>
      <c r="R33" s="1509"/>
      <c r="S33" s="1509"/>
      <c r="T33" s="1509"/>
      <c r="U33" s="1509"/>
      <c r="V33" s="1509"/>
      <c r="W33" s="1509"/>
      <c r="X33" s="1509"/>
      <c r="Y33" s="1509"/>
      <c r="Z33" s="1509"/>
      <c r="AA33" s="1509"/>
      <c r="AB33" s="1509"/>
      <c r="AC33" s="1509"/>
      <c r="AD33" s="1509"/>
      <c r="AE33" s="1509"/>
      <c r="AF33" s="1509"/>
      <c r="AG33" s="1509"/>
      <c r="AH33" s="1509"/>
      <c r="AI33" s="1509"/>
      <c r="AJ33" s="1509"/>
      <c r="AK33" s="1509"/>
      <c r="AL33" s="1509"/>
      <c r="AM33" s="1509"/>
      <c r="AN33" s="1509"/>
      <c r="AO33" s="1509"/>
      <c r="AP33" s="1509"/>
      <c r="AQ33" s="1509"/>
      <c r="AR33" s="1509"/>
      <c r="AS33" s="1509"/>
      <c r="AT33" s="1509"/>
      <c r="AU33" s="20"/>
      <c r="AV33" s="20"/>
      <c r="AW33" s="20"/>
      <c r="AX33" s="20"/>
      <c r="AY33" s="20"/>
      <c r="BD33" s="1181" t="s">
        <v>2523</v>
      </c>
      <c r="BE33" s="1183" t="str">
        <f>Application!D220</f>
        <v>City of Los Angeles</v>
      </c>
    </row>
    <row r="34" spans="1:57" ht="13" hidden="1" customHeight="1">
      <c r="A34" s="1508" t="s">
        <v>2103</v>
      </c>
      <c r="B34" s="1508"/>
      <c r="C34" s="1508"/>
      <c r="D34" s="1508"/>
      <c r="E34" s="1508"/>
      <c r="F34" s="1508"/>
      <c r="G34" s="1508"/>
      <c r="H34" s="1508"/>
      <c r="I34" s="1508"/>
      <c r="J34" s="1508"/>
      <c r="K34" s="1508"/>
      <c r="L34" s="1508"/>
      <c r="M34" s="1508"/>
      <c r="N34" s="1508"/>
      <c r="O34" s="1508"/>
      <c r="P34" s="1508"/>
      <c r="Q34" s="1508"/>
      <c r="R34" s="1508"/>
      <c r="S34" s="1508"/>
      <c r="T34" s="1508"/>
      <c r="U34" s="1508"/>
      <c r="V34" s="1508"/>
      <c r="W34" s="1508"/>
      <c r="X34" s="1508"/>
      <c r="Y34" s="1508"/>
      <c r="Z34" s="1508"/>
      <c r="AA34" s="1508"/>
      <c r="AB34" s="1508"/>
      <c r="AC34" s="1508"/>
      <c r="AD34" s="1508"/>
      <c r="AE34" s="1508"/>
      <c r="AF34" s="1508"/>
      <c r="AG34" s="1508"/>
      <c r="AH34" s="1508"/>
      <c r="AI34" s="1508"/>
      <c r="AJ34" s="1508"/>
      <c r="AK34" s="1508"/>
      <c r="AL34" s="1508"/>
      <c r="AM34" s="1508"/>
      <c r="AN34" s="1508"/>
      <c r="AO34" s="1508"/>
      <c r="AP34" s="1508"/>
      <c r="AQ34" s="1508"/>
      <c r="AR34" s="1508"/>
      <c r="AS34" s="1508"/>
      <c r="AT34" s="1508"/>
      <c r="AU34" s="20"/>
      <c r="AV34" s="20"/>
      <c r="AW34" s="20"/>
      <c r="AX34" s="20"/>
      <c r="AY34" s="20"/>
      <c r="AZ34" s="20"/>
      <c r="BD34" s="1182" t="s">
        <v>2459</v>
      </c>
      <c r="BE34" s="1183" t="str">
        <f>Application!I185</f>
        <v>1800 E 92nd Street</v>
      </c>
    </row>
    <row r="35" spans="1:57" ht="13" hidden="1" customHeight="1">
      <c r="A35" s="1508"/>
      <c r="B35" s="1508"/>
      <c r="C35" s="1508"/>
      <c r="D35" s="1508"/>
      <c r="E35" s="1508"/>
      <c r="F35" s="1508"/>
      <c r="G35" s="1508"/>
      <c r="H35" s="1508"/>
      <c r="I35" s="1508"/>
      <c r="J35" s="1508"/>
      <c r="K35" s="1508"/>
      <c r="L35" s="1508"/>
      <c r="M35" s="1508"/>
      <c r="N35" s="1508"/>
      <c r="O35" s="1508"/>
      <c r="P35" s="1508"/>
      <c r="Q35" s="1508"/>
      <c r="R35" s="1508"/>
      <c r="S35" s="1508"/>
      <c r="T35" s="1508"/>
      <c r="U35" s="1508"/>
      <c r="V35" s="1508"/>
      <c r="W35" s="1508"/>
      <c r="X35" s="1508"/>
      <c r="Y35" s="1508"/>
      <c r="Z35" s="1508"/>
      <c r="AA35" s="1508"/>
      <c r="AB35" s="1508"/>
      <c r="AC35" s="1508"/>
      <c r="AD35" s="1508"/>
      <c r="AE35" s="1508"/>
      <c r="AF35" s="1508"/>
      <c r="AG35" s="1508"/>
      <c r="AH35" s="1508"/>
      <c r="AI35" s="1508"/>
      <c r="AJ35" s="1508"/>
      <c r="AK35" s="1508"/>
      <c r="AL35" s="1508"/>
      <c r="AM35" s="1508"/>
      <c r="AN35" s="1508"/>
      <c r="AO35" s="1508"/>
      <c r="AP35" s="1508"/>
      <c r="AQ35" s="1508"/>
      <c r="AR35" s="1508"/>
      <c r="AS35" s="1508"/>
      <c r="AT35" s="1508"/>
      <c r="AU35" s="20"/>
      <c r="AV35" s="20"/>
      <c r="AW35" s="20"/>
      <c r="AX35" s="20"/>
      <c r="AY35" s="20"/>
      <c r="AZ35" s="20"/>
      <c r="BD35" s="1181" t="s">
        <v>2460</v>
      </c>
      <c r="BE35" s="1183" t="str">
        <f>IF(Application!E187="","",Application!E187)</f>
        <v/>
      </c>
    </row>
    <row r="36" spans="1:57" ht="13" hidden="1" customHeight="1">
      <c r="A36" s="1508"/>
      <c r="B36" s="1508"/>
      <c r="C36" s="1508"/>
      <c r="D36" s="1508"/>
      <c r="E36" s="1508"/>
      <c r="F36" s="1508"/>
      <c r="G36" s="1508"/>
      <c r="H36" s="1508"/>
      <c r="I36" s="1508"/>
      <c r="J36" s="1508"/>
      <c r="K36" s="1508"/>
      <c r="L36" s="1508"/>
      <c r="M36" s="1508"/>
      <c r="N36" s="1508"/>
      <c r="O36" s="1508"/>
      <c r="P36" s="1508"/>
      <c r="Q36" s="1508"/>
      <c r="R36" s="1508"/>
      <c r="S36" s="1508"/>
      <c r="T36" s="1508"/>
      <c r="U36" s="1508"/>
      <c r="V36" s="1508"/>
      <c r="W36" s="1508"/>
      <c r="X36" s="1508"/>
      <c r="Y36" s="1508"/>
      <c r="Z36" s="1508"/>
      <c r="AA36" s="1508"/>
      <c r="AB36" s="1508"/>
      <c r="AC36" s="1508"/>
      <c r="AD36" s="1508"/>
      <c r="AE36" s="1508"/>
      <c r="AF36" s="1508"/>
      <c r="AG36" s="1508"/>
      <c r="AH36" s="1508"/>
      <c r="AI36" s="1508"/>
      <c r="AJ36" s="1508"/>
      <c r="AK36" s="1508"/>
      <c r="AL36" s="1508"/>
      <c r="AM36" s="1508"/>
      <c r="AN36" s="1508"/>
      <c r="AO36" s="1508"/>
      <c r="AP36" s="1508"/>
      <c r="AQ36" s="1508"/>
      <c r="AR36" s="1508"/>
      <c r="AS36" s="1508"/>
      <c r="AT36" s="1508"/>
      <c r="AU36" s="20"/>
      <c r="AV36" s="20"/>
      <c r="AW36" s="20"/>
      <c r="AX36" s="20"/>
      <c r="AY36" s="20"/>
      <c r="AZ36" s="20"/>
      <c r="BD36" s="1182" t="s">
        <v>2461</v>
      </c>
      <c r="BE36" s="1183" t="str">
        <f>Application!I189</f>
        <v>Los Angeles</v>
      </c>
    </row>
    <row r="37" spans="1:57" ht="13" hidden="1" customHeight="1">
      <c r="A37" s="1508"/>
      <c r="B37" s="1508"/>
      <c r="C37" s="1508"/>
      <c r="D37" s="1508"/>
      <c r="E37" s="1508"/>
      <c r="F37" s="1508"/>
      <c r="G37" s="1508"/>
      <c r="H37" s="1508"/>
      <c r="I37" s="1508"/>
      <c r="J37" s="1508"/>
      <c r="K37" s="1508"/>
      <c r="L37" s="1508"/>
      <c r="M37" s="1508"/>
      <c r="N37" s="1508"/>
      <c r="O37" s="1508"/>
      <c r="P37" s="1508"/>
      <c r="Q37" s="1508"/>
      <c r="R37" s="1508"/>
      <c r="S37" s="1508"/>
      <c r="T37" s="1508"/>
      <c r="U37" s="1508"/>
      <c r="V37" s="1508"/>
      <c r="W37" s="1508"/>
      <c r="X37" s="1508"/>
      <c r="Y37" s="1508"/>
      <c r="Z37" s="1508"/>
      <c r="AA37" s="1508"/>
      <c r="AB37" s="1508"/>
      <c r="AC37" s="1508"/>
      <c r="AD37" s="1508"/>
      <c r="AE37" s="1508"/>
      <c r="AF37" s="1508"/>
      <c r="AG37" s="1508"/>
      <c r="AH37" s="1508"/>
      <c r="AI37" s="1508"/>
      <c r="AJ37" s="1508"/>
      <c r="AK37" s="1508"/>
      <c r="AL37" s="1508"/>
      <c r="AM37" s="1508"/>
      <c r="AN37" s="1508"/>
      <c r="AO37" s="1508"/>
      <c r="AP37" s="1508"/>
      <c r="AQ37" s="1508"/>
      <c r="AR37" s="1508"/>
      <c r="AS37" s="1508"/>
      <c r="AT37" s="1508"/>
      <c r="AZ37" s="20"/>
      <c r="BD37" s="1181" t="s">
        <v>2462</v>
      </c>
      <c r="BE37" s="1183" t="str">
        <f>Application!T189</f>
        <v>Los Angeles</v>
      </c>
    </row>
    <row r="38" spans="1:57" ht="13" hidden="1" customHeight="1">
      <c r="A38" s="3"/>
      <c r="AZ38" s="20"/>
      <c r="BD38" s="1182" t="s">
        <v>2463</v>
      </c>
      <c r="BE38" s="1183">
        <f>Application!I190</f>
        <v>90002</v>
      </c>
    </row>
    <row r="39" spans="1:57" ht="13" customHeight="1">
      <c r="A39" s="1268" t="s">
        <v>2104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2464</v>
      </c>
      <c r="BE39" s="1183">
        <f>Application!AG446</f>
        <v>61</v>
      </c>
    </row>
    <row r="40" spans="1:57" ht="13"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383</v>
      </c>
      <c r="BE40" s="1183">
        <f>Application!AG449</f>
        <v>60</v>
      </c>
    </row>
    <row r="41" spans="1:57" ht="13"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286</v>
      </c>
      <c r="BE41" s="1183">
        <f>Application!AG447</f>
        <v>0</v>
      </c>
    </row>
    <row r="42" spans="1:57" ht="13"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2465</v>
      </c>
      <c r="BE42" s="1185">
        <f>Application!AC761</f>
        <v>0.4</v>
      </c>
    </row>
    <row r="43" spans="1:57" ht="13"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2466</v>
      </c>
      <c r="BE43" s="1185">
        <f>Application!AH761</f>
        <v>0.4</v>
      </c>
    </row>
    <row r="44" spans="1:57" ht="13"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2467</v>
      </c>
      <c r="BE44" s="1183">
        <f>Application!AC463</f>
        <v>575349.59016393439</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v>
      </c>
    </row>
    <row r="46" spans="1:57" ht="13" customHeight="1">
      <c r="A46" s="1301" t="s">
        <v>2105</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20"/>
      <c r="AV46" s="20"/>
      <c r="AW46" s="20"/>
      <c r="AX46" s="20"/>
      <c r="AY46" s="20"/>
      <c r="AZ46" s="20"/>
      <c r="BD46" s="1182" t="s">
        <v>2469</v>
      </c>
      <c r="BE46" s="1183" t="b">
        <f>Application!T195="Yes"</f>
        <v>0</v>
      </c>
    </row>
    <row r="47" spans="1:57" ht="13" customHeight="1">
      <c r="A47" s="130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I47" s="1301"/>
      <c r="AJ47" s="1301"/>
      <c r="AK47" s="1301"/>
      <c r="AL47" s="1301"/>
      <c r="AM47" s="1301"/>
      <c r="AN47" s="1301"/>
      <c r="AO47" s="1301"/>
      <c r="AP47" s="1301"/>
      <c r="AQ47" s="1301"/>
      <c r="AR47" s="1301"/>
      <c r="AS47" s="1301"/>
      <c r="AT47" s="1301"/>
      <c r="AU47" s="20"/>
      <c r="AV47" s="20"/>
      <c r="AW47" s="20"/>
      <c r="AX47" s="20"/>
      <c r="AY47" s="20"/>
      <c r="AZ47" s="20"/>
      <c r="BD47" s="1181" t="s">
        <v>2470</v>
      </c>
      <c r="BE47" s="1183" t="b">
        <f>Application!T196="Yes"</f>
        <v>1</v>
      </c>
    </row>
    <row r="48" spans="1:57" ht="13" customHeight="1">
      <c r="A48" s="130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c r="AU48" s="20"/>
      <c r="AV48" s="20"/>
      <c r="AW48" s="20"/>
      <c r="AX48" s="20"/>
      <c r="AY48" s="20"/>
      <c r="AZ48" s="20"/>
      <c r="BD48" s="1182" t="s">
        <v>2471</v>
      </c>
      <c r="BE48" s="1183" t="str">
        <f>Application!M252</f>
        <v>Castle Argyle, a California Non-profit public benefit corporation</v>
      </c>
    </row>
    <row r="49" spans="1:57" ht="13"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c r="AU49" s="20"/>
      <c r="AV49" s="20"/>
      <c r="AW49" s="20"/>
      <c r="AX49" s="20"/>
      <c r="AY49" s="20"/>
      <c r="AZ49" s="20"/>
      <c r="BD49" s="1181" t="s">
        <v>2472</v>
      </c>
      <c r="BE49" s="1183" t="str">
        <f>Application!M255</f>
        <v>Mary Grace Crisostomo</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HumanGood Affordable Housing</v>
      </c>
    </row>
    <row r="51" spans="1:57" ht="13" customHeight="1">
      <c r="A51" s="1268" t="s">
        <v>2106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2474</v>
      </c>
      <c r="BE51" s="1183">
        <f>Application!M260</f>
        <v>0</v>
      </c>
    </row>
    <row r="52" spans="1:57" ht="13"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2475</v>
      </c>
      <c r="BE52" s="1183">
        <f>Application!M263</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f>Application!AA266</f>
        <v>0</v>
      </c>
    </row>
    <row r="54" spans="1:57" ht="13" customHeight="1">
      <c r="A54" s="1268" t="s">
        <v>2107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2477</v>
      </c>
      <c r="BE54" s="1183">
        <f>Application!M268</f>
        <v>0</v>
      </c>
    </row>
    <row r="55" spans="1:57" ht="13"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2478</v>
      </c>
      <c r="BE55" s="1183">
        <f>Application!M271</f>
        <v>0</v>
      </c>
    </row>
    <row r="56" spans="1:57" ht="13"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2479</v>
      </c>
      <c r="BE56" s="1183">
        <f>Application!AA274</f>
        <v>0</v>
      </c>
    </row>
    <row r="57" spans="1:57" ht="13"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2480</v>
      </c>
      <c r="BE57" s="1183" t="str">
        <f>Application!H296</f>
        <v>HumanGood Affordable Housing</v>
      </c>
    </row>
    <row r="58" spans="1:57" ht="13"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2481</v>
      </c>
      <c r="BE58" s="1183" t="str">
        <f>Application!H297</f>
        <v>1900 Huntington Drive</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Duarte, CA 91010</v>
      </c>
    </row>
    <row r="60" spans="1:57" ht="13" customHeight="1">
      <c r="A60" s="1268" t="s">
        <v>2108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2483</v>
      </c>
      <c r="BE60" s="1183" t="str">
        <f>Application!H299</f>
        <v>Orest Dolyniuk</v>
      </c>
    </row>
    <row r="61" spans="1:57" ht="13"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2484</v>
      </c>
      <c r="BE61" s="1183" t="str">
        <f>Application!H302</f>
        <v>OrestD@beacondevgroup.com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0.78633448583748256</v>
      </c>
    </row>
    <row r="63" spans="1:57" ht="13"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3" customHeight="1">
      <c r="A65" s="1510" t="s">
        <v>2110</v>
      </c>
      <c r="B65" s="1510"/>
      <c r="C65" s="1510"/>
      <c r="D65" s="1510"/>
      <c r="E65" s="1510"/>
      <c r="F65" s="1510"/>
      <c r="G65" s="1510"/>
      <c r="H65" s="1510"/>
      <c r="I65" s="1510"/>
      <c r="J65" s="1510"/>
      <c r="K65" s="1510"/>
      <c r="L65" s="1510"/>
      <c r="M65" s="1510"/>
      <c r="N65" s="1510"/>
      <c r="O65" s="1510"/>
      <c r="P65" s="1510"/>
      <c r="Q65" s="1510"/>
      <c r="R65" s="1510"/>
      <c r="S65" s="1510"/>
      <c r="T65" s="1510"/>
      <c r="U65" s="1510"/>
      <c r="V65" s="1510"/>
      <c r="W65" s="1510"/>
      <c r="X65" s="1510"/>
      <c r="Y65" s="1510"/>
      <c r="Z65" s="1510"/>
      <c r="AA65" s="1510"/>
      <c r="AB65" s="1510"/>
      <c r="AC65" s="1510"/>
      <c r="AD65" s="1510"/>
      <c r="AE65" s="1510"/>
      <c r="AF65" s="1510"/>
      <c r="AG65" s="1510"/>
      <c r="AH65" s="1510"/>
      <c r="AI65" s="1510"/>
      <c r="AJ65" s="1510"/>
      <c r="AK65" s="1510"/>
      <c r="AL65" s="1510"/>
      <c r="AM65" s="1510"/>
      <c r="AN65" s="1510"/>
      <c r="AO65" s="1510"/>
      <c r="AP65" s="1510"/>
      <c r="AQ65" s="1510"/>
      <c r="AR65" s="1510"/>
      <c r="AS65" s="1510"/>
      <c r="AT65" s="1510"/>
      <c r="AU65" s="21"/>
      <c r="AV65" s="21"/>
      <c r="AW65" s="21"/>
      <c r="AX65" s="21"/>
      <c r="AY65" s="21"/>
      <c r="AZ65" s="20"/>
      <c r="BD65" s="1181" t="s">
        <v>2520</v>
      </c>
      <c r="BE65" s="1183" t="str">
        <f>Z205</f>
        <v>(select)</v>
      </c>
    </row>
    <row r="66" spans="1:57" ht="13" customHeight="1">
      <c r="A66" s="1510"/>
      <c r="B66" s="1510"/>
      <c r="C66" s="1510"/>
      <c r="D66" s="1510"/>
      <c r="E66" s="1510"/>
      <c r="F66" s="1510"/>
      <c r="G66" s="1510"/>
      <c r="H66" s="1510"/>
      <c r="I66" s="1510"/>
      <c r="J66" s="1510"/>
      <c r="K66" s="1510"/>
      <c r="L66" s="1510"/>
      <c r="M66" s="1510"/>
      <c r="N66" s="1510"/>
      <c r="O66" s="1510"/>
      <c r="P66" s="1510"/>
      <c r="Q66" s="1510"/>
      <c r="R66" s="1510"/>
      <c r="S66" s="1510"/>
      <c r="T66" s="1510"/>
      <c r="U66" s="1510"/>
      <c r="V66" s="1510"/>
      <c r="W66" s="1510"/>
      <c r="X66" s="1510"/>
      <c r="Y66" s="1510"/>
      <c r="Z66" s="1510"/>
      <c r="AA66" s="1510"/>
      <c r="AB66" s="1510"/>
      <c r="AC66" s="1510"/>
      <c r="AD66" s="1510"/>
      <c r="AE66" s="1510"/>
      <c r="AF66" s="1510"/>
      <c r="AG66" s="1510"/>
      <c r="AH66" s="1510"/>
      <c r="AI66" s="1510"/>
      <c r="AJ66" s="1510"/>
      <c r="AK66" s="1510"/>
      <c r="AL66" s="1510"/>
      <c r="AM66" s="1510"/>
      <c r="AN66" s="1510"/>
      <c r="AO66" s="1510"/>
      <c r="AP66" s="1510"/>
      <c r="AQ66" s="1510"/>
      <c r="AR66" s="1510"/>
      <c r="AS66" s="1510"/>
      <c r="AT66" s="1510"/>
      <c r="AU66" s="21"/>
      <c r="AV66" s="21"/>
      <c r="AW66" s="21"/>
      <c r="AX66" s="21"/>
      <c r="AY66" s="21"/>
      <c r="AZ66" s="20"/>
      <c r="BD66" s="1182" t="s">
        <v>2487</v>
      </c>
      <c r="BE66" s="1183" t="b">
        <f>Application!Z205="State Farmworker Credit"</f>
        <v>0</v>
      </c>
    </row>
    <row r="67" spans="1:57" ht="13" customHeight="1">
      <c r="A67" s="1510"/>
      <c r="B67" s="1510"/>
      <c r="C67" s="1510"/>
      <c r="D67" s="1510"/>
      <c r="E67" s="1510"/>
      <c r="F67" s="1510"/>
      <c r="G67" s="1510"/>
      <c r="H67" s="1510"/>
      <c r="I67" s="1510"/>
      <c r="J67" s="1510"/>
      <c r="K67" s="1510"/>
      <c r="L67" s="1510"/>
      <c r="M67" s="1510"/>
      <c r="N67" s="1510"/>
      <c r="O67" s="1510"/>
      <c r="P67" s="1510"/>
      <c r="Q67" s="1510"/>
      <c r="R67" s="1510"/>
      <c r="S67" s="1510"/>
      <c r="T67" s="1510"/>
      <c r="U67" s="1510"/>
      <c r="V67" s="1510"/>
      <c r="W67" s="1510"/>
      <c r="X67" s="1510"/>
      <c r="Y67" s="1510"/>
      <c r="Z67" s="1510"/>
      <c r="AA67" s="1510"/>
      <c r="AB67" s="1510"/>
      <c r="AC67" s="1510"/>
      <c r="AD67" s="1510"/>
      <c r="AE67" s="1510"/>
      <c r="AF67" s="1510"/>
      <c r="AG67" s="1510"/>
      <c r="AH67" s="1510"/>
      <c r="AI67" s="1510"/>
      <c r="AJ67" s="1510"/>
      <c r="AK67" s="1510"/>
      <c r="AL67" s="1510"/>
      <c r="AM67" s="1510"/>
      <c r="AN67" s="1510"/>
      <c r="AO67" s="1510"/>
      <c r="AP67" s="1510"/>
      <c r="AQ67" s="1510"/>
      <c r="AR67" s="1510"/>
      <c r="AS67" s="1510"/>
      <c r="AT67" s="1510"/>
      <c r="AZ67" s="20"/>
      <c r="BD67" s="1181" t="s">
        <v>2488</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3" customHeight="1">
      <c r="A69" s="1510" t="s">
        <v>2111</v>
      </c>
      <c r="B69" s="1510"/>
      <c r="C69" s="1510"/>
      <c r="D69" s="1510"/>
      <c r="E69" s="1510"/>
      <c r="F69" s="1510"/>
      <c r="G69" s="1510"/>
      <c r="H69" s="1510"/>
      <c r="I69" s="1510"/>
      <c r="J69" s="1510"/>
      <c r="K69" s="1510"/>
      <c r="L69" s="1510"/>
      <c r="M69" s="1510"/>
      <c r="N69" s="1510"/>
      <c r="O69" s="1510"/>
      <c r="P69" s="1510"/>
      <c r="Q69" s="1510"/>
      <c r="R69" s="1510"/>
      <c r="S69" s="1510"/>
      <c r="T69" s="1510"/>
      <c r="U69" s="1510"/>
      <c r="V69" s="1510"/>
      <c r="W69" s="1510"/>
      <c r="X69" s="1510"/>
      <c r="Y69" s="1510"/>
      <c r="Z69" s="1510"/>
      <c r="AA69" s="1510"/>
      <c r="AB69" s="1510"/>
      <c r="AC69" s="1510"/>
      <c r="AD69" s="1510"/>
      <c r="AE69" s="1510"/>
      <c r="AF69" s="1510"/>
      <c r="AG69" s="1510"/>
      <c r="AH69" s="1510"/>
      <c r="AI69" s="1510"/>
      <c r="AJ69" s="1510"/>
      <c r="AK69" s="1510"/>
      <c r="AL69" s="1510"/>
      <c r="AM69" s="1510"/>
      <c r="AN69" s="1510"/>
      <c r="AO69" s="1510"/>
      <c r="AP69" s="1510"/>
      <c r="AQ69" s="1510"/>
      <c r="AR69" s="1510"/>
      <c r="AS69" s="1510"/>
      <c r="AT69" s="1510"/>
      <c r="AZ69" s="20"/>
      <c r="BD69" s="1181" t="s">
        <v>2490</v>
      </c>
      <c r="BE69" s="1183" t="str">
        <f>Application!W708</f>
        <v>California Municipal Finance Authority</v>
      </c>
    </row>
    <row r="70" spans="1:57" ht="13" customHeight="1">
      <c r="A70" s="1510"/>
      <c r="B70" s="1510"/>
      <c r="C70" s="1510"/>
      <c r="D70" s="1510"/>
      <c r="E70" s="1510"/>
      <c r="F70" s="1510"/>
      <c r="G70" s="1510"/>
      <c r="H70" s="1510"/>
      <c r="I70" s="1510"/>
      <c r="J70" s="1510"/>
      <c r="K70" s="1510"/>
      <c r="L70" s="1510"/>
      <c r="M70" s="1510"/>
      <c r="N70" s="1510"/>
      <c r="O70" s="1510"/>
      <c r="P70" s="1510"/>
      <c r="Q70" s="1510"/>
      <c r="R70" s="1510"/>
      <c r="S70" s="1510"/>
      <c r="T70" s="1510"/>
      <c r="U70" s="1510"/>
      <c r="V70" s="1510"/>
      <c r="W70" s="1510"/>
      <c r="X70" s="1510"/>
      <c r="Y70" s="1510"/>
      <c r="Z70" s="1510"/>
      <c r="AA70" s="1510"/>
      <c r="AB70" s="1510"/>
      <c r="AC70" s="1510"/>
      <c r="AD70" s="1510"/>
      <c r="AE70" s="1510"/>
      <c r="AF70" s="1510"/>
      <c r="AG70" s="1510"/>
      <c r="AH70" s="1510"/>
      <c r="AI70" s="1510"/>
      <c r="AJ70" s="1510"/>
      <c r="AK70" s="1510"/>
      <c r="AL70" s="1510"/>
      <c r="AM70" s="1510"/>
      <c r="AN70" s="1510"/>
      <c r="AO70" s="1510"/>
      <c r="AP70" s="1510"/>
      <c r="AQ70" s="1510"/>
      <c r="AR70" s="1510"/>
      <c r="AS70" s="1510"/>
      <c r="AT70" s="1510"/>
      <c r="AU70" s="20"/>
      <c r="AV70" s="20"/>
      <c r="AW70" s="20"/>
      <c r="AX70" s="20"/>
      <c r="AY70" s="20"/>
      <c r="AZ70" s="20"/>
      <c r="BD70" s="1182" t="s">
        <v>2491</v>
      </c>
      <c r="BE70" s="1183">
        <f>'Points System'!AF843</f>
        <v>101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2616</v>
      </c>
      <c r="BE71" s="1183">
        <f>'Points System'!AF826</f>
        <v>19</v>
      </c>
    </row>
    <row r="72" spans="1:57" ht="13" customHeight="1">
      <c r="A72" s="1508" t="s">
        <v>2112</v>
      </c>
      <c r="B72" s="1508"/>
      <c r="C72" s="1508"/>
      <c r="D72" s="1508"/>
      <c r="E72" s="1508"/>
      <c r="F72" s="1508"/>
      <c r="G72" s="1508"/>
      <c r="H72" s="1508"/>
      <c r="I72" s="1508"/>
      <c r="J72" s="1508"/>
      <c r="K72" s="1508"/>
      <c r="L72" s="1508"/>
      <c r="M72" s="1508"/>
      <c r="N72" s="1508"/>
      <c r="O72" s="1508"/>
      <c r="P72" s="1508"/>
      <c r="Q72" s="1508"/>
      <c r="R72" s="1508"/>
      <c r="S72" s="1508"/>
      <c r="T72" s="1508"/>
      <c r="U72" s="1508"/>
      <c r="V72" s="1508"/>
      <c r="W72" s="1508"/>
      <c r="X72" s="1508"/>
      <c r="Y72" s="1508"/>
      <c r="Z72" s="1508"/>
      <c r="AA72" s="1508"/>
      <c r="AB72" s="1508"/>
      <c r="AC72" s="1508"/>
      <c r="AD72" s="1508"/>
      <c r="AE72" s="1508"/>
      <c r="AF72" s="1508"/>
      <c r="AG72" s="1508"/>
      <c r="AH72" s="1508"/>
      <c r="AI72" s="1508"/>
      <c r="AJ72" s="1508"/>
      <c r="AK72" s="1508"/>
      <c r="AL72" s="1508"/>
      <c r="AM72" s="1508"/>
      <c r="AN72" s="1508"/>
      <c r="AO72" s="1508"/>
      <c r="AP72" s="1508"/>
      <c r="AQ72" s="1508"/>
      <c r="AR72" s="1508"/>
      <c r="AS72" s="1508"/>
      <c r="AT72" s="1508"/>
      <c r="AU72" s="20"/>
      <c r="AV72" s="20"/>
      <c r="AW72" s="20"/>
      <c r="AX72" s="20"/>
      <c r="AY72" s="20"/>
      <c r="AZ72" s="20"/>
      <c r="BD72" s="1182" t="s">
        <v>2492</v>
      </c>
      <c r="BE72" s="1183">
        <f>'Points System'!AF827</f>
        <v>0</v>
      </c>
    </row>
    <row r="73" spans="1:57" ht="13" customHeight="1">
      <c r="A73" s="1508"/>
      <c r="B73" s="1508"/>
      <c r="C73" s="1508"/>
      <c r="D73" s="1508"/>
      <c r="E73" s="1508"/>
      <c r="F73" s="1508"/>
      <c r="G73" s="1508"/>
      <c r="H73" s="1508"/>
      <c r="I73" s="1508"/>
      <c r="J73" s="1508"/>
      <c r="K73" s="1508"/>
      <c r="L73" s="1508"/>
      <c r="M73" s="1508"/>
      <c r="N73" s="1508"/>
      <c r="O73" s="1508"/>
      <c r="P73" s="1508"/>
      <c r="Q73" s="1508"/>
      <c r="R73" s="1508"/>
      <c r="S73" s="1508"/>
      <c r="T73" s="1508"/>
      <c r="U73" s="1508"/>
      <c r="V73" s="1508"/>
      <c r="W73" s="1508"/>
      <c r="X73" s="1508"/>
      <c r="Y73" s="1508"/>
      <c r="Z73" s="1508"/>
      <c r="AA73" s="1508"/>
      <c r="AB73" s="1508"/>
      <c r="AC73" s="1508"/>
      <c r="AD73" s="1508"/>
      <c r="AE73" s="1508"/>
      <c r="AF73" s="1508"/>
      <c r="AG73" s="1508"/>
      <c r="AH73" s="1508"/>
      <c r="AI73" s="1508"/>
      <c r="AJ73" s="1508"/>
      <c r="AK73" s="1508"/>
      <c r="AL73" s="1508"/>
      <c r="AM73" s="1508"/>
      <c r="AN73" s="1508"/>
      <c r="AO73" s="1508"/>
      <c r="AP73" s="1508"/>
      <c r="AQ73" s="1508"/>
      <c r="AR73" s="1508"/>
      <c r="AS73" s="1508"/>
      <c r="AT73" s="1508"/>
      <c r="AU73" s="20"/>
      <c r="AV73" s="20"/>
      <c r="AW73" s="20"/>
      <c r="AX73" s="20"/>
      <c r="AY73" s="20"/>
      <c r="AZ73" s="20"/>
      <c r="BD73" s="1181" t="s">
        <v>2493</v>
      </c>
      <c r="BE73" s="1183">
        <f>'Points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3" customHeight="1">
      <c r="A75" s="1792" t="s">
        <v>2113</v>
      </c>
      <c r="B75" s="1792"/>
      <c r="C75" s="1792"/>
      <c r="D75" s="1792"/>
      <c r="E75" s="1792"/>
      <c r="F75" s="1792"/>
      <c r="G75" s="1792"/>
      <c r="H75" s="1792"/>
      <c r="I75" s="1792"/>
      <c r="J75" s="1792"/>
      <c r="K75" s="1792"/>
      <c r="L75" s="1792"/>
      <c r="M75" s="1792"/>
      <c r="N75" s="1792"/>
      <c r="O75" s="1792"/>
      <c r="P75" s="1792"/>
      <c r="Q75" s="1792"/>
      <c r="R75" s="1792"/>
      <c r="S75" s="1792"/>
      <c r="T75" s="1792"/>
      <c r="U75" s="1792"/>
      <c r="V75" s="1792"/>
      <c r="W75" s="1792"/>
      <c r="X75" s="1792"/>
      <c r="Y75" s="1792"/>
      <c r="Z75" s="1792"/>
      <c r="AA75" s="1792"/>
      <c r="AB75" s="1792"/>
      <c r="AC75" s="1792"/>
      <c r="AD75" s="1792"/>
      <c r="AE75" s="1792"/>
      <c r="AF75" s="1792"/>
      <c r="AG75" s="1792"/>
      <c r="AH75" s="1792"/>
      <c r="AI75" s="1792"/>
      <c r="AJ75" s="1792"/>
      <c r="AK75" s="1792"/>
      <c r="AL75" s="1792"/>
      <c r="AM75" s="1792"/>
      <c r="AN75" s="1792"/>
      <c r="AO75" s="1792"/>
      <c r="AP75" s="1792"/>
      <c r="AQ75" s="1792"/>
      <c r="AR75" s="1792"/>
      <c r="AS75" s="1792"/>
      <c r="AT75" s="1792"/>
      <c r="AU75" s="20"/>
      <c r="AV75" s="20"/>
      <c r="AW75" s="20"/>
      <c r="AX75" s="20"/>
      <c r="AY75" s="20"/>
      <c r="AZ75" s="20"/>
      <c r="BD75" s="1181" t="s">
        <v>2495</v>
      </c>
      <c r="BE75" s="1183">
        <f>'Points System'!AF830</f>
        <v>10</v>
      </c>
    </row>
    <row r="76" spans="1:57" ht="13" customHeight="1">
      <c r="A76" s="1792"/>
      <c r="B76" s="1792"/>
      <c r="C76" s="1792"/>
      <c r="D76" s="1792"/>
      <c r="E76" s="1792"/>
      <c r="F76" s="1792"/>
      <c r="G76" s="1792"/>
      <c r="H76" s="1792"/>
      <c r="I76" s="1792"/>
      <c r="J76" s="1792"/>
      <c r="K76" s="1792"/>
      <c r="L76" s="1792"/>
      <c r="M76" s="1792"/>
      <c r="N76" s="1792"/>
      <c r="O76" s="1792"/>
      <c r="P76" s="1792"/>
      <c r="Q76" s="1792"/>
      <c r="R76" s="1792"/>
      <c r="S76" s="1792"/>
      <c r="T76" s="1792"/>
      <c r="U76" s="1792"/>
      <c r="V76" s="1792"/>
      <c r="W76" s="1792"/>
      <c r="X76" s="1792"/>
      <c r="Y76" s="1792"/>
      <c r="Z76" s="1792"/>
      <c r="AA76" s="1792"/>
      <c r="AB76" s="1792"/>
      <c r="AC76" s="1792"/>
      <c r="AD76" s="1792"/>
      <c r="AE76" s="1792"/>
      <c r="AF76" s="1792"/>
      <c r="AG76" s="1792"/>
      <c r="AH76" s="1792"/>
      <c r="AI76" s="1792"/>
      <c r="AJ76" s="1792"/>
      <c r="AK76" s="1792"/>
      <c r="AL76" s="1792"/>
      <c r="AM76" s="1792"/>
      <c r="AN76" s="1792"/>
      <c r="AO76" s="1792"/>
      <c r="AP76" s="1792"/>
      <c r="AQ76" s="1792"/>
      <c r="AR76" s="1792"/>
      <c r="AS76" s="1792"/>
      <c r="AT76" s="1792"/>
      <c r="AU76" s="20"/>
      <c r="AV76" s="20"/>
      <c r="AW76" s="20"/>
      <c r="AX76" s="20"/>
      <c r="AY76" s="20"/>
      <c r="AZ76" s="17"/>
      <c r="BD76" s="1182" t="s">
        <v>2496</v>
      </c>
      <c r="BE76" s="1183">
        <f>'Points System'!AF833</f>
        <v>0</v>
      </c>
    </row>
    <row r="77" spans="1:57" ht="13" customHeight="1">
      <c r="A77" s="1792"/>
      <c r="B77" s="1792"/>
      <c r="C77" s="1792"/>
      <c r="D77" s="1792"/>
      <c r="E77" s="1792"/>
      <c r="F77" s="1792"/>
      <c r="G77" s="1792"/>
      <c r="H77" s="1792"/>
      <c r="I77" s="1792"/>
      <c r="J77" s="1792"/>
      <c r="K77" s="1792"/>
      <c r="L77" s="1792"/>
      <c r="M77" s="1792"/>
      <c r="N77" s="1792"/>
      <c r="O77" s="1792"/>
      <c r="P77" s="1792"/>
      <c r="Q77" s="1792"/>
      <c r="R77" s="1792"/>
      <c r="S77" s="1792"/>
      <c r="T77" s="1792"/>
      <c r="U77" s="1792"/>
      <c r="V77" s="1792"/>
      <c r="W77" s="1792"/>
      <c r="X77" s="1792"/>
      <c r="Y77" s="1792"/>
      <c r="Z77" s="1792"/>
      <c r="AA77" s="1792"/>
      <c r="AB77" s="1792"/>
      <c r="AC77" s="1792"/>
      <c r="AD77" s="1792"/>
      <c r="AE77" s="1792"/>
      <c r="AF77" s="1792"/>
      <c r="AG77" s="1792"/>
      <c r="AH77" s="1792"/>
      <c r="AI77" s="1792"/>
      <c r="AJ77" s="1792"/>
      <c r="AK77" s="1792"/>
      <c r="AL77" s="1792"/>
      <c r="AM77" s="1792"/>
      <c r="AN77" s="1792"/>
      <c r="AO77" s="1792"/>
      <c r="AP77" s="1792"/>
      <c r="AQ77" s="1792"/>
      <c r="AR77" s="1792"/>
      <c r="AS77" s="1792"/>
      <c r="AT77" s="1792"/>
      <c r="AU77" s="20"/>
      <c r="AV77" s="20"/>
      <c r="AW77" s="20"/>
      <c r="AX77" s="20"/>
      <c r="AY77" s="20"/>
      <c r="AZ77" s="17"/>
      <c r="BD77" s="1181" t="s">
        <v>2497</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3" customHeight="1">
      <c r="A79" s="1510" t="s">
        <v>2114</v>
      </c>
      <c r="B79" s="1510"/>
      <c r="C79" s="1510"/>
      <c r="D79" s="1510"/>
      <c r="E79" s="1510"/>
      <c r="F79" s="1510"/>
      <c r="G79" s="1510"/>
      <c r="H79" s="1510"/>
      <c r="I79" s="1510"/>
      <c r="J79" s="1510"/>
      <c r="K79" s="1510"/>
      <c r="L79" s="1510"/>
      <c r="M79" s="1510"/>
      <c r="N79" s="1510"/>
      <c r="O79" s="1510"/>
      <c r="P79" s="1510"/>
      <c r="Q79" s="1510"/>
      <c r="R79" s="1510"/>
      <c r="S79" s="1510"/>
      <c r="T79" s="1510"/>
      <c r="U79" s="1510"/>
      <c r="V79" s="1510"/>
      <c r="W79" s="1510"/>
      <c r="X79" s="1510"/>
      <c r="Y79" s="1510"/>
      <c r="Z79" s="1510"/>
      <c r="AA79" s="1510"/>
      <c r="AB79" s="1510"/>
      <c r="AC79" s="1510"/>
      <c r="AD79" s="1510"/>
      <c r="AE79" s="1510"/>
      <c r="AF79" s="1510"/>
      <c r="AG79" s="1510"/>
      <c r="AH79" s="1510"/>
      <c r="AI79" s="1510"/>
      <c r="AJ79" s="1510"/>
      <c r="AK79" s="1510"/>
      <c r="AL79" s="1510"/>
      <c r="AM79" s="1510"/>
      <c r="AN79" s="1510"/>
      <c r="AO79" s="1510"/>
      <c r="AP79" s="1510"/>
      <c r="AQ79" s="1510"/>
      <c r="AR79" s="1510"/>
      <c r="AS79" s="1510"/>
      <c r="AT79" s="1510"/>
      <c r="AU79" s="20"/>
      <c r="AV79" s="20"/>
      <c r="AW79" s="20"/>
      <c r="AX79" s="20"/>
      <c r="AY79" s="20"/>
      <c r="AZ79" s="20"/>
      <c r="BD79" s="1181" t="s">
        <v>2617</v>
      </c>
      <c r="BE79" s="1183">
        <f>'Points System'!AF837</f>
        <v>0</v>
      </c>
    </row>
    <row r="80" spans="1:57" ht="13" customHeight="1">
      <c r="A80" s="1510"/>
      <c r="B80" s="1510"/>
      <c r="C80" s="1510"/>
      <c r="D80" s="1510"/>
      <c r="E80" s="1510"/>
      <c r="F80" s="1510"/>
      <c r="G80" s="1510"/>
      <c r="H80" s="1510"/>
      <c r="I80" s="1510"/>
      <c r="J80" s="1510"/>
      <c r="K80" s="1510"/>
      <c r="L80" s="1510"/>
      <c r="M80" s="1510"/>
      <c r="N80" s="1510"/>
      <c r="O80" s="1510"/>
      <c r="P80" s="1510"/>
      <c r="Q80" s="1510"/>
      <c r="R80" s="1510"/>
      <c r="S80" s="1510"/>
      <c r="T80" s="1510"/>
      <c r="U80" s="1510"/>
      <c r="V80" s="1510"/>
      <c r="W80" s="1510"/>
      <c r="X80" s="1510"/>
      <c r="Y80" s="1510"/>
      <c r="Z80" s="1510"/>
      <c r="AA80" s="1510"/>
      <c r="AB80" s="1510"/>
      <c r="AC80" s="1510"/>
      <c r="AD80" s="1510"/>
      <c r="AE80" s="1510"/>
      <c r="AF80" s="1510"/>
      <c r="AG80" s="1510"/>
      <c r="AH80" s="1510"/>
      <c r="AI80" s="1510"/>
      <c r="AJ80" s="1510"/>
      <c r="AK80" s="1510"/>
      <c r="AL80" s="1510"/>
      <c r="AM80" s="1510"/>
      <c r="AN80" s="1510"/>
      <c r="AO80" s="1510"/>
      <c r="AP80" s="1510"/>
      <c r="AQ80" s="1510"/>
      <c r="AR80" s="1510"/>
      <c r="AS80" s="1510"/>
      <c r="AT80" s="1510"/>
      <c r="AU80" s="20"/>
      <c r="AV80" s="20"/>
      <c r="AW80" s="20"/>
      <c r="AX80" s="20"/>
      <c r="AY80" s="20"/>
      <c r="AZ80" s="20"/>
      <c r="BD80" s="1182" t="s">
        <v>2499</v>
      </c>
      <c r="BE80" s="1183">
        <f>'Points System'!AF839</f>
        <v>10</v>
      </c>
    </row>
    <row r="81" spans="1:57" ht="13" customHeight="1">
      <c r="A81" s="1510"/>
      <c r="B81" s="1510"/>
      <c r="C81" s="1510"/>
      <c r="D81" s="1510"/>
      <c r="E81" s="1510"/>
      <c r="F81" s="1510"/>
      <c r="G81" s="1510"/>
      <c r="H81" s="1510"/>
      <c r="I81" s="1510"/>
      <c r="J81" s="1510"/>
      <c r="K81" s="1510"/>
      <c r="L81" s="1510"/>
      <c r="M81" s="1510"/>
      <c r="N81" s="1510"/>
      <c r="O81" s="1510"/>
      <c r="P81" s="1510"/>
      <c r="Q81" s="1510"/>
      <c r="R81" s="1510"/>
      <c r="S81" s="1510"/>
      <c r="T81" s="1510"/>
      <c r="U81" s="1510"/>
      <c r="V81" s="1510"/>
      <c r="W81" s="1510"/>
      <c r="X81" s="1510"/>
      <c r="Y81" s="1510"/>
      <c r="Z81" s="1510"/>
      <c r="AA81" s="1510"/>
      <c r="AB81" s="1510"/>
      <c r="AC81" s="1510"/>
      <c r="AD81" s="1510"/>
      <c r="AE81" s="1510"/>
      <c r="AF81" s="1510"/>
      <c r="AG81" s="1510"/>
      <c r="AH81" s="1510"/>
      <c r="AI81" s="1510"/>
      <c r="AJ81" s="1510"/>
      <c r="AK81" s="1510"/>
      <c r="AL81" s="1510"/>
      <c r="AM81" s="1510"/>
      <c r="AN81" s="1510"/>
      <c r="AO81" s="1510"/>
      <c r="AP81" s="1510"/>
      <c r="AQ81" s="1510"/>
      <c r="AR81" s="1510"/>
      <c r="AS81" s="1510"/>
      <c r="AT81" s="1510"/>
      <c r="AU81" s="20"/>
      <c r="AV81" s="20"/>
      <c r="AW81" s="20"/>
      <c r="AX81" s="20"/>
      <c r="AY81" s="20"/>
      <c r="AZ81" s="20"/>
      <c r="BD81" s="1181" t="s">
        <v>2500</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3" customHeight="1">
      <c r="A83" s="1268" t="s">
        <v>2115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2502</v>
      </c>
      <c r="BE83" s="1187">
        <f>'Tie Breaker'!H5</f>
        <v>2.3748420819774898</v>
      </c>
    </row>
    <row r="84" spans="1:57" ht="13"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2503</v>
      </c>
      <c r="BE84" s="1183"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Timothy Elliott</v>
      </c>
    </row>
    <row r="86" spans="1:57" ht="13" customHeight="1">
      <c r="A86" s="1268" t="s">
        <v>2116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2505</v>
      </c>
      <c r="BE86" s="1183" t="str">
        <f>Application!O155</f>
        <v>City Manager</v>
      </c>
    </row>
    <row r="87" spans="1:57" ht="13"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2506</v>
      </c>
      <c r="BE87" s="1183" t="str">
        <f>Application!O156</f>
        <v>1200 W. 7th Street,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Los Angeles</v>
      </c>
    </row>
    <row r="89" spans="1:57" ht="13" customHeight="1">
      <c r="A89" s="1791" t="s">
        <v>2117</v>
      </c>
      <c r="B89" s="1791"/>
      <c r="C89" s="1791"/>
      <c r="D89" s="1791"/>
      <c r="E89" s="1791"/>
      <c r="F89" s="1791"/>
      <c r="G89" s="1791"/>
      <c r="H89" s="1791"/>
      <c r="I89" s="1791"/>
      <c r="J89" s="1791"/>
      <c r="K89" s="1791"/>
      <c r="L89" s="1791"/>
      <c r="M89" s="1791"/>
      <c r="N89" s="1791"/>
      <c r="O89" s="1791"/>
      <c r="P89" s="1791"/>
      <c r="Q89" s="1791"/>
      <c r="R89" s="1791"/>
      <c r="S89" s="1791"/>
      <c r="T89" s="1791"/>
      <c r="U89" s="1791"/>
      <c r="V89" s="1791"/>
      <c r="W89" s="1791"/>
      <c r="X89" s="1791"/>
      <c r="Y89" s="1791"/>
      <c r="Z89" s="1791"/>
      <c r="AA89" s="1791"/>
      <c r="AB89" s="1791"/>
      <c r="AC89" s="1791"/>
      <c r="AD89" s="1791"/>
      <c r="AE89" s="1791"/>
      <c r="AF89" s="1791"/>
      <c r="AG89" s="1791"/>
      <c r="AH89" s="1791"/>
      <c r="AI89" s="1791"/>
      <c r="AJ89" s="1791"/>
      <c r="AK89" s="1791"/>
      <c r="AL89" s="1791"/>
      <c r="AM89" s="1791"/>
      <c r="AN89" s="1791"/>
      <c r="AO89" s="1791"/>
      <c r="AP89" s="1791"/>
      <c r="AQ89" s="1791"/>
      <c r="AR89" s="1791"/>
      <c r="AS89" s="1791"/>
      <c r="AT89" s="1791"/>
      <c r="AU89" s="17"/>
      <c r="AV89" s="17"/>
      <c r="AW89" s="17"/>
      <c r="AX89" s="17"/>
      <c r="AY89" s="17"/>
      <c r="AZ89" s="20"/>
      <c r="BD89" s="1181" t="s">
        <v>2508</v>
      </c>
      <c r="BE89" s="1183">
        <f>Application!O158</f>
        <v>90017</v>
      </c>
    </row>
    <row r="90" spans="1:57" ht="13" customHeight="1">
      <c r="A90" s="1791"/>
      <c r="B90" s="1791"/>
      <c r="C90" s="1791"/>
      <c r="D90" s="1791"/>
      <c r="E90" s="1791"/>
      <c r="F90" s="1791"/>
      <c r="G90" s="1791"/>
      <c r="H90" s="1791"/>
      <c r="I90" s="1791"/>
      <c r="J90" s="1791"/>
      <c r="K90" s="1791"/>
      <c r="L90" s="1791"/>
      <c r="M90" s="1791"/>
      <c r="N90" s="1791"/>
      <c r="O90" s="1791"/>
      <c r="P90" s="1791"/>
      <c r="Q90" s="1791"/>
      <c r="R90" s="1791"/>
      <c r="S90" s="1791"/>
      <c r="T90" s="1791"/>
      <c r="U90" s="1791"/>
      <c r="V90" s="1791"/>
      <c r="W90" s="1791"/>
      <c r="X90" s="1791"/>
      <c r="Y90" s="1791"/>
      <c r="Z90" s="1791"/>
      <c r="AA90" s="1791"/>
      <c r="AB90" s="1791"/>
      <c r="AC90" s="1791"/>
      <c r="AD90" s="1791"/>
      <c r="AE90" s="1791"/>
      <c r="AF90" s="1791"/>
      <c r="AG90" s="1791"/>
      <c r="AH90" s="1791"/>
      <c r="AI90" s="1791"/>
      <c r="AJ90" s="1791"/>
      <c r="AK90" s="1791"/>
      <c r="AL90" s="1791"/>
      <c r="AM90" s="1791"/>
      <c r="AN90" s="1791"/>
      <c r="AO90" s="1791"/>
      <c r="AP90" s="1791"/>
      <c r="AQ90" s="1791"/>
      <c r="AR90" s="1791"/>
      <c r="AS90" s="1791"/>
      <c r="AT90" s="1791"/>
      <c r="AU90" s="17"/>
      <c r="AV90" s="17"/>
      <c r="AW90" s="17"/>
      <c r="AX90" s="17"/>
      <c r="AY90" s="17"/>
      <c r="AZ90" s="20"/>
      <c r="BD90" s="1182" t="s">
        <v>2509</v>
      </c>
      <c r="BE90" s="1183" t="str">
        <f>Application!H16</f>
        <v>George McDonald Court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1900 Huntington Drive</v>
      </c>
    </row>
    <row r="92" spans="1:57" ht="13" customHeight="1">
      <c r="A92" s="1792" t="s">
        <v>2118</v>
      </c>
      <c r="B92" s="1792"/>
      <c r="C92" s="1792"/>
      <c r="D92" s="1792"/>
      <c r="E92" s="1792"/>
      <c r="F92" s="1792"/>
      <c r="G92" s="1792"/>
      <c r="H92" s="1792"/>
      <c r="I92" s="1792"/>
      <c r="J92" s="1792"/>
      <c r="K92" s="1792"/>
      <c r="L92" s="1792"/>
      <c r="M92" s="1792"/>
      <c r="N92" s="1792"/>
      <c r="O92" s="1792"/>
      <c r="P92" s="1792"/>
      <c r="Q92" s="1792"/>
      <c r="R92" s="1792"/>
      <c r="S92" s="1792"/>
      <c r="T92" s="1792"/>
      <c r="U92" s="1792"/>
      <c r="V92" s="1792"/>
      <c r="W92" s="1792"/>
      <c r="X92" s="1792"/>
      <c r="Y92" s="1792"/>
      <c r="Z92" s="1792"/>
      <c r="AA92" s="1792"/>
      <c r="AB92" s="1792"/>
      <c r="AC92" s="1792"/>
      <c r="AD92" s="1792"/>
      <c r="AE92" s="1792"/>
      <c r="AF92" s="1792"/>
      <c r="AG92" s="1792"/>
      <c r="AH92" s="1792"/>
      <c r="AI92" s="1792"/>
      <c r="AJ92" s="1792"/>
      <c r="AK92" s="1792"/>
      <c r="AL92" s="1792"/>
      <c r="AM92" s="1792"/>
      <c r="AN92" s="1792"/>
      <c r="AO92" s="1792"/>
      <c r="AP92" s="1792"/>
      <c r="AQ92" s="1792"/>
      <c r="AR92" s="1792"/>
      <c r="AS92" s="1792"/>
      <c r="AT92" s="1792"/>
      <c r="AU92" s="20"/>
      <c r="AV92" s="20"/>
      <c r="AW92" s="20"/>
      <c r="AX92" s="20"/>
      <c r="AY92" s="20"/>
      <c r="AZ92" s="20"/>
      <c r="BD92" s="1182" t="s">
        <v>2511</v>
      </c>
      <c r="BE92" s="1183" t="str">
        <f>Application!M243</f>
        <v>Duarte</v>
      </c>
    </row>
    <row r="93" spans="1:57" ht="13" customHeight="1">
      <c r="A93" s="1792"/>
      <c r="B93" s="1792"/>
      <c r="C93" s="1792"/>
      <c r="D93" s="1792"/>
      <c r="E93" s="1792"/>
      <c r="F93" s="1792"/>
      <c r="G93" s="1792"/>
      <c r="H93" s="1792"/>
      <c r="I93" s="1792"/>
      <c r="J93" s="1792"/>
      <c r="K93" s="1792"/>
      <c r="L93" s="1792"/>
      <c r="M93" s="1792"/>
      <c r="N93" s="1792"/>
      <c r="O93" s="1792"/>
      <c r="P93" s="1792"/>
      <c r="Q93" s="1792"/>
      <c r="R93" s="1792"/>
      <c r="S93" s="1792"/>
      <c r="T93" s="1792"/>
      <c r="U93" s="1792"/>
      <c r="V93" s="1792"/>
      <c r="W93" s="1792"/>
      <c r="X93" s="1792"/>
      <c r="Y93" s="1792"/>
      <c r="Z93" s="1792"/>
      <c r="AA93" s="1792"/>
      <c r="AB93" s="1792"/>
      <c r="AC93" s="1792"/>
      <c r="AD93" s="1792"/>
      <c r="AE93" s="1792"/>
      <c r="AF93" s="1792"/>
      <c r="AG93" s="1792"/>
      <c r="AH93" s="1792"/>
      <c r="AI93" s="1792"/>
      <c r="AJ93" s="1792"/>
      <c r="AK93" s="1792"/>
      <c r="AL93" s="1792"/>
      <c r="AM93" s="1792"/>
      <c r="AN93" s="1792"/>
      <c r="AO93" s="1792"/>
      <c r="AP93" s="1792"/>
      <c r="AQ93" s="1792"/>
      <c r="AR93" s="1792"/>
      <c r="AS93" s="1792"/>
      <c r="AT93" s="1792"/>
      <c r="AU93" s="20"/>
      <c r="AV93" s="20"/>
      <c r="AW93" s="20"/>
      <c r="AX93" s="20"/>
      <c r="AY93" s="20"/>
      <c r="AZ93" s="20"/>
      <c r="BD93" s="1181" t="s">
        <v>2512</v>
      </c>
      <c r="BE93" s="1183" t="str">
        <f>Application!W243</f>
        <v>CA</v>
      </c>
    </row>
    <row r="94" spans="1:57" ht="13" customHeight="1">
      <c r="A94" s="1792"/>
      <c r="B94" s="1792"/>
      <c r="C94" s="1792"/>
      <c r="D94" s="1792"/>
      <c r="E94" s="1792"/>
      <c r="F94" s="1792"/>
      <c r="G94" s="1792"/>
      <c r="H94" s="1792"/>
      <c r="I94" s="1792"/>
      <c r="J94" s="1792"/>
      <c r="K94" s="1792"/>
      <c r="L94" s="1792"/>
      <c r="M94" s="1792"/>
      <c r="N94" s="1792"/>
      <c r="O94" s="1792"/>
      <c r="P94" s="1792"/>
      <c r="Q94" s="1792"/>
      <c r="R94" s="1792"/>
      <c r="S94" s="1792"/>
      <c r="T94" s="1792"/>
      <c r="U94" s="1792"/>
      <c r="V94" s="1792"/>
      <c r="W94" s="1792"/>
      <c r="X94" s="1792"/>
      <c r="Y94" s="1792"/>
      <c r="Z94" s="1792"/>
      <c r="AA94" s="1792"/>
      <c r="AB94" s="1792"/>
      <c r="AC94" s="1792"/>
      <c r="AD94" s="1792"/>
      <c r="AE94" s="1792"/>
      <c r="AF94" s="1792"/>
      <c r="AG94" s="1792"/>
      <c r="AH94" s="1792"/>
      <c r="AI94" s="1792"/>
      <c r="AJ94" s="1792"/>
      <c r="AK94" s="1792"/>
      <c r="AL94" s="1792"/>
      <c r="AM94" s="1792"/>
      <c r="AN94" s="1792"/>
      <c r="AO94" s="1792"/>
      <c r="AP94" s="1792"/>
      <c r="AQ94" s="1792"/>
      <c r="AR94" s="1792"/>
      <c r="AS94" s="1792"/>
      <c r="AT94" s="1792"/>
      <c r="AU94" s="20"/>
      <c r="AV94" s="20"/>
      <c r="AW94" s="20"/>
      <c r="AX94" s="20"/>
      <c r="AY94" s="20"/>
      <c r="AZ94" s="20"/>
      <c r="BD94" s="1182" t="s">
        <v>2513</v>
      </c>
      <c r="BE94" s="1183">
        <f>Application!AC243</f>
        <v>91010</v>
      </c>
    </row>
    <row r="95" spans="1:57" ht="13" customHeight="1">
      <c r="A95" s="1792"/>
      <c r="B95" s="1792"/>
      <c r="C95" s="1792"/>
      <c r="D95" s="1792"/>
      <c r="E95" s="1792"/>
      <c r="F95" s="1792"/>
      <c r="G95" s="1792"/>
      <c r="H95" s="1792"/>
      <c r="I95" s="1792"/>
      <c r="J95" s="1792"/>
      <c r="K95" s="1792"/>
      <c r="L95" s="1792"/>
      <c r="M95" s="1792"/>
      <c r="N95" s="1792"/>
      <c r="O95" s="1792"/>
      <c r="P95" s="1792"/>
      <c r="Q95" s="1792"/>
      <c r="R95" s="1792"/>
      <c r="S95" s="1792"/>
      <c r="T95" s="1792"/>
      <c r="U95" s="1792"/>
      <c r="V95" s="1792"/>
      <c r="W95" s="1792"/>
      <c r="X95" s="1792"/>
      <c r="Y95" s="1792"/>
      <c r="Z95" s="1792"/>
      <c r="AA95" s="1792"/>
      <c r="AB95" s="1792"/>
      <c r="AC95" s="1792"/>
      <c r="AD95" s="1792"/>
      <c r="AE95" s="1792"/>
      <c r="AF95" s="1792"/>
      <c r="AG95" s="1792"/>
      <c r="AH95" s="1792"/>
      <c r="AI95" s="1792"/>
      <c r="AJ95" s="1792"/>
      <c r="AK95" s="1792"/>
      <c r="AL95" s="1792"/>
      <c r="AM95" s="1792"/>
      <c r="AN95" s="1792"/>
      <c r="AO95" s="1792"/>
      <c r="AP95" s="1792"/>
      <c r="AQ95" s="1792"/>
      <c r="AR95" s="1792"/>
      <c r="AS95" s="1792"/>
      <c r="AT95" s="1792"/>
      <c r="AU95" s="20"/>
      <c r="AV95" s="20"/>
      <c r="AW95" s="20"/>
      <c r="AX95" s="20"/>
      <c r="AY95" s="20"/>
      <c r="AZ95" s="20"/>
      <c r="BD95" s="1181" t="s">
        <v>2514</v>
      </c>
      <c r="BE95" s="1183" t="str">
        <f>Application!M244</f>
        <v>Orest Dolyniuk</v>
      </c>
    </row>
    <row r="96" spans="1:57" ht="13" customHeight="1">
      <c r="A96" s="1792"/>
      <c r="B96" s="1792"/>
      <c r="C96" s="1792"/>
      <c r="D96" s="1792"/>
      <c r="E96" s="1792"/>
      <c r="F96" s="1792"/>
      <c r="G96" s="1792"/>
      <c r="H96" s="1792"/>
      <c r="I96" s="1792"/>
      <c r="J96" s="1792"/>
      <c r="K96" s="1792"/>
      <c r="L96" s="1792"/>
      <c r="M96" s="1792"/>
      <c r="N96" s="1792"/>
      <c r="O96" s="1792"/>
      <c r="P96" s="1792"/>
      <c r="Q96" s="1792"/>
      <c r="R96" s="1792"/>
      <c r="S96" s="1792"/>
      <c r="T96" s="1792"/>
      <c r="U96" s="1792"/>
      <c r="V96" s="1792"/>
      <c r="W96" s="1792"/>
      <c r="X96" s="1792"/>
      <c r="Y96" s="1792"/>
      <c r="Z96" s="1792"/>
      <c r="AA96" s="1792"/>
      <c r="AB96" s="1792"/>
      <c r="AC96" s="1792"/>
      <c r="AD96" s="1792"/>
      <c r="AE96" s="1792"/>
      <c r="AF96" s="1792"/>
      <c r="AG96" s="1792"/>
      <c r="AH96" s="1792"/>
      <c r="AI96" s="1792"/>
      <c r="AJ96" s="1792"/>
      <c r="AK96" s="1792"/>
      <c r="AL96" s="1792"/>
      <c r="AM96" s="1792"/>
      <c r="AN96" s="1792"/>
      <c r="AO96" s="1792"/>
      <c r="AP96" s="1792"/>
      <c r="AQ96" s="1792"/>
      <c r="AR96" s="1792"/>
      <c r="AS96" s="1792"/>
      <c r="AT96" s="1792"/>
      <c r="AU96" s="20"/>
      <c r="AV96" s="20"/>
      <c r="AW96" s="20"/>
      <c r="AX96" s="20"/>
      <c r="AY96" s="20"/>
      <c r="AZ96" s="20"/>
      <c r="BD96" s="1182" t="s">
        <v>2515</v>
      </c>
      <c r="BE96" s="1183" t="str">
        <f>Application!M246</f>
        <v>OrestD@beacondevgroup.com</v>
      </c>
    </row>
    <row r="97" spans="1:57" ht="13" customHeight="1">
      <c r="A97" s="1792"/>
      <c r="B97" s="1792"/>
      <c r="C97" s="1792"/>
      <c r="D97" s="1792"/>
      <c r="E97" s="1792"/>
      <c r="F97" s="1792"/>
      <c r="G97" s="1792"/>
      <c r="H97" s="1792"/>
      <c r="I97" s="1792"/>
      <c r="J97" s="1792"/>
      <c r="K97" s="1792"/>
      <c r="L97" s="1792"/>
      <c r="M97" s="1792"/>
      <c r="N97" s="1792"/>
      <c r="O97" s="1792"/>
      <c r="P97" s="1792"/>
      <c r="Q97" s="1792"/>
      <c r="R97" s="1792"/>
      <c r="S97" s="1792"/>
      <c r="T97" s="1792"/>
      <c r="U97" s="1792"/>
      <c r="V97" s="1792"/>
      <c r="W97" s="1792"/>
      <c r="X97" s="1792"/>
      <c r="Y97" s="1792"/>
      <c r="Z97" s="1792"/>
      <c r="AA97" s="1792"/>
      <c r="AB97" s="1792"/>
      <c r="AC97" s="1792"/>
      <c r="AD97" s="1792"/>
      <c r="AE97" s="1792"/>
      <c r="AF97" s="1792"/>
      <c r="AG97" s="1792"/>
      <c r="AH97" s="1792"/>
      <c r="AI97" s="1792"/>
      <c r="AJ97" s="1792"/>
      <c r="AK97" s="1792"/>
      <c r="AL97" s="1792"/>
      <c r="AM97" s="1792"/>
      <c r="AN97" s="1792"/>
      <c r="AO97" s="1792"/>
      <c r="AP97" s="1792"/>
      <c r="AQ97" s="1792"/>
      <c r="AR97" s="1792"/>
      <c r="AS97" s="1792"/>
      <c r="AT97" s="1792"/>
      <c r="AU97" s="20"/>
      <c r="AV97" s="20"/>
      <c r="AW97" s="20"/>
      <c r="AX97" s="20"/>
      <c r="AY97" s="20"/>
      <c r="AZ97" s="20"/>
      <c r="BD97" s="1181" t="s">
        <v>2516</v>
      </c>
      <c r="BE97" s="1183" t="str">
        <f>Application!M257</f>
        <v>MaryGrace.Crisostomo@HumanGood.org</v>
      </c>
    </row>
    <row r="98" spans="1:57" ht="13" customHeight="1">
      <c r="A98" s="1792"/>
      <c r="B98" s="1792"/>
      <c r="C98" s="1792"/>
      <c r="D98" s="1792"/>
      <c r="E98" s="1792"/>
      <c r="F98" s="1792"/>
      <c r="G98" s="1792"/>
      <c r="H98" s="1792"/>
      <c r="I98" s="1792"/>
      <c r="J98" s="1792"/>
      <c r="K98" s="1792"/>
      <c r="L98" s="1792"/>
      <c r="M98" s="1792"/>
      <c r="N98" s="1792"/>
      <c r="O98" s="1792"/>
      <c r="P98" s="1792"/>
      <c r="Q98" s="1792"/>
      <c r="R98" s="1792"/>
      <c r="S98" s="1792"/>
      <c r="T98" s="1792"/>
      <c r="U98" s="1792"/>
      <c r="V98" s="1792"/>
      <c r="W98" s="1792"/>
      <c r="X98" s="1792"/>
      <c r="Y98" s="1792"/>
      <c r="Z98" s="1792"/>
      <c r="AA98" s="1792"/>
      <c r="AB98" s="1792"/>
      <c r="AC98" s="1792"/>
      <c r="AD98" s="1792"/>
      <c r="AE98" s="1792"/>
      <c r="AF98" s="1792"/>
      <c r="AG98" s="1792"/>
      <c r="AH98" s="1792"/>
      <c r="AI98" s="1792"/>
      <c r="AJ98" s="1792"/>
      <c r="AK98" s="1792"/>
      <c r="AL98" s="1792"/>
      <c r="AM98" s="1792"/>
      <c r="AN98" s="1792"/>
      <c r="AO98" s="1792"/>
      <c r="AP98" s="1792"/>
      <c r="AQ98" s="1792"/>
      <c r="AR98" s="1792"/>
      <c r="AS98" s="1792"/>
      <c r="AT98" s="1792"/>
      <c r="AU98" s="20"/>
      <c r="AV98" s="20"/>
      <c r="AW98" s="20"/>
      <c r="AX98" s="20"/>
      <c r="AY98" s="20"/>
      <c r="AZ98" s="20"/>
      <c r="BD98" s="1182" t="s">
        <v>2517</v>
      </c>
      <c r="BE98" s="1183">
        <f>Application!M265</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3" customHeight="1">
      <c r="A100" s="1793" t="s">
        <v>2119</v>
      </c>
      <c r="B100" s="1793"/>
      <c r="C100" s="1793"/>
      <c r="D100" s="1793"/>
      <c r="E100" s="1793"/>
      <c r="F100" s="1793"/>
      <c r="G100" s="1793"/>
      <c r="H100" s="1793"/>
      <c r="I100" s="1793"/>
      <c r="J100" s="1793"/>
      <c r="K100" s="1793"/>
      <c r="L100" s="1793"/>
      <c r="M100" s="1793"/>
      <c r="N100" s="1793"/>
      <c r="O100" s="1793"/>
      <c r="P100" s="1793"/>
      <c r="Q100" s="1793"/>
      <c r="R100" s="1793"/>
      <c r="S100" s="1793"/>
      <c r="T100" s="1793"/>
      <c r="U100" s="1793"/>
      <c r="V100" s="1793"/>
      <c r="W100" s="1793"/>
      <c r="X100" s="1793"/>
      <c r="Y100" s="1793"/>
      <c r="Z100" s="1793"/>
      <c r="AA100" s="1793"/>
      <c r="AB100" s="1793"/>
      <c r="AC100" s="1793"/>
      <c r="AD100" s="1793"/>
      <c r="AE100" s="1793"/>
      <c r="AF100" s="1793"/>
      <c r="AG100" s="1793"/>
      <c r="AH100" s="1793"/>
      <c r="AI100" s="1793"/>
      <c r="AJ100" s="1793"/>
      <c r="AK100" s="1793"/>
      <c r="AL100" s="1793"/>
      <c r="AM100" s="1793"/>
      <c r="AN100" s="1793"/>
      <c r="AO100" s="1793"/>
      <c r="AP100" s="1793"/>
      <c r="AQ100" s="1793"/>
      <c r="AR100" s="1793"/>
      <c r="AS100" s="1793"/>
      <c r="AT100" s="1793"/>
      <c r="AU100" s="20"/>
      <c r="AV100" s="20"/>
      <c r="AW100" s="20"/>
      <c r="AX100" s="20"/>
      <c r="AY100" s="20"/>
      <c r="AZ100" s="20"/>
      <c r="BD100" s="1182" t="s">
        <v>2519</v>
      </c>
      <c r="BE100" s="1183" t="str">
        <f>Application!L288</f>
        <v>OrestD@beacondevgroup.com</v>
      </c>
    </row>
    <row r="101" spans="1:57" ht="13" customHeight="1">
      <c r="A101" s="1793"/>
      <c r="B101" s="1793"/>
      <c r="C101" s="1793"/>
      <c r="D101" s="1793"/>
      <c r="E101" s="1793"/>
      <c r="F101" s="1793"/>
      <c r="G101" s="1793"/>
      <c r="H101" s="1793"/>
      <c r="I101" s="1793"/>
      <c r="J101" s="1793"/>
      <c r="K101" s="1793"/>
      <c r="L101" s="1793"/>
      <c r="M101" s="1793"/>
      <c r="N101" s="1793"/>
      <c r="O101" s="1793"/>
      <c r="P101" s="1793"/>
      <c r="Q101" s="1793"/>
      <c r="R101" s="1793"/>
      <c r="S101" s="1793"/>
      <c r="T101" s="1793"/>
      <c r="U101" s="1793"/>
      <c r="V101" s="1793"/>
      <c r="W101" s="1793"/>
      <c r="X101" s="1793"/>
      <c r="Y101" s="1793"/>
      <c r="Z101" s="1793"/>
      <c r="AA101" s="1793"/>
      <c r="AB101" s="1793"/>
      <c r="AC101" s="1793"/>
      <c r="AD101" s="1793"/>
      <c r="AE101" s="1793"/>
      <c r="AF101" s="1793"/>
      <c r="AG101" s="1793"/>
      <c r="AH101" s="1793"/>
      <c r="AI101" s="1793"/>
      <c r="AJ101" s="1793"/>
      <c r="AK101" s="1793"/>
      <c r="AL101" s="1793"/>
      <c r="AM101" s="1793"/>
      <c r="AN101" s="1793"/>
      <c r="AO101" s="1793"/>
      <c r="AP101" s="1793"/>
      <c r="AQ101" s="1793"/>
      <c r="AR101" s="1793"/>
      <c r="AS101" s="1793"/>
      <c r="AT101" s="1793"/>
      <c r="AU101" s="20"/>
      <c r="AV101" s="20"/>
      <c r="AW101" s="20"/>
      <c r="AX101" s="20"/>
      <c r="AY101" s="20"/>
      <c r="AZ101" s="20"/>
      <c r="BD101" s="3" t="s">
        <v>2524</v>
      </c>
      <c r="BE101">
        <f>'Sources and Uses Budget'!C105</f>
        <v>35096325</v>
      </c>
    </row>
    <row r="102" spans="1:57" ht="13" customHeight="1">
      <c r="A102" s="1793"/>
      <c r="B102" s="1793"/>
      <c r="C102" s="1793"/>
      <c r="D102" s="1793"/>
      <c r="E102" s="1793"/>
      <c r="F102" s="1793"/>
      <c r="G102" s="1793"/>
      <c r="H102" s="1793"/>
      <c r="I102" s="1793"/>
      <c r="J102" s="1793"/>
      <c r="K102" s="1793"/>
      <c r="L102" s="1793"/>
      <c r="M102" s="1793"/>
      <c r="N102" s="1793"/>
      <c r="O102" s="1793"/>
      <c r="P102" s="1793"/>
      <c r="Q102" s="1793"/>
      <c r="R102" s="1793"/>
      <c r="S102" s="1793"/>
      <c r="T102" s="1793"/>
      <c r="U102" s="1793"/>
      <c r="V102" s="1793"/>
      <c r="W102" s="1793"/>
      <c r="X102" s="1793"/>
      <c r="Y102" s="1793"/>
      <c r="Z102" s="1793"/>
      <c r="AA102" s="1793"/>
      <c r="AB102" s="1793"/>
      <c r="AC102" s="1793"/>
      <c r="AD102" s="1793"/>
      <c r="AE102" s="1793"/>
      <c r="AF102" s="1793"/>
      <c r="AG102" s="1793"/>
      <c r="AH102" s="1793"/>
      <c r="AI102" s="1793"/>
      <c r="AJ102" s="1793"/>
      <c r="AK102" s="1793"/>
      <c r="AL102" s="1793"/>
      <c r="AM102" s="1793"/>
      <c r="AN102" s="1793"/>
      <c r="AO102" s="1793"/>
      <c r="AP102" s="1793"/>
      <c r="AQ102" s="1793"/>
      <c r="AR102" s="1793"/>
      <c r="AS102" s="1793"/>
      <c r="AT102" s="1793"/>
      <c r="AU102" s="20"/>
      <c r="AV102" s="20"/>
      <c r="AW102" s="20"/>
      <c r="AX102" s="20"/>
      <c r="AY102" s="20"/>
      <c r="AZ102" s="20"/>
      <c r="BD102" s="3" t="s">
        <v>2525</v>
      </c>
      <c r="BE102" t="b">
        <f>T197="Yes"</f>
        <v>0</v>
      </c>
    </row>
    <row r="103" spans="1:57" ht="13" customHeight="1">
      <c r="A103" s="1793"/>
      <c r="B103" s="1793"/>
      <c r="C103" s="1793"/>
      <c r="D103" s="1793"/>
      <c r="E103" s="1793"/>
      <c r="F103" s="1793"/>
      <c r="G103" s="1793"/>
      <c r="H103" s="1793"/>
      <c r="I103" s="1793"/>
      <c r="J103" s="1793"/>
      <c r="K103" s="1793"/>
      <c r="L103" s="1793"/>
      <c r="M103" s="1793"/>
      <c r="N103" s="1793"/>
      <c r="O103" s="1793"/>
      <c r="P103" s="1793"/>
      <c r="Q103" s="1793"/>
      <c r="R103" s="1793"/>
      <c r="S103" s="1793"/>
      <c r="T103" s="1793"/>
      <c r="U103" s="1793"/>
      <c r="V103" s="1793"/>
      <c r="W103" s="1793"/>
      <c r="X103" s="1793"/>
      <c r="Y103" s="1793"/>
      <c r="Z103" s="1793"/>
      <c r="AA103" s="1793"/>
      <c r="AB103" s="1793"/>
      <c r="AC103" s="1793"/>
      <c r="AD103" s="1793"/>
      <c r="AE103" s="1793"/>
      <c r="AF103" s="1793"/>
      <c r="AG103" s="1793"/>
      <c r="AH103" s="1793"/>
      <c r="AI103" s="1793"/>
      <c r="AJ103" s="1793"/>
      <c r="AK103" s="1793"/>
      <c r="AL103" s="1793"/>
      <c r="AM103" s="1793"/>
      <c r="AN103" s="1793"/>
      <c r="AO103" s="1793"/>
      <c r="AP103" s="1793"/>
      <c r="AQ103" s="1793"/>
      <c r="AR103" s="1793"/>
      <c r="AS103" s="1793"/>
      <c r="AT103" s="1793"/>
      <c r="AU103" s="20"/>
      <c r="AV103" s="20"/>
      <c r="AW103" s="20"/>
      <c r="AX103" s="20"/>
      <c r="AY103" s="20"/>
      <c r="BD103" t="s">
        <v>2129</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3" customHeight="1">
      <c r="A105" s="1793" t="s">
        <v>2120</v>
      </c>
      <c r="B105" s="1793"/>
      <c r="C105" s="1793"/>
      <c r="D105" s="1793"/>
      <c r="E105" s="1793"/>
      <c r="F105" s="1793"/>
      <c r="G105" s="1793"/>
      <c r="H105" s="1793"/>
      <c r="I105" s="1793"/>
      <c r="J105" s="1793"/>
      <c r="K105" s="1793"/>
      <c r="L105" s="1793"/>
      <c r="M105" s="1793"/>
      <c r="N105" s="1793"/>
      <c r="O105" s="1793"/>
      <c r="P105" s="1793"/>
      <c r="Q105" s="1793"/>
      <c r="R105" s="1793"/>
      <c r="S105" s="1793"/>
      <c r="T105" s="1793"/>
      <c r="U105" s="1793"/>
      <c r="V105" s="1793"/>
      <c r="W105" s="1793"/>
      <c r="X105" s="1793"/>
      <c r="Y105" s="1793"/>
      <c r="Z105" s="1793"/>
      <c r="AA105" s="1793"/>
      <c r="AB105" s="1793"/>
      <c r="AC105" s="1793"/>
      <c r="AD105" s="1793"/>
      <c r="AE105" s="1793"/>
      <c r="AF105" s="1793"/>
      <c r="AG105" s="1793"/>
      <c r="AH105" s="1793"/>
      <c r="AI105" s="1793"/>
      <c r="AJ105" s="1793"/>
      <c r="AK105" s="1793"/>
      <c r="AL105" s="1793"/>
      <c r="AM105" s="1793"/>
      <c r="AN105" s="1793"/>
      <c r="AO105" s="1793"/>
      <c r="AP105" s="1793"/>
      <c r="AQ105" s="1793"/>
      <c r="AR105" s="1793"/>
      <c r="AS105" s="1793"/>
      <c r="AT105" s="1793"/>
      <c r="AU105" s="20"/>
      <c r="AV105" s="20"/>
      <c r="AW105" s="20"/>
      <c r="AX105" s="20"/>
      <c r="AY105" s="20"/>
      <c r="BD105" s="3" t="s">
        <v>2541</v>
      </c>
      <c r="BE105" s="1183" t="b">
        <f>V224="Yes"</f>
        <v>0</v>
      </c>
    </row>
    <row r="106" spans="1:57" ht="13" customHeight="1">
      <c r="A106" s="1793"/>
      <c r="B106" s="1793"/>
      <c r="C106" s="1793"/>
      <c r="D106" s="1793"/>
      <c r="E106" s="1793"/>
      <c r="F106" s="1793"/>
      <c r="G106" s="1793"/>
      <c r="H106" s="1793"/>
      <c r="I106" s="1793"/>
      <c r="J106" s="1793"/>
      <c r="K106" s="1793"/>
      <c r="L106" s="1793"/>
      <c r="M106" s="1793"/>
      <c r="N106" s="1793"/>
      <c r="O106" s="1793"/>
      <c r="P106" s="1793"/>
      <c r="Q106" s="1793"/>
      <c r="R106" s="1793"/>
      <c r="S106" s="1793"/>
      <c r="T106" s="1793"/>
      <c r="U106" s="1793"/>
      <c r="V106" s="1793"/>
      <c r="W106" s="1793"/>
      <c r="X106" s="1793"/>
      <c r="Y106" s="1793"/>
      <c r="Z106" s="1793"/>
      <c r="AA106" s="1793"/>
      <c r="AB106" s="1793"/>
      <c r="AC106" s="1793"/>
      <c r="AD106" s="1793"/>
      <c r="AE106" s="1793"/>
      <c r="AF106" s="1793"/>
      <c r="AG106" s="1793"/>
      <c r="AH106" s="1793"/>
      <c r="AI106" s="1793"/>
      <c r="AJ106" s="1793"/>
      <c r="AK106" s="1793"/>
      <c r="AL106" s="1793"/>
      <c r="AM106" s="1793"/>
      <c r="AN106" s="1793"/>
      <c r="AO106" s="1793"/>
      <c r="AP106" s="1793"/>
      <c r="AQ106" s="1793"/>
      <c r="AR106" s="1793"/>
      <c r="AS106" s="1793"/>
      <c r="AT106" s="1793"/>
      <c r="AU106" s="20"/>
      <c r="AV106" s="20"/>
      <c r="AW106" s="20"/>
      <c r="AX106" s="20"/>
      <c r="AY106" s="20"/>
      <c r="BD106" s="3" t="s">
        <v>2542</v>
      </c>
      <c r="BE106" s="1183" t="b">
        <f t="shared" ref="BE106:BE110" si="0">V225="Yes"</f>
        <v>1</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3"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794"/>
      <c r="H113" s="1794"/>
      <c r="I113" s="3" t="s">
        <v>181</v>
      </c>
      <c r="L113" s="1794"/>
      <c r="M113" s="1794"/>
      <c r="N113" s="1794"/>
      <c r="O113" s="1794"/>
      <c r="P113" s="1800" t="s">
        <v>2609</v>
      </c>
      <c r="Q113" s="1800"/>
      <c r="R113" s="1800"/>
      <c r="S113" s="180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4"/>
      <c r="D115" s="1804"/>
      <c r="E115" s="1804"/>
      <c r="F115" s="1804"/>
      <c r="G115" s="1804"/>
      <c r="H115" s="1804"/>
      <c r="I115" s="1804"/>
      <c r="J115" s="1804"/>
      <c r="K115" s="1804"/>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794"/>
      <c r="Z117" s="1794"/>
      <c r="AA117" s="1794"/>
      <c r="AB117" s="1794"/>
      <c r="AC117" s="1794"/>
      <c r="AD117" s="1794"/>
      <c r="AE117" s="1794"/>
      <c r="AF117" s="1794"/>
      <c r="AG117" s="1794"/>
      <c r="AH117" s="1794"/>
      <c r="AI117" s="1794"/>
      <c r="AJ117" s="1794"/>
      <c r="AK117" s="1794"/>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4"/>
      <c r="Z120" s="1794"/>
      <c r="AA120" s="1794"/>
      <c r="AB120" s="1794"/>
      <c r="AC120" s="1794"/>
      <c r="AD120" s="1794"/>
      <c r="AE120" s="1794"/>
      <c r="AF120" s="1794"/>
      <c r="AG120" s="1794"/>
      <c r="AH120" s="1794"/>
      <c r="AI120" s="1794"/>
      <c r="AJ120" s="1794"/>
      <c r="AK120" s="1794"/>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1" t="s">
        <v>468</v>
      </c>
      <c r="CV122" s="1692"/>
      <c r="CW122" s="14"/>
      <c r="CX122" s="14" t="s">
        <v>633</v>
      </c>
      <c r="CY122" s="14"/>
      <c r="CZ122" s="14"/>
      <c r="DA122" s="14"/>
      <c r="DB122" s="14"/>
      <c r="DC122" s="14"/>
      <c r="DD122" s="14"/>
      <c r="DE122" s="14"/>
      <c r="DF122" s="14"/>
      <c r="DG122" s="1688" t="str">
        <f>T189</f>
        <v>Los Angeles</v>
      </c>
      <c r="DH122" s="1689"/>
      <c r="DI122" s="1689"/>
      <c r="DJ122" s="1689"/>
      <c r="DK122" s="1689"/>
      <c r="DL122" s="1689"/>
      <c r="DM122" s="1690"/>
    </row>
    <row r="123" spans="1:117" ht="13" customHeight="1">
      <c r="A123" s="3"/>
      <c r="B123" s="3"/>
      <c r="T123" s="3"/>
      <c r="U123" s="3"/>
      <c r="V123" s="3"/>
      <c r="W123" s="3"/>
      <c r="X123" s="3"/>
      <c r="Y123" s="1794"/>
      <c r="Z123" s="1794"/>
      <c r="AA123" s="1794"/>
      <c r="AB123" s="1794"/>
      <c r="AC123" s="1794"/>
      <c r="AD123" s="1794"/>
      <c r="AE123" s="1794"/>
      <c r="AF123" s="1794"/>
      <c r="AG123" s="1794"/>
      <c r="AH123" s="1794"/>
      <c r="AI123" s="1794"/>
      <c r="AJ123" s="1794"/>
      <c r="AK123" s="1794"/>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341"/>
      <c r="G150" s="1341"/>
      <c r="H150" s="1341"/>
      <c r="I150" s="1341"/>
      <c r="J150" s="1341"/>
      <c r="K150" s="1341"/>
      <c r="L150" s="1341"/>
      <c r="M150" s="1341"/>
      <c r="N150" s="1341"/>
      <c r="O150" s="1341"/>
      <c r="P150" s="1341"/>
      <c r="Q150" s="1341"/>
      <c r="R150" s="1341"/>
      <c r="S150" s="1341"/>
      <c r="T150" s="134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3" customHeight="1">
      <c r="BM152">
        <v>4</v>
      </c>
      <c r="BN152" s="3" t="s">
        <v>2394</v>
      </c>
    </row>
    <row r="153" spans="1:108" ht="13" customHeight="1">
      <c r="D153" t="s">
        <v>644</v>
      </c>
      <c r="O153" s="1512" t="s">
        <v>874</v>
      </c>
      <c r="P153" s="1512"/>
      <c r="Q153" s="1512"/>
      <c r="R153" s="1512"/>
      <c r="S153" s="1512"/>
      <c r="T153" s="1512"/>
      <c r="U153" s="1512"/>
      <c r="V153" s="1512"/>
      <c r="W153" s="1512"/>
      <c r="X153" s="1512"/>
      <c r="Y153" s="1512"/>
      <c r="Z153" s="1512"/>
      <c r="AA153" s="1512"/>
      <c r="AB153" s="1512"/>
      <c r="AC153" s="1512"/>
      <c r="AD153" s="1512"/>
      <c r="AE153" s="1512"/>
      <c r="AF153" s="1512"/>
      <c r="AG153" s="1512"/>
      <c r="AH153" s="1512"/>
      <c r="BM153">
        <v>5</v>
      </c>
      <c r="BN153" s="3" t="s">
        <v>2396</v>
      </c>
      <c r="CR153" s="31" t="s">
        <v>2638</v>
      </c>
      <c r="CS153" s="32"/>
      <c r="CT153" s="32"/>
      <c r="CU153" s="32"/>
      <c r="CV153" s="32"/>
      <c r="CW153" s="32"/>
      <c r="CX153" s="14"/>
      <c r="CY153" s="31" t="s">
        <v>2639</v>
      </c>
      <c r="CZ153" s="14"/>
      <c r="DA153" s="14"/>
      <c r="DB153" s="14"/>
      <c r="DC153" s="14"/>
      <c r="DD153" s="14"/>
    </row>
    <row r="154" spans="1:108" ht="13" customHeight="1">
      <c r="D154" s="303" t="s">
        <v>438</v>
      </c>
      <c r="O154" s="1453" t="s">
        <v>2645</v>
      </c>
      <c r="P154" s="1453"/>
      <c r="Q154" s="1453"/>
      <c r="R154" s="1453"/>
      <c r="S154" s="1453"/>
      <c r="T154" s="1453"/>
      <c r="U154" s="1453"/>
      <c r="V154" s="1453"/>
      <c r="W154" s="1453"/>
      <c r="X154" s="1453"/>
      <c r="Y154" s="1453"/>
      <c r="Z154" s="1453"/>
      <c r="AA154" s="1453"/>
      <c r="AB154" s="1453"/>
      <c r="AC154" s="1453"/>
      <c r="AD154" s="1453"/>
      <c r="AE154" s="1453"/>
      <c r="AF154" s="1453"/>
      <c r="AG154" s="1453"/>
      <c r="AH154" s="1453"/>
      <c r="BM154">
        <v>6</v>
      </c>
      <c r="BN154" s="3" t="s">
        <v>2397</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814" t="s">
        <v>439</v>
      </c>
      <c r="P155" s="1814"/>
      <c r="Q155" s="1814"/>
      <c r="R155" s="1814"/>
      <c r="S155" s="1814"/>
      <c r="T155" s="1814"/>
      <c r="U155" s="1814"/>
      <c r="V155" s="1814"/>
      <c r="W155" s="1814"/>
      <c r="X155" s="1814"/>
      <c r="Y155" s="1814"/>
      <c r="Z155" s="1814"/>
      <c r="AA155" s="1814"/>
      <c r="AB155" s="1814"/>
      <c r="AC155" s="1814"/>
      <c r="AD155" s="1814"/>
      <c r="AE155" s="1814"/>
      <c r="AF155" s="1814"/>
      <c r="AG155" s="1814"/>
      <c r="AH155" s="1814"/>
      <c r="BM155">
        <v>7</v>
      </c>
      <c r="BN155" s="3" t="s">
        <v>590</v>
      </c>
      <c r="CR155" s="31"/>
      <c r="CS155" s="32"/>
      <c r="CT155" s="32"/>
      <c r="CU155" s="32"/>
      <c r="CV155" s="32"/>
      <c r="CW155" s="32"/>
      <c r="CX155" s="14"/>
      <c r="CY155" s="31"/>
      <c r="CZ155" s="14"/>
      <c r="DA155" s="14"/>
      <c r="DB155" s="14"/>
      <c r="DC155" s="14"/>
      <c r="DD155" s="14"/>
    </row>
    <row r="156" spans="1:108" ht="13" customHeight="1">
      <c r="D156" t="s">
        <v>312</v>
      </c>
      <c r="O156" s="1442" t="s">
        <v>2646</v>
      </c>
      <c r="P156" s="1442"/>
      <c r="Q156" s="1442"/>
      <c r="R156" s="1442"/>
      <c r="S156" s="1442"/>
      <c r="T156" s="1442"/>
      <c r="U156" s="1442"/>
      <c r="V156" s="1442"/>
      <c r="W156" s="1442"/>
      <c r="X156" s="1442"/>
      <c r="Y156" s="1442"/>
      <c r="Z156" s="1442"/>
      <c r="AA156" s="1442"/>
      <c r="AB156" s="1442"/>
      <c r="AC156" s="1442"/>
      <c r="AD156" s="1442"/>
      <c r="AE156" s="1442"/>
      <c r="AF156" s="1442"/>
      <c r="AG156" s="1442"/>
      <c r="AH156" s="1442"/>
      <c r="BT156" t="s">
        <v>306</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512" t="s">
        <v>493</v>
      </c>
      <c r="P157" s="1512"/>
      <c r="Q157" s="1512"/>
      <c r="R157" s="1512"/>
      <c r="S157" s="1512"/>
      <c r="T157" s="1512"/>
      <c r="U157" s="1512"/>
      <c r="V157" s="1512"/>
      <c r="W157" s="1512"/>
      <c r="X157" s="1512"/>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797">
        <v>90017</v>
      </c>
      <c r="P158" s="1797"/>
      <c r="Q158" s="1797"/>
      <c r="R158" s="1797"/>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801">
        <v>2138088596</v>
      </c>
      <c r="P159" s="1801"/>
      <c r="Q159" s="1801"/>
      <c r="R159" s="1801"/>
      <c r="S159" s="1801"/>
      <c r="T159" s="1801"/>
      <c r="V159" s="97" t="s">
        <v>270</v>
      </c>
      <c r="W159" s="1798"/>
      <c r="X159" s="1798"/>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3" customHeight="1">
      <c r="D160" t="s">
        <v>316</v>
      </c>
      <c r="O160" s="1801">
        <v>2138088910</v>
      </c>
      <c r="P160" s="1801"/>
      <c r="Q160" s="1801"/>
      <c r="R160" s="1801"/>
      <c r="S160" s="1801"/>
      <c r="T160" s="1801"/>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 customHeight="1">
      <c r="D161" t="s">
        <v>317</v>
      </c>
      <c r="O161" s="1789" t="s">
        <v>2647</v>
      </c>
      <c r="P161" s="1789"/>
      <c r="Q161" s="1789"/>
      <c r="R161" s="1789"/>
      <c r="S161" s="1789"/>
      <c r="T161" s="1789"/>
      <c r="U161" s="1789"/>
      <c r="V161" s="1789"/>
      <c r="W161" s="1789"/>
      <c r="X161" s="1789"/>
      <c r="Y161" s="1789"/>
      <c r="Z161" s="1789"/>
      <c r="AA161" s="1789"/>
      <c r="AB161" s="1789"/>
      <c r="AC161" s="1789"/>
      <c r="AD161" s="1789"/>
      <c r="AE161" s="1789"/>
      <c r="AF161" s="1789"/>
      <c r="AG161" s="1789"/>
      <c r="AH161" s="1789"/>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 customHeight="1">
      <c r="C164" s="27"/>
      <c r="D164" s="1805" t="s">
        <v>2170</v>
      </c>
      <c r="E164" s="1805"/>
      <c r="F164" s="1805"/>
      <c r="G164" s="1805"/>
      <c r="H164" s="1805"/>
      <c r="I164" s="1805"/>
      <c r="J164" s="1805"/>
      <c r="K164" s="1805"/>
      <c r="L164" s="1805"/>
      <c r="M164" s="1805"/>
      <c r="N164" s="1805"/>
      <c r="O164" s="1805"/>
      <c r="P164" s="1805"/>
      <c r="Q164" s="1805"/>
      <c r="R164" s="1805"/>
      <c r="S164" s="1805"/>
      <c r="T164" s="1805"/>
      <c r="U164" s="1805"/>
      <c r="V164" s="1805"/>
      <c r="W164" s="1805"/>
      <c r="X164" s="1805"/>
      <c r="Y164" s="1805"/>
      <c r="Z164" s="1805"/>
      <c r="AA164" s="1805"/>
      <c r="AB164" s="1805"/>
      <c r="AC164" s="1805"/>
      <c r="AD164" s="1805"/>
      <c r="AE164" s="1805"/>
      <c r="AF164" s="1805"/>
      <c r="AG164" s="1805"/>
      <c r="AH164" s="1805"/>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 customHeight="1">
      <c r="A169" s="1516" t="s">
        <v>538</v>
      </c>
      <c r="B169" s="1516"/>
      <c r="C169" s="1516"/>
      <c r="D169" s="1516"/>
      <c r="E169" s="1516"/>
      <c r="F169" s="1516"/>
      <c r="G169" s="1516"/>
      <c r="H169" s="1516"/>
      <c r="I169" s="1516"/>
      <c r="J169" s="1516"/>
      <c r="K169" s="1516"/>
      <c r="L169" s="1516"/>
      <c r="M169" s="1516"/>
      <c r="N169" s="1516"/>
      <c r="O169" s="1516"/>
      <c r="P169" s="1516"/>
      <c r="Q169" s="1516"/>
      <c r="R169" s="1516"/>
      <c r="S169" s="1516"/>
      <c r="T169" s="1516"/>
      <c r="U169" s="1516"/>
      <c r="V169" s="1516"/>
      <c r="W169" s="1516"/>
      <c r="X169" s="1516"/>
      <c r="Y169" s="1516"/>
      <c r="Z169" s="1516"/>
      <c r="AA169" s="1516"/>
      <c r="AB169" s="1516"/>
      <c r="AC169" s="1516"/>
      <c r="AD169" s="1516"/>
      <c r="AE169" s="1516"/>
      <c r="AF169" s="1516"/>
      <c r="AG169" s="1516"/>
      <c r="AH169" s="1516"/>
      <c r="AI169" s="1516"/>
      <c r="AJ169" s="1516"/>
      <c r="AK169" s="1516"/>
      <c r="AL169" s="1516"/>
      <c r="AM169" s="1516"/>
      <c r="AN169" s="1516"/>
      <c r="AO169" s="1516"/>
      <c r="AP169" s="1516"/>
      <c r="AQ169" s="1516"/>
      <c r="AR169" s="1516"/>
      <c r="AS169" s="1516"/>
      <c r="AT169" s="1516"/>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 customHeight="1">
      <c r="A170" s="1516"/>
      <c r="B170" s="1516"/>
      <c r="C170" s="1516"/>
      <c r="D170" s="1516"/>
      <c r="E170" s="1516"/>
      <c r="F170" s="1516"/>
      <c r="G170" s="1516"/>
      <c r="H170" s="1516"/>
      <c r="I170" s="1516"/>
      <c r="J170" s="1516"/>
      <c r="K170" s="1516"/>
      <c r="L170" s="1516"/>
      <c r="M170" s="1516"/>
      <c r="N170" s="1516"/>
      <c r="O170" s="1516"/>
      <c r="P170" s="1516"/>
      <c r="Q170" s="1516"/>
      <c r="R170" s="1516"/>
      <c r="S170" s="1516"/>
      <c r="T170" s="1516"/>
      <c r="U170" s="1516"/>
      <c r="V170" s="1516"/>
      <c r="W170" s="1516"/>
      <c r="X170" s="1516"/>
      <c r="Y170" s="1516"/>
      <c r="Z170" s="1516"/>
      <c r="AA170" s="1516"/>
      <c r="AB170" s="1516"/>
      <c r="AC170" s="1516"/>
      <c r="AD170" s="1516"/>
      <c r="AE170" s="1516"/>
      <c r="AF170" s="1516"/>
      <c r="AG170" s="1516"/>
      <c r="AH170" s="1516"/>
      <c r="AI170" s="1516"/>
      <c r="AJ170" s="1516"/>
      <c r="AK170" s="1516"/>
      <c r="AL170" s="1516"/>
      <c r="AM170" s="1516"/>
      <c r="AN170" s="1516"/>
      <c r="AO170" s="1516"/>
      <c r="AP170" s="1516"/>
      <c r="AQ170" s="1516"/>
      <c r="AR170" s="1516"/>
      <c r="AS170" s="1516"/>
      <c r="AT170" s="1516"/>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 customHeight="1">
      <c r="C173" s="24"/>
      <c r="D173" t="s">
        <v>320</v>
      </c>
      <c r="J173" s="1812" t="s">
        <v>370</v>
      </c>
      <c r="K173" s="1812"/>
      <c r="L173" s="1812"/>
      <c r="M173" s="1812"/>
      <c r="N173" s="1812"/>
      <c r="O173" s="1812"/>
      <c r="P173" s="1812"/>
      <c r="Q173" s="1812"/>
      <c r="R173" s="1812"/>
      <c r="S173" s="1812"/>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 customHeight="1">
      <c r="C174" s="24"/>
      <c r="D174" s="3" t="s">
        <v>1201</v>
      </c>
      <c r="J174" s="1442" t="s">
        <v>2056</v>
      </c>
      <c r="K174" s="1442"/>
      <c r="L174" s="1442"/>
      <c r="M174" s="1442"/>
      <c r="N174" s="1442"/>
      <c r="O174" s="1442"/>
      <c r="P174" s="1442"/>
      <c r="Q174" s="1442"/>
      <c r="R174" s="1442"/>
      <c r="S174" s="1442"/>
      <c r="T174" s="1442"/>
      <c r="U174" s="1442"/>
      <c r="V174" s="1442"/>
      <c r="W174" s="1442"/>
      <c r="X174" s="1442"/>
      <c r="Y174" s="1442"/>
      <c r="Z174" s="1442"/>
      <c r="AA174" s="1442"/>
      <c r="AB174" s="1442"/>
      <c r="BB174" t="s">
        <v>1942</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 customHeight="1">
      <c r="C175" s="8"/>
      <c r="D175" s="3" t="s">
        <v>321</v>
      </c>
      <c r="O175" s="27"/>
      <c r="U175" s="1339" t="s">
        <v>544</v>
      </c>
      <c r="V175" s="1339"/>
      <c r="BB175" t="s">
        <v>1910</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 customHeight="1">
      <c r="C176" s="8"/>
      <c r="D176" s="26"/>
      <c r="E176" t="s">
        <v>303</v>
      </c>
      <c r="O176" s="27"/>
      <c r="P176" t="s">
        <v>2035</v>
      </c>
      <c r="T176" s="27" t="s">
        <v>304</v>
      </c>
      <c r="U176" s="1455">
        <v>25</v>
      </c>
      <c r="V176" s="1455"/>
      <c r="W176" s="1" t="s">
        <v>305</v>
      </c>
      <c r="X176" s="1788">
        <v>682</v>
      </c>
      <c r="Y176" s="1788"/>
      <c r="BB176" t="s">
        <v>1943</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 customHeight="1">
      <c r="C177" s="24"/>
      <c r="D177" t="s">
        <v>248</v>
      </c>
      <c r="R177" s="1339" t="s">
        <v>668</v>
      </c>
      <c r="S177" s="1339"/>
      <c r="BB177" t="s">
        <v>2167</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 customHeight="1">
      <c r="C178" s="24"/>
      <c r="D178" s="3" t="s">
        <v>1202</v>
      </c>
      <c r="AA178" t="s">
        <v>2035</v>
      </c>
      <c r="AE178" s="27" t="s">
        <v>304</v>
      </c>
      <c r="AF178" s="1813"/>
      <c r="AG178" s="1813"/>
      <c r="AH178" s="1" t="s">
        <v>305</v>
      </c>
      <c r="AI178" s="1808"/>
      <c r="AJ178" s="1808"/>
      <c r="AK178" s="1808"/>
      <c r="BB178" t="s">
        <v>2168</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 customHeight="1">
      <c r="C180" s="24"/>
      <c r="D180" s="3" t="s">
        <v>2634</v>
      </c>
      <c r="X180" s="1339" t="s">
        <v>668</v>
      </c>
      <c r="Y180" s="1339"/>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 customHeight="1">
      <c r="C184" s="21"/>
      <c r="D184" t="s">
        <v>577</v>
      </c>
      <c r="I184" s="1452" t="str">
        <f>H18</f>
        <v>George McDonald Court</v>
      </c>
      <c r="J184" s="1452"/>
      <c r="K184" s="1452"/>
      <c r="L184" s="1452"/>
      <c r="M184" s="1452"/>
      <c r="N184" s="1452"/>
      <c r="O184" s="1452"/>
      <c r="P184" s="1452"/>
      <c r="Q184" s="1452"/>
      <c r="R184" s="1452"/>
      <c r="S184" s="1452"/>
      <c r="T184" s="1452"/>
      <c r="U184" s="1452"/>
      <c r="V184" s="1452"/>
      <c r="W184" s="1452"/>
      <c r="X184" s="1452"/>
      <c r="Y184" s="1452"/>
      <c r="Z184" s="1452"/>
      <c r="AA184" s="1452"/>
      <c r="AB184" s="1452"/>
      <c r="AC184" s="1452"/>
      <c r="AD184" s="1452"/>
      <c r="AE184" s="1452"/>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 customHeight="1">
      <c r="C185" s="21"/>
      <c r="D185" t="s">
        <v>578</v>
      </c>
      <c r="I185" s="1457" t="s">
        <v>2648</v>
      </c>
      <c r="J185" s="1457"/>
      <c r="K185" s="1457"/>
      <c r="L185" s="1457"/>
      <c r="M185" s="1457"/>
      <c r="N185" s="1457"/>
      <c r="O185" s="1457"/>
      <c r="P185" s="1457"/>
      <c r="Q185" s="1457"/>
      <c r="R185" s="1457"/>
      <c r="S185" s="1457"/>
      <c r="T185" s="1457"/>
      <c r="U185" s="1457"/>
      <c r="V185" s="1457"/>
      <c r="W185" s="1457"/>
      <c r="X185" s="1457"/>
      <c r="Y185" s="1457"/>
      <c r="Z185" s="1457"/>
      <c r="AA185" s="1457"/>
      <c r="AB185" s="1457"/>
      <c r="AC185" s="1457"/>
      <c r="AD185" s="1457"/>
      <c r="AE185" s="1457"/>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 customHeight="1">
      <c r="C187" s="21"/>
      <c r="E187" s="1807"/>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 customHeight="1">
      <c r="C188" s="21"/>
      <c r="E188" s="1756"/>
      <c r="F188" s="1756"/>
      <c r="G188" s="1756"/>
      <c r="H188" s="1756"/>
      <c r="I188" s="1756"/>
      <c r="J188" s="1756"/>
      <c r="K188" s="1756"/>
      <c r="L188" s="1756"/>
      <c r="M188" s="1756"/>
      <c r="N188" s="1756"/>
      <c r="O188" s="1756"/>
      <c r="P188" s="1756"/>
      <c r="Q188" s="1756"/>
      <c r="R188" s="1756"/>
      <c r="S188" s="1756"/>
      <c r="T188" s="1756"/>
      <c r="U188" s="1756"/>
      <c r="V188" s="1756"/>
      <c r="W188" s="1756"/>
      <c r="X188" s="1756"/>
      <c r="Y188" s="1756"/>
      <c r="Z188" s="1756"/>
      <c r="AA188" s="1756"/>
      <c r="AB188" s="1756"/>
      <c r="AC188" s="1756"/>
      <c r="AD188" s="1756"/>
      <c r="AE188" s="1756"/>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 customHeight="1">
      <c r="C189" s="21"/>
      <c r="D189" t="s">
        <v>579</v>
      </c>
      <c r="I189" s="1511" t="s">
        <v>493</v>
      </c>
      <c r="J189" s="1442"/>
      <c r="K189" s="1442"/>
      <c r="L189" s="1442"/>
      <c r="M189" s="1442"/>
      <c r="N189" s="1442"/>
      <c r="O189" s="1442"/>
      <c r="P189" s="1442"/>
      <c r="Q189" t="s">
        <v>581</v>
      </c>
      <c r="T189" s="1442" t="s">
        <v>493</v>
      </c>
      <c r="U189" s="1442"/>
      <c r="V189" s="1442"/>
      <c r="W189" s="1442"/>
      <c r="X189" s="1442"/>
      <c r="Y189" s="1442"/>
      <c r="Z189" s="1442"/>
      <c r="AA189" s="1442"/>
      <c r="AB189" s="1442"/>
      <c r="AC189" s="1442"/>
      <c r="AD189" s="1442"/>
      <c r="AE189" s="1442"/>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 customHeight="1">
      <c r="C190" s="21"/>
      <c r="D190" t="s">
        <v>582</v>
      </c>
      <c r="I190" s="1457">
        <v>90002</v>
      </c>
      <c r="J190" s="1457"/>
      <c r="K190" s="1457"/>
      <c r="L190" s="1457"/>
      <c r="M190" s="1457"/>
      <c r="N190" s="1457"/>
      <c r="O190" t="s">
        <v>584</v>
      </c>
      <c r="T190" s="1795">
        <v>2422.0100000000002</v>
      </c>
      <c r="U190" s="1795"/>
      <c r="V190" s="1795"/>
      <c r="W190" s="1795"/>
      <c r="X190" s="1795"/>
      <c r="Y190" s="1795"/>
      <c r="Z190" s="1795"/>
      <c r="AA190" s="1795"/>
      <c r="AB190" s="1795"/>
      <c r="AC190" s="1795"/>
      <c r="AD190" s="1795"/>
      <c r="AE190" s="1795"/>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 customHeight="1">
      <c r="C191" s="21"/>
      <c r="D191" t="s">
        <v>461</v>
      </c>
      <c r="N191" s="1807" t="s">
        <v>2649</v>
      </c>
      <c r="O191" s="1807"/>
      <c r="P191" s="1807"/>
      <c r="Q191" s="1807"/>
      <c r="R191" s="1807"/>
      <c r="S191" s="1807"/>
      <c r="T191" s="1807"/>
      <c r="U191" s="1807"/>
      <c r="V191" s="1807"/>
      <c r="W191" s="1807"/>
      <c r="X191" s="1807"/>
      <c r="Y191" s="1807"/>
      <c r="Z191" s="1807"/>
      <c r="AA191" s="1807"/>
      <c r="AB191" s="1807"/>
      <c r="AC191" s="1807"/>
      <c r="AD191" s="1807"/>
      <c r="AE191" s="1807"/>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 customHeight="1">
      <c r="C192" s="21"/>
      <c r="M192" s="40"/>
      <c r="N192" s="1756"/>
      <c r="O192" s="1756"/>
      <c r="P192" s="1756"/>
      <c r="Q192" s="1756"/>
      <c r="R192" s="1756"/>
      <c r="S192" s="1756"/>
      <c r="T192" s="1756"/>
      <c r="U192" s="1756"/>
      <c r="V192" s="1756"/>
      <c r="W192" s="1756"/>
      <c r="X192" s="1756"/>
      <c r="Y192" s="1756"/>
      <c r="Z192" s="1756"/>
      <c r="AA192" s="1756"/>
      <c r="AB192" s="1756"/>
      <c r="AC192" s="1756"/>
      <c r="AD192" s="1756"/>
      <c r="AE192" s="1756"/>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 customHeight="1">
      <c r="C193" s="21"/>
      <c r="D193" t="s">
        <v>2036</v>
      </c>
      <c r="M193" s="40"/>
      <c r="N193" s="890"/>
      <c r="O193" s="890"/>
      <c r="P193" s="890"/>
      <c r="Q193" s="890"/>
      <c r="R193" s="890"/>
      <c r="S193" s="890"/>
      <c r="T193" s="1799" t="s">
        <v>2167</v>
      </c>
      <c r="U193" s="1799"/>
      <c r="V193" s="1799"/>
      <c r="W193" s="1799"/>
      <c r="X193" s="1799"/>
      <c r="Y193" s="1799"/>
      <c r="Z193" s="1799"/>
      <c r="AA193" s="1799"/>
      <c r="AB193" s="1799"/>
      <c r="AC193" s="1799"/>
      <c r="AD193" s="1799"/>
      <c r="AE193" s="1799"/>
      <c r="AF193" s="1799"/>
      <c r="AG193" s="1799"/>
      <c r="AH193" s="1799"/>
      <c r="AI193" s="1799"/>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 customHeight="1">
      <c r="C194" s="21"/>
      <c r="D194" s="3" t="s">
        <v>2169</v>
      </c>
      <c r="M194" s="40"/>
      <c r="N194" s="890"/>
      <c r="O194" s="890"/>
      <c r="P194" s="890"/>
      <c r="Q194" s="890"/>
      <c r="R194" s="890"/>
      <c r="S194" s="890"/>
      <c r="AH194" s="1339" t="s">
        <v>668</v>
      </c>
      <c r="AI194" s="1339"/>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 customHeight="1">
      <c r="C195" s="21"/>
      <c r="D195" t="s">
        <v>330</v>
      </c>
      <c r="T195" s="1339" t="s">
        <v>668</v>
      </c>
      <c r="U195" s="1339"/>
      <c r="W195" t="s">
        <v>683</v>
      </c>
      <c r="AH195" s="1339">
        <v>43</v>
      </c>
      <c r="AI195" s="1339"/>
      <c r="BC195" t="s">
        <v>1831</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 customHeight="1">
      <c r="C196" s="21"/>
      <c r="D196" t="s">
        <v>385</v>
      </c>
      <c r="T196" s="1376" t="s">
        <v>544</v>
      </c>
      <c r="U196" s="1376"/>
      <c r="W196" t="s">
        <v>684</v>
      </c>
      <c r="AH196" s="1339">
        <v>65</v>
      </c>
      <c r="AI196" s="1339"/>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 customHeight="1">
      <c r="C197" s="21"/>
      <c r="D197" s="3" t="s">
        <v>168</v>
      </c>
      <c r="T197" s="1376" t="s">
        <v>668</v>
      </c>
      <c r="U197" s="1376"/>
      <c r="W197" t="s">
        <v>685</v>
      </c>
      <c r="AH197" s="1339">
        <v>35</v>
      </c>
      <c r="AI197" s="1339"/>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 customHeight="1">
      <c r="A198"/>
      <c r="B198"/>
      <c r="C198" s="21"/>
      <c r="D198" s="3" t="s">
        <v>1640</v>
      </c>
      <c r="E198"/>
      <c r="F198"/>
      <c r="G198"/>
      <c r="H198"/>
      <c r="I198"/>
      <c r="J198"/>
      <c r="K198"/>
      <c r="L198"/>
      <c r="M198"/>
      <c r="N198"/>
      <c r="O198"/>
      <c r="P198"/>
      <c r="Q198"/>
      <c r="R198"/>
      <c r="S198"/>
      <c r="T198" s="1376">
        <v>0</v>
      </c>
      <c r="U198" s="1376"/>
      <c r="V198"/>
      <c r="X198" s="1508" t="s">
        <v>2443</v>
      </c>
      <c r="Y198" s="1508"/>
      <c r="Z198" s="1508"/>
      <c r="AA198" s="1508"/>
      <c r="AB198" s="1508"/>
      <c r="AC198" s="1508"/>
      <c r="AD198" s="1508"/>
      <c r="AE198" s="1508"/>
      <c r="AF198" s="1508"/>
      <c r="AG198" s="1508"/>
      <c r="AH198" s="1508"/>
      <c r="AI198" s="1508"/>
      <c r="AJ198" s="1508"/>
      <c r="AK198" s="1508"/>
      <c r="AL198" s="1508"/>
      <c r="AM198" s="1508"/>
      <c r="AN198" s="1508"/>
      <c r="AO198" s="1508"/>
      <c r="AP198" s="1508"/>
      <c r="AQ198" s="1508"/>
      <c r="AR198" s="1508"/>
      <c r="AS198" s="1508"/>
      <c r="AT198" s="1508"/>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 customHeight="1">
      <c r="A199"/>
      <c r="B199"/>
      <c r="C199" s="21"/>
      <c r="D199" s="118" t="s">
        <v>2446</v>
      </c>
      <c r="E199"/>
      <c r="F199"/>
      <c r="G199"/>
      <c r="H199"/>
      <c r="I199"/>
      <c r="J199"/>
      <c r="K199"/>
      <c r="L199"/>
      <c r="M199"/>
      <c r="N199"/>
      <c r="O199"/>
      <c r="P199"/>
      <c r="Q199"/>
      <c r="R199"/>
      <c r="S199"/>
      <c r="T199" s="1339" t="s">
        <v>668</v>
      </c>
      <c r="U199" s="1339"/>
      <c r="V199"/>
      <c r="W199"/>
      <c r="X199" s="1508"/>
      <c r="Y199" s="1508"/>
      <c r="Z199" s="1508"/>
      <c r="AA199" s="1508"/>
      <c r="AB199" s="1508"/>
      <c r="AC199" s="1508"/>
      <c r="AD199" s="1508"/>
      <c r="AE199" s="1508"/>
      <c r="AF199" s="1508"/>
      <c r="AG199" s="1508"/>
      <c r="AH199" s="1508"/>
      <c r="AI199" s="1508"/>
      <c r="AJ199" s="1508"/>
      <c r="AK199" s="1508"/>
      <c r="AL199" s="1508"/>
      <c r="AM199" s="1508"/>
      <c r="AN199" s="1508"/>
      <c r="AO199" s="1508"/>
      <c r="AP199" s="1508"/>
      <c r="AQ199" s="1508"/>
      <c r="AR199" s="1508"/>
      <c r="AS199" s="1508"/>
      <c r="AT199" s="1508"/>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 customHeight="1">
      <c r="A200"/>
      <c r="B200"/>
      <c r="C200" s="21"/>
      <c r="D200" s="14" t="s">
        <v>2444</v>
      </c>
      <c r="T200" s="1339" t="s">
        <v>668</v>
      </c>
      <c r="U200" s="1339"/>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2445</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 customHeight="1">
      <c r="D204" s="1452" t="s">
        <v>384</v>
      </c>
      <c r="E204" s="1452"/>
      <c r="F204" s="1452"/>
      <c r="G204" s="1452"/>
      <c r="H204" s="1452"/>
      <c r="I204" s="1452"/>
      <c r="J204" s="1452"/>
      <c r="K204" s="1452"/>
      <c r="L204" s="1452"/>
      <c r="M204" s="1452"/>
      <c r="P204" s="1806">
        <f>M26</f>
        <v>1324941</v>
      </c>
      <c r="Q204" s="1802"/>
      <c r="R204" s="1802"/>
      <c r="S204" s="1802"/>
      <c r="T204" s="1802"/>
      <c r="U204" s="1802"/>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 customHeight="1">
      <c r="C205" s="21"/>
      <c r="D205" s="1817" t="s">
        <v>1246</v>
      </c>
      <c r="E205" s="1452"/>
      <c r="F205" s="1452"/>
      <c r="G205" s="1452"/>
      <c r="H205" s="1452"/>
      <c r="I205" s="1452"/>
      <c r="J205" s="1452"/>
      <c r="K205" s="1452"/>
      <c r="L205" s="1452"/>
      <c r="M205" s="1452"/>
      <c r="P205" s="1802">
        <f>M27</f>
        <v>0</v>
      </c>
      <c r="Q205" s="1802"/>
      <c r="R205" s="1802"/>
      <c r="S205" s="1802"/>
      <c r="T205" s="1802"/>
      <c r="U205" s="1802"/>
      <c r="V205" s="28"/>
      <c r="W205" s="3" t="s">
        <v>1708</v>
      </c>
      <c r="Z205" s="1815" t="s">
        <v>1183</v>
      </c>
      <c r="AA205" s="1815"/>
      <c r="AB205" s="1815"/>
      <c r="AC205" s="1815"/>
      <c r="AD205" s="1815"/>
      <c r="AE205" s="1815"/>
      <c r="AF205" s="1815"/>
      <c r="AG205" s="1815"/>
      <c r="AH205" s="1815"/>
      <c r="AI205" s="1815"/>
      <c r="AJ205" s="1815"/>
      <c r="AK205" s="1815"/>
      <c r="AL205" s="1815"/>
      <c r="AM205" s="1815"/>
      <c r="AN205" s="1815"/>
      <c r="AP205" s="1341"/>
      <c r="AQ205" s="1341"/>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 customHeight="1">
      <c r="C208" s="21"/>
      <c r="D208" s="1512" t="s">
        <v>2650</v>
      </c>
      <c r="E208" s="1512"/>
      <c r="F208" s="1512"/>
      <c r="G208" s="1512"/>
      <c r="H208" s="1512"/>
      <c r="I208" s="1512"/>
      <c r="J208" s="1512"/>
      <c r="K208" s="1512"/>
      <c r="L208" s="1512"/>
      <c r="M208" s="1512"/>
      <c r="BC208" s="3" t="s">
        <v>2160</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12" t="s">
        <v>1831</v>
      </c>
      <c r="E211" s="1512"/>
      <c r="F211" s="1512"/>
      <c r="G211" s="1512"/>
      <c r="H211" s="1512"/>
      <c r="I211" s="1512"/>
      <c r="J211" s="1512"/>
      <c r="K211" s="1512"/>
      <c r="L211" s="1512"/>
      <c r="M211" s="1512"/>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2184</v>
      </c>
      <c r="Q212" s="1339">
        <v>0</v>
      </c>
      <c r="R212" s="1339"/>
      <c r="T212" s="1810">
        <f>IFERROR(Q212/AG449,0)</f>
        <v>0</v>
      </c>
      <c r="U212" s="1811"/>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2403</v>
      </c>
      <c r="BC213" t="s">
        <v>525</v>
      </c>
      <c r="BI213" s="3" t="s">
        <v>2181</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803" t="s">
        <v>590</v>
      </c>
      <c r="E214" s="1803"/>
      <c r="F214" s="1803"/>
      <c r="G214" s="1803"/>
      <c r="H214" s="1803"/>
      <c r="I214" s="1803"/>
      <c r="J214" s="1803"/>
      <c r="K214" s="1803"/>
      <c r="L214" s="1803"/>
      <c r="M214" s="1803"/>
      <c r="N214" s="1803"/>
      <c r="O214" s="1803"/>
      <c r="P214" s="1803"/>
      <c r="Q214" s="1803"/>
      <c r="R214" s="1803"/>
      <c r="S214" s="1803"/>
      <c r="T214" s="1803"/>
      <c r="U214" s="1803"/>
      <c r="V214" s="1803"/>
      <c r="W214" s="1803"/>
      <c r="X214" s="1803"/>
      <c r="Y214" s="1803"/>
      <c r="Z214" s="1803"/>
      <c r="AU214" s="21"/>
      <c r="AV214" s="21"/>
      <c r="AW214" s="21"/>
      <c r="AX214" s="21"/>
      <c r="AY214" s="21"/>
      <c r="BC214" t="s">
        <v>529</v>
      </c>
      <c r="BI214" s="3" t="s">
        <v>2174</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1641</v>
      </c>
      <c r="Z215" s="40"/>
      <c r="AB215" s="1769"/>
      <c r="AC215" s="1769"/>
      <c r="AD215" s="1769"/>
      <c r="AE215" s="1769"/>
      <c r="AF215" s="1769"/>
      <c r="AG215" s="1769"/>
      <c r="AH215" s="1769"/>
      <c r="AI215" s="1769"/>
      <c r="AJ215" s="1769"/>
      <c r="AK215" s="1769"/>
      <c r="AL215" s="1769"/>
      <c r="AM215" s="21"/>
      <c r="AN215" s="21"/>
      <c r="AO215" s="21"/>
      <c r="AP215" s="21"/>
      <c r="AQ215" s="21"/>
      <c r="AR215" s="21"/>
      <c r="AS215" s="21"/>
      <c r="AT215" s="21"/>
      <c r="AU215" s="21"/>
      <c r="AV215" s="21"/>
      <c r="AW215" s="21"/>
      <c r="AX215" s="21"/>
      <c r="AY215" s="21"/>
      <c r="BC215" t="s">
        <v>526</v>
      </c>
      <c r="BI215" s="3" t="s">
        <v>2175</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1639</v>
      </c>
      <c r="Z216" s="40"/>
      <c r="AB216" s="1769"/>
      <c r="AC216" s="1769"/>
      <c r="AD216" s="1769"/>
      <c r="AE216" s="1769"/>
      <c r="AF216" s="1769"/>
      <c r="AG216" s="1769"/>
      <c r="AH216" s="1769"/>
      <c r="AI216" s="1769"/>
      <c r="AJ216" s="1769"/>
      <c r="AK216" s="1769"/>
      <c r="AL216" s="1769"/>
      <c r="AM216" s="21"/>
      <c r="AN216" s="21"/>
      <c r="AO216" s="21"/>
      <c r="AP216" s="21"/>
      <c r="AQ216" s="21"/>
      <c r="AR216" s="21"/>
      <c r="AS216" s="21"/>
      <c r="AT216" s="21"/>
      <c r="AU216" s="21"/>
      <c r="AV216" s="21"/>
      <c r="AW216" s="21"/>
      <c r="AX216" s="21"/>
      <c r="AY216" s="21"/>
      <c r="BC216" t="s">
        <v>565</v>
      </c>
      <c r="BI216" t="s">
        <v>2173</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2177</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 customHeight="1">
      <c r="A218" s="2" t="s">
        <v>591</v>
      </c>
      <c r="C218" s="2" t="s">
        <v>2187</v>
      </c>
      <c r="D218" s="28"/>
      <c r="AC218" s="2" t="s">
        <v>2392</v>
      </c>
      <c r="BC218" t="s">
        <v>528</v>
      </c>
    </row>
    <row r="219" spans="1:108" ht="13" customHeight="1">
      <c r="A219" s="2"/>
      <c r="C219" s="2"/>
      <c r="D219" s="3" t="s">
        <v>2393</v>
      </c>
      <c r="AZ219" s="3"/>
      <c r="BA219" s="3"/>
      <c r="BC219" t="s">
        <v>376</v>
      </c>
    </row>
    <row r="220" spans="1:108" ht="13" customHeight="1">
      <c r="A220" s="2"/>
      <c r="C220" s="2"/>
      <c r="D220" s="1512" t="s">
        <v>874</v>
      </c>
      <c r="E220" s="1512"/>
      <c r="F220" s="1512"/>
      <c r="G220" s="1512"/>
      <c r="H220" s="1512"/>
      <c r="I220" s="1512"/>
      <c r="J220" s="1512"/>
      <c r="K220" s="1512"/>
      <c r="L220" s="1512"/>
      <c r="M220" s="1512"/>
      <c r="N220" s="1512"/>
      <c r="O220" s="1512"/>
      <c r="P220" s="1512"/>
      <c r="Q220" s="1512"/>
      <c r="R220" s="1512"/>
      <c r="S220" s="1512"/>
      <c r="T220" s="1512"/>
      <c r="U220" s="1512"/>
      <c r="V220" s="1512"/>
      <c r="W220" s="1512"/>
      <c r="X220" s="1512"/>
      <c r="Y220" s="1512"/>
      <c r="Z220" s="1512"/>
      <c r="AC220" s="1816" t="s">
        <v>874</v>
      </c>
      <c r="AD220" s="1816"/>
      <c r="AE220" s="1816"/>
      <c r="AF220" s="1816"/>
      <c r="AG220" s="1816"/>
      <c r="AH220" s="1816"/>
      <c r="AI220" s="1816"/>
      <c r="AJ220" s="1816"/>
      <c r="AK220" s="1816"/>
      <c r="AL220" s="1816"/>
      <c r="AM220" s="1816"/>
      <c r="AN220" s="1816"/>
      <c r="AO220" s="1816"/>
      <c r="AP220" s="1816"/>
      <c r="AQ220" s="1816"/>
      <c r="BA220" s="3"/>
      <c r="BC220" t="s">
        <v>299</v>
      </c>
    </row>
    <row r="221" spans="1:108" ht="13" customHeight="1">
      <c r="A221" s="2"/>
      <c r="B221" s="14"/>
      <c r="C221" s="2"/>
      <c r="BA221" s="3"/>
    </row>
    <row r="222" spans="1:108" ht="13" customHeight="1">
      <c r="A222" s="2" t="s">
        <v>2538</v>
      </c>
      <c r="B222" s="14"/>
      <c r="C222" s="2" t="s">
        <v>2539</v>
      </c>
      <c r="BA222" s="3"/>
    </row>
    <row r="223" spans="1:108" ht="13" customHeight="1">
      <c r="A223" s="2"/>
      <c r="B223" s="14"/>
      <c r="C223" s="2"/>
      <c r="D223" s="3" t="s">
        <v>2540</v>
      </c>
      <c r="BA223" s="3"/>
    </row>
    <row r="224" spans="1:108" ht="13" customHeight="1">
      <c r="A224" s="2"/>
      <c r="B224" s="14"/>
      <c r="C224" s="2"/>
      <c r="E224" s="3" t="s">
        <v>2541</v>
      </c>
      <c r="V224" s="1339" t="s">
        <v>668</v>
      </c>
      <c r="W224" s="1339"/>
      <c r="Y224" s="1193"/>
      <c r="BA224" s="3"/>
    </row>
    <row r="225" spans="1:69" ht="13" customHeight="1">
      <c r="A225" s="2"/>
      <c r="B225" s="14"/>
      <c r="C225" s="2"/>
      <c r="E225" s="3" t="s">
        <v>2542</v>
      </c>
      <c r="V225" s="1339" t="s">
        <v>544</v>
      </c>
      <c r="W225" s="13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2543</v>
      </c>
      <c r="V226" s="1376" t="s">
        <v>668</v>
      </c>
      <c r="W226" s="137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2544</v>
      </c>
      <c r="V227" s="1376" t="s">
        <v>668</v>
      </c>
      <c r="W227" s="137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2545</v>
      </c>
      <c r="V228" s="1376" t="s">
        <v>668</v>
      </c>
      <c r="W228" s="137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2546</v>
      </c>
      <c r="V229" s="1376" t="s">
        <v>668</v>
      </c>
      <c r="W229" s="137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16" t="s">
        <v>539</v>
      </c>
      <c r="B231" s="1516"/>
      <c r="C231" s="1516"/>
      <c r="D231" s="1516"/>
      <c r="E231" s="1516"/>
      <c r="F231" s="1516"/>
      <c r="G231" s="1516"/>
      <c r="H231" s="1516"/>
      <c r="I231" s="1516"/>
      <c r="J231" s="1516"/>
      <c r="K231" s="1516"/>
      <c r="L231" s="1516"/>
      <c r="M231" s="1516"/>
      <c r="N231" s="1516"/>
      <c r="O231" s="1516"/>
      <c r="P231" s="1516"/>
      <c r="Q231" s="1516"/>
      <c r="R231" s="1516"/>
      <c r="S231" s="1516"/>
      <c r="T231" s="1516"/>
      <c r="U231" s="1516"/>
      <c r="V231" s="1516"/>
      <c r="W231" s="1516"/>
      <c r="X231" s="1516"/>
      <c r="Y231" s="1516"/>
      <c r="Z231" s="1516"/>
      <c r="AA231" s="1516"/>
      <c r="AB231" s="1516"/>
      <c r="AC231" s="1516"/>
      <c r="AD231" s="1516"/>
      <c r="AE231" s="1516"/>
      <c r="AF231" s="1516"/>
      <c r="AG231" s="1516"/>
      <c r="AH231" s="1516"/>
      <c r="AI231" s="1516"/>
      <c r="AJ231" s="1516"/>
      <c r="AK231" s="1516"/>
      <c r="AL231" s="1516"/>
      <c r="AM231" s="1516"/>
      <c r="AN231" s="1516"/>
      <c r="AO231" s="1516"/>
      <c r="AP231" s="1516"/>
      <c r="AQ231" s="1516"/>
      <c r="AR231" s="1516"/>
      <c r="AS231" s="1516"/>
      <c r="AT231" s="1516"/>
      <c r="AU231" s="95"/>
      <c r="AV231" s="95"/>
      <c r="AW231" s="95"/>
      <c r="AX231" s="95"/>
      <c r="AY231" s="95"/>
      <c r="AZ231" s="3"/>
      <c r="BA231" s="3"/>
      <c r="BP231" s="34"/>
    </row>
    <row r="232" spans="1:69" ht="13" customHeight="1">
      <c r="A232" s="1516"/>
      <c r="B232" s="1516"/>
      <c r="C232" s="1516"/>
      <c r="D232" s="1516"/>
      <c r="E232" s="1516"/>
      <c r="F232" s="1516"/>
      <c r="G232" s="1516"/>
      <c r="H232" s="1516"/>
      <c r="I232" s="1516"/>
      <c r="J232" s="1516"/>
      <c r="K232" s="1516"/>
      <c r="L232" s="1516"/>
      <c r="M232" s="1516"/>
      <c r="N232" s="1516"/>
      <c r="O232" s="1516"/>
      <c r="P232" s="1516"/>
      <c r="Q232" s="1516"/>
      <c r="R232" s="1516"/>
      <c r="S232" s="1516"/>
      <c r="T232" s="1516"/>
      <c r="U232" s="1516"/>
      <c r="V232" s="1516"/>
      <c r="W232" s="1516"/>
      <c r="X232" s="1516"/>
      <c r="Y232" s="1516"/>
      <c r="Z232" s="1516"/>
      <c r="AA232" s="1516"/>
      <c r="AB232" s="1516"/>
      <c r="AC232" s="1516"/>
      <c r="AD232" s="1516"/>
      <c r="AE232" s="1516"/>
      <c r="AF232" s="1516"/>
      <c r="AG232" s="1516"/>
      <c r="AH232" s="1516"/>
      <c r="AI232" s="1516"/>
      <c r="AJ232" s="1516"/>
      <c r="AK232" s="1516"/>
      <c r="AL232" s="1516"/>
      <c r="AM232" s="1516"/>
      <c r="AN232" s="1516"/>
      <c r="AO232" s="1516"/>
      <c r="AP232" s="1516"/>
      <c r="AQ232" s="1516"/>
      <c r="AR232" s="1516"/>
      <c r="AS232" s="1516"/>
      <c r="AT232" s="1516"/>
      <c r="BA232" s="3"/>
      <c r="BB232" s="3"/>
      <c r="BQ232" s="34"/>
    </row>
    <row r="233" spans="1:69" ht="13" customHeight="1">
      <c r="AZ233" s="4"/>
      <c r="BA233" s="3"/>
      <c r="BB233" s="3"/>
      <c r="BQ233" s="34"/>
    </row>
    <row r="234" spans="1:69" ht="13" customHeight="1">
      <c r="A234" s="2" t="s">
        <v>318</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39" t="s">
        <v>590</v>
      </c>
      <c r="AJ235" s="1339"/>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39" t="s">
        <v>544</v>
      </c>
      <c r="AJ236" s="1339"/>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39" t="s">
        <v>544</v>
      </c>
      <c r="AJ237" s="1339"/>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39" t="s">
        <v>590</v>
      </c>
      <c r="AJ238" s="1339"/>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3" customHeight="1">
      <c r="A240" s="2" t="s">
        <v>575</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469</v>
      </c>
      <c r="E241" s="4"/>
      <c r="F241" s="4"/>
      <c r="G241" s="4"/>
      <c r="H241" s="4"/>
      <c r="I241" s="4"/>
      <c r="J241" s="4"/>
      <c r="K241" s="4"/>
      <c r="M241" s="1796" t="str">
        <f>H16</f>
        <v>George McDonald Court LP</v>
      </c>
      <c r="N241" s="1796"/>
      <c r="O241" s="1796"/>
      <c r="P241" s="1796"/>
      <c r="Q241" s="1796"/>
      <c r="R241" s="1796"/>
      <c r="S241" s="1796"/>
      <c r="T241" s="1796"/>
      <c r="U241" s="1796"/>
      <c r="V241" s="1796"/>
      <c r="W241" s="1796"/>
      <c r="X241" s="1796"/>
      <c r="Y241" s="1796"/>
      <c r="Z241" s="1796"/>
      <c r="AA241" s="1796"/>
      <c r="AB241" s="1796"/>
      <c r="AC241" s="1796"/>
      <c r="AD241" s="1796"/>
      <c r="AE241" s="1796"/>
      <c r="AF241" s="1796"/>
      <c r="AG241" s="1796"/>
      <c r="AH241" s="1796"/>
      <c r="AI241" s="1796"/>
      <c r="AJ241" s="1796"/>
      <c r="AK241" s="1796"/>
      <c r="AZ241" s="4"/>
      <c r="BA241" s="3"/>
      <c r="BB241" s="205" t="s">
        <v>537</v>
      </c>
      <c r="BG241" s="241">
        <f>IF(AND(AND($M$258="nonprofit",$M$266="nonprofit",$M$274="for profit")),2,0)</f>
        <v>0</v>
      </c>
    </row>
    <row r="242" spans="1:67" ht="13" customHeight="1">
      <c r="D242" s="4" t="s">
        <v>85</v>
      </c>
      <c r="E242" s="4"/>
      <c r="F242" s="4"/>
      <c r="G242" s="4"/>
      <c r="H242" s="4"/>
      <c r="I242" s="4"/>
      <c r="J242" s="4"/>
      <c r="K242" s="4"/>
      <c r="M242" s="1512" t="s">
        <v>2651</v>
      </c>
      <c r="N242" s="1512"/>
      <c r="O242" s="1512"/>
      <c r="P242" s="1512"/>
      <c r="Q242" s="1512"/>
      <c r="R242" s="1512"/>
      <c r="S242" s="1512"/>
      <c r="T242" s="1512"/>
      <c r="U242" s="1512"/>
      <c r="V242" s="1512"/>
      <c r="W242" s="1512"/>
      <c r="X242" s="1512"/>
      <c r="Y242" s="1512"/>
      <c r="Z242" s="1512"/>
      <c r="AA242" s="1512"/>
      <c r="AB242" s="1512"/>
      <c r="AC242" s="1512"/>
      <c r="AD242" s="1512"/>
      <c r="AE242" s="1512"/>
      <c r="BB242" s="205" t="s">
        <v>537</v>
      </c>
      <c r="BG242" s="241">
        <f>IF(AND(AND($M$258="nonprofit",$M$266="for profit",$M$274="nonprofit")),2,0)</f>
        <v>0</v>
      </c>
    </row>
    <row r="243" spans="1:67" ht="13" customHeight="1">
      <c r="D243" s="4" t="s">
        <v>579</v>
      </c>
      <c r="E243" s="4"/>
      <c r="M243" s="1512" t="s">
        <v>2652</v>
      </c>
      <c r="N243" s="1512"/>
      <c r="O243" s="1512"/>
      <c r="P243" s="1512"/>
      <c r="Q243" s="1512"/>
      <c r="R243" s="1512"/>
      <c r="S243" s="1512"/>
      <c r="T243" s="1512"/>
      <c r="V243" s="33" t="s">
        <v>86</v>
      </c>
      <c r="W243" s="1382" t="s">
        <v>2653</v>
      </c>
      <c r="X243" s="1453"/>
      <c r="Y243" s="4" t="s">
        <v>582</v>
      </c>
      <c r="AC243" s="1512">
        <v>91010</v>
      </c>
      <c r="AD243" s="1512"/>
      <c r="AE243" s="1512"/>
      <c r="AU243" s="4"/>
      <c r="AV243" s="4"/>
      <c r="AW243" s="4"/>
      <c r="AX243" s="4"/>
      <c r="AY243" s="4"/>
      <c r="AZ243" s="4"/>
      <c r="BB243" s="205" t="s">
        <v>537</v>
      </c>
      <c r="BG243" s="240">
        <f>IF(AND(AND($M$258="for profit",$M$266="nonprofit",$M$274="nonprofit")),2,0)</f>
        <v>0</v>
      </c>
    </row>
    <row r="244" spans="1:67" ht="13" customHeight="1">
      <c r="D244" s="4" t="s">
        <v>87</v>
      </c>
      <c r="E244" s="4"/>
      <c r="F244" s="4"/>
      <c r="G244" s="4"/>
      <c r="H244" s="4"/>
      <c r="I244" s="4"/>
      <c r="J244" s="4"/>
      <c r="K244" s="19"/>
      <c r="M244" s="1512" t="s">
        <v>2654</v>
      </c>
      <c r="N244" s="1512"/>
      <c r="O244" s="1512"/>
      <c r="P244" s="1512"/>
      <c r="Q244" s="1512"/>
      <c r="R244" s="1512"/>
      <c r="S244" s="1512"/>
      <c r="T244" s="1512"/>
      <c r="U244" s="1512"/>
      <c r="V244" s="1512"/>
      <c r="W244" s="1512"/>
      <c r="X244" s="1512"/>
      <c r="Y244" s="1512"/>
      <c r="Z244" s="1512"/>
      <c r="AA244" s="1512"/>
      <c r="AB244" s="1512"/>
      <c r="AC244" s="1512"/>
      <c r="AD244" s="1512"/>
      <c r="AE244" s="1512"/>
      <c r="AI244" s="4"/>
      <c r="AJ244" s="4"/>
      <c r="AK244" s="4"/>
      <c r="AL244" s="4"/>
      <c r="AM244" s="4"/>
      <c r="AN244" s="4"/>
      <c r="AO244" s="4"/>
      <c r="AP244" s="4"/>
      <c r="AQ244" s="4"/>
      <c r="AR244" s="4"/>
      <c r="AS244" s="4"/>
      <c r="AT244" s="4"/>
      <c r="BB244" s="205"/>
      <c r="BG244" s="204"/>
    </row>
    <row r="245" spans="1:67" ht="13" customHeight="1">
      <c r="D245" s="4" t="s">
        <v>88</v>
      </c>
      <c r="E245" s="4"/>
      <c r="F245" s="4"/>
      <c r="M245" s="1441">
        <v>8182597568</v>
      </c>
      <c r="N245" s="1441"/>
      <c r="O245" s="1441"/>
      <c r="P245" s="1441"/>
      <c r="Q245" s="1441"/>
      <c r="R245" s="1441"/>
      <c r="S245" s="4" t="s">
        <v>205</v>
      </c>
      <c r="T245" s="4"/>
      <c r="U245" s="1453"/>
      <c r="V245" s="1453"/>
      <c r="W245" s="1453"/>
      <c r="X245" s="4" t="s">
        <v>89</v>
      </c>
      <c r="Z245" s="1441"/>
      <c r="AA245" s="1441"/>
      <c r="AB245" s="1441"/>
      <c r="AC245" s="1441"/>
      <c r="AD245" s="1441"/>
      <c r="AE245" s="1441"/>
      <c r="AU245" s="4"/>
      <c r="AV245" s="4"/>
      <c r="AW245" s="4"/>
      <c r="AX245" s="4"/>
      <c r="AY245" s="4"/>
      <c r="AZ245" s="4"/>
      <c r="BB245" s="204" t="s">
        <v>536</v>
      </c>
      <c r="BG245" s="241">
        <f>IF(AND(AND($M$258="nonprofit",$M$266="nonprofit",$M$274="(select one)")),1,0)</f>
        <v>0</v>
      </c>
    </row>
    <row r="246" spans="1:67" ht="13" customHeight="1">
      <c r="D246" s="4" t="s">
        <v>90</v>
      </c>
      <c r="E246" s="4"/>
      <c r="F246" s="4"/>
      <c r="M246" s="1789" t="s">
        <v>2655</v>
      </c>
      <c r="N246" s="1789"/>
      <c r="O246" s="1789"/>
      <c r="P246" s="1789"/>
      <c r="Q246" s="1789"/>
      <c r="R246" s="1789"/>
      <c r="S246" s="1789"/>
      <c r="T246" s="1789"/>
      <c r="U246" s="1789"/>
      <c r="V246" s="1789"/>
      <c r="W246" s="1789"/>
      <c r="X246" s="1789"/>
      <c r="Y246" s="1789"/>
      <c r="Z246" s="1789"/>
      <c r="AA246" s="1789"/>
      <c r="AB246" s="1789"/>
      <c r="AC246" s="1789"/>
      <c r="AD246" s="1789"/>
      <c r="AE246" s="1789"/>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 customHeight="1">
      <c r="A247" s="2" t="s">
        <v>585</v>
      </c>
      <c r="C247" s="2" t="s">
        <v>524</v>
      </c>
      <c r="M247" s="1457" t="s">
        <v>527</v>
      </c>
      <c r="N247" s="1457"/>
      <c r="O247" s="1457"/>
      <c r="P247" s="1457"/>
      <c r="Q247" s="1457"/>
      <c r="R247" s="1457"/>
      <c r="S247" s="1457"/>
      <c r="T247" s="1457"/>
      <c r="U247" s="204" t="s">
        <v>905</v>
      </c>
      <c r="V247" s="204"/>
      <c r="W247" s="204"/>
      <c r="X247" s="204"/>
      <c r="Y247" s="204"/>
      <c r="Z247" s="204"/>
      <c r="AA247" s="1785" t="s">
        <v>2656</v>
      </c>
      <c r="AB247" s="1785"/>
      <c r="AC247" s="1785"/>
      <c r="AD247" s="1785"/>
      <c r="AE247" s="1785"/>
      <c r="AF247" s="1785"/>
      <c r="AG247" s="1785"/>
      <c r="AH247" s="1785"/>
      <c r="AI247" s="1785"/>
      <c r="AJ247" s="1785"/>
      <c r="AK247" s="1785"/>
      <c r="AL247" s="3"/>
      <c r="AM247" s="3"/>
      <c r="AN247" s="3"/>
      <c r="AO247" s="3"/>
      <c r="AP247" s="3"/>
      <c r="AQ247" s="3"/>
      <c r="AR247" s="3"/>
      <c r="AS247" s="3"/>
      <c r="AT247" s="3"/>
      <c r="AU247" s="3"/>
      <c r="AV247" s="3"/>
      <c r="AW247" s="3"/>
      <c r="AX247" s="3"/>
      <c r="AY247" s="3"/>
      <c r="BB247" s="204" t="s">
        <v>536</v>
      </c>
      <c r="BG247" s="241">
        <f>IF(AND(AND($M$258="nonprofit",$M$266="(select one)",$M$274="(select one)")),1,0)</f>
        <v>1</v>
      </c>
    </row>
    <row r="248" spans="1:67" ht="13" customHeight="1">
      <c r="D248" t="s">
        <v>530</v>
      </c>
      <c r="M248" s="1442"/>
      <c r="N248" s="1442"/>
      <c r="O248" s="1442"/>
      <c r="P248" s="1442"/>
      <c r="Q248" s="1442"/>
      <c r="R248" s="1442"/>
      <c r="S248" s="1442"/>
      <c r="T248" s="1442"/>
      <c r="U248" s="1442"/>
      <c r="V248" s="1442"/>
      <c r="W248" s="1442"/>
      <c r="X248" s="1442"/>
      <c r="Y248" s="1442"/>
      <c r="Z248" s="1442"/>
      <c r="AA248" s="1442"/>
      <c r="AB248" s="1442"/>
      <c r="AC248" s="1442"/>
      <c r="AD248" s="1442"/>
      <c r="AE248" s="1442"/>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3" customHeight="1">
      <c r="D249" s="4"/>
      <c r="BB249" s="204" t="s">
        <v>876</v>
      </c>
      <c r="BG249" s="241">
        <f>IF(AND(AND($M$258="for profit",$M$266="for profit",$M$274="for profit")),3,0)</f>
        <v>0</v>
      </c>
    </row>
    <row r="250" spans="1:67" ht="13"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472</v>
      </c>
      <c r="D252" s="4" t="s">
        <v>531</v>
      </c>
      <c r="E252" s="4"/>
      <c r="F252" s="4"/>
      <c r="G252" s="4"/>
      <c r="H252" s="4"/>
      <c r="I252" s="4"/>
      <c r="J252" s="4"/>
      <c r="K252" s="4"/>
      <c r="L252" s="4"/>
      <c r="M252" s="1514" t="s">
        <v>2657</v>
      </c>
      <c r="N252" s="1515"/>
      <c r="O252" s="1515"/>
      <c r="P252" s="1515"/>
      <c r="Q252" s="1515"/>
      <c r="R252" s="1515"/>
      <c r="S252" s="1515"/>
      <c r="T252" s="1515"/>
      <c r="U252" s="1515"/>
      <c r="V252" s="1515"/>
      <c r="W252" s="1515"/>
      <c r="X252" s="1515"/>
      <c r="Y252" s="1515"/>
      <c r="Z252" s="1515"/>
      <c r="AA252" s="1515"/>
      <c r="AB252" s="1515"/>
      <c r="AC252" s="1515"/>
      <c r="AD252" s="1515"/>
      <c r="AE252" s="1515"/>
      <c r="AF252" s="1515" t="s">
        <v>2658</v>
      </c>
      <c r="AG252" s="1515"/>
      <c r="AH252" s="1515"/>
      <c r="AI252" s="1515"/>
      <c r="AJ252" s="1515"/>
      <c r="AK252" s="1515"/>
      <c r="AU252" s="4"/>
      <c r="AV252" s="4"/>
      <c r="AW252" s="4"/>
      <c r="AX252" s="4"/>
      <c r="AY252" s="4"/>
      <c r="BG252">
        <f>SUM(BG235:BG250)</f>
        <v>1</v>
      </c>
    </row>
    <row r="253" spans="1:67" ht="13" customHeight="1">
      <c r="A253" s="19"/>
      <c r="B253" s="4"/>
      <c r="C253" s="4"/>
      <c r="D253" s="4" t="s">
        <v>85</v>
      </c>
      <c r="E253" s="4"/>
      <c r="F253" s="4"/>
      <c r="G253" s="4"/>
      <c r="H253" s="4"/>
      <c r="I253" s="4"/>
      <c r="J253" s="4"/>
      <c r="K253" s="4"/>
      <c r="L253" s="4"/>
      <c r="M253" s="1512" t="s">
        <v>2651</v>
      </c>
      <c r="N253" s="1512"/>
      <c r="O253" s="1512"/>
      <c r="P253" s="1512"/>
      <c r="Q253" s="1512"/>
      <c r="R253" s="1512"/>
      <c r="S253" s="1512"/>
      <c r="T253" s="1512"/>
      <c r="U253" s="1512"/>
      <c r="V253" s="1512"/>
      <c r="W253" s="1512"/>
      <c r="X253" s="1512"/>
      <c r="Y253" s="1512"/>
      <c r="Z253" s="1512"/>
      <c r="AA253" s="1512"/>
      <c r="AB253" s="1512"/>
      <c r="AC253" s="1512"/>
      <c r="AD253" s="1512"/>
      <c r="AE253" s="1512"/>
      <c r="AF253" s="3" t="s">
        <v>1178</v>
      </c>
      <c r="AL253" s="4"/>
      <c r="AM253" s="4"/>
      <c r="AN253" s="4"/>
      <c r="AO253" s="4"/>
      <c r="AP253" s="4"/>
      <c r="AQ253" s="4"/>
      <c r="AR253" s="4"/>
      <c r="AS253" s="4"/>
      <c r="AT253" s="4"/>
      <c r="BB253" t="s">
        <v>306</v>
      </c>
      <c r="BG253">
        <v>1</v>
      </c>
      <c r="BH253" t="s">
        <v>533</v>
      </c>
    </row>
    <row r="254" spans="1:67" ht="13" customHeight="1">
      <c r="A254" s="19"/>
      <c r="B254" s="4"/>
      <c r="C254" s="4"/>
      <c r="D254" s="4" t="s">
        <v>579</v>
      </c>
      <c r="E254" s="4"/>
      <c r="M254" s="1512" t="s">
        <v>2652</v>
      </c>
      <c r="N254" s="1512"/>
      <c r="O254" s="1512"/>
      <c r="P254" s="1512"/>
      <c r="Q254" s="1512"/>
      <c r="R254" s="1512"/>
      <c r="S254" s="1512"/>
      <c r="T254" s="1512"/>
      <c r="V254" s="33" t="s">
        <v>86</v>
      </c>
      <c r="W254" s="1382" t="s">
        <v>2653</v>
      </c>
      <c r="X254" s="1453"/>
      <c r="Y254" s="4" t="s">
        <v>582</v>
      </c>
      <c r="AC254" s="1512">
        <v>91010</v>
      </c>
      <c r="AD254" s="1512"/>
      <c r="AE254" s="1512"/>
      <c r="AF254" s="3" t="s">
        <v>1179</v>
      </c>
      <c r="AU254" s="4"/>
      <c r="AV254" s="4"/>
      <c r="AW254" s="4"/>
      <c r="AX254" s="4"/>
      <c r="AY254" s="4"/>
      <c r="BB254" s="4" t="s">
        <v>279</v>
      </c>
      <c r="BG254">
        <v>2</v>
      </c>
      <c r="BH254" t="s">
        <v>565</v>
      </c>
      <c r="BO254" s="239" t="str">
        <f>VLOOKUP(BG252,BG253:BH256,2,FALSE)</f>
        <v>Nonprofit</v>
      </c>
    </row>
    <row r="255" spans="1:67" ht="13" customHeight="1">
      <c r="A255" s="19"/>
      <c r="B255" s="4"/>
      <c r="C255" s="4"/>
      <c r="D255" s="4" t="s">
        <v>87</v>
      </c>
      <c r="E255" s="4"/>
      <c r="F255" s="4"/>
      <c r="G255" s="4"/>
      <c r="H255" s="4"/>
      <c r="I255" s="4"/>
      <c r="J255" s="4"/>
      <c r="K255" s="4"/>
      <c r="L255" s="19"/>
      <c r="M255" s="1512" t="s">
        <v>2659</v>
      </c>
      <c r="N255" s="1512"/>
      <c r="O255" s="1512"/>
      <c r="P255" s="1512"/>
      <c r="Q255" s="1512"/>
      <c r="R255" s="1512"/>
      <c r="S255" s="1512"/>
      <c r="T255" s="1512"/>
      <c r="U255" s="1512"/>
      <c r="V255" s="1512"/>
      <c r="W255" s="1512"/>
      <c r="X255" s="1512"/>
      <c r="Y255" s="1512"/>
      <c r="Z255" s="1512"/>
      <c r="AA255" s="1512"/>
      <c r="AB255" s="1512"/>
      <c r="AC255" s="1512"/>
      <c r="AD255" s="1512"/>
      <c r="AE255" s="1512"/>
      <c r="AH255" s="1787">
        <v>100</v>
      </c>
      <c r="AI255" s="1787"/>
      <c r="AJ255" s="1787"/>
      <c r="AK255" s="1787"/>
      <c r="AL255" s="4"/>
      <c r="AM255" s="4"/>
      <c r="AN255" s="4"/>
      <c r="AO255" s="4"/>
      <c r="AP255" s="4"/>
      <c r="AQ255" s="4"/>
      <c r="AR255" s="4"/>
      <c r="AS255" s="4"/>
      <c r="AT255" s="4"/>
      <c r="BB255" s="4" t="s">
        <v>172</v>
      </c>
      <c r="BG255">
        <v>3</v>
      </c>
      <c r="BH255" t="s">
        <v>535</v>
      </c>
      <c r="BN255" s="34"/>
    </row>
    <row r="256" spans="1:67" ht="13" customHeight="1">
      <c r="A256" s="19"/>
      <c r="B256" s="4"/>
      <c r="C256" s="4"/>
      <c r="D256" s="4" t="s">
        <v>88</v>
      </c>
      <c r="E256" s="4"/>
      <c r="F256" s="4"/>
      <c r="M256" s="1441">
        <v>9259247102</v>
      </c>
      <c r="N256" s="1441"/>
      <c r="O256" s="1441"/>
      <c r="P256" s="1441"/>
      <c r="Q256" s="1441"/>
      <c r="R256" s="1441"/>
      <c r="S256" s="4" t="s">
        <v>205</v>
      </c>
      <c r="T256" s="4"/>
      <c r="U256" s="1453"/>
      <c r="V256" s="1453"/>
      <c r="W256" s="1453"/>
      <c r="X256" s="4" t="s">
        <v>89</v>
      </c>
      <c r="Z256" s="1441"/>
      <c r="AA256" s="1441"/>
      <c r="AB256" s="1441"/>
      <c r="AC256" s="1441"/>
      <c r="AD256" s="1441"/>
      <c r="AE256" s="1441"/>
      <c r="AU256" s="4"/>
      <c r="AV256" s="4"/>
      <c r="AW256" s="4"/>
      <c r="AX256" s="4"/>
      <c r="AY256" s="4"/>
      <c r="BG256">
        <v>0</v>
      </c>
      <c r="BH256" s="3" t="str">
        <f>""</f>
        <v/>
      </c>
      <c r="BN256" s="34"/>
    </row>
    <row r="257" spans="1:66" ht="13" customHeight="1">
      <c r="A257" s="19"/>
      <c r="B257" s="4"/>
      <c r="C257" s="4"/>
      <c r="D257" s="4" t="s">
        <v>90</v>
      </c>
      <c r="E257" s="4"/>
      <c r="F257" s="4"/>
      <c r="M257" s="1789" t="s">
        <v>2660</v>
      </c>
      <c r="N257" s="1789"/>
      <c r="O257" s="1789"/>
      <c r="P257" s="1789"/>
      <c r="Q257" s="1789"/>
      <c r="R257" s="1789"/>
      <c r="S257" s="1789"/>
      <c r="T257" s="1789"/>
      <c r="U257" s="1789"/>
      <c r="V257" s="1789"/>
      <c r="W257" s="1789"/>
      <c r="X257" s="1789"/>
      <c r="Y257" s="1789"/>
      <c r="Z257" s="1789"/>
      <c r="AA257" s="1789"/>
      <c r="AB257" s="1789"/>
      <c r="AC257" s="1789"/>
      <c r="AD257" s="1789"/>
      <c r="AE257" s="1789"/>
      <c r="AG257" s="4"/>
      <c r="AH257" s="4"/>
      <c r="AI257" s="4"/>
      <c r="AJ257" s="4"/>
      <c r="AK257" s="4"/>
      <c r="AL257" s="4"/>
      <c r="AM257" s="4"/>
      <c r="AN257" s="4"/>
      <c r="AO257" s="4"/>
      <c r="AP257" s="4"/>
      <c r="AQ257" s="4"/>
      <c r="AR257" s="4"/>
      <c r="AS257" s="4"/>
      <c r="AT257" s="4"/>
      <c r="BN257" s="34"/>
    </row>
    <row r="258" spans="1:66" ht="13" customHeight="1">
      <c r="A258" s="13"/>
      <c r="B258" s="4"/>
      <c r="C258" s="56"/>
      <c r="D258" s="4" t="s">
        <v>534</v>
      </c>
      <c r="E258" s="4"/>
      <c r="F258" s="4"/>
      <c r="G258" s="4"/>
      <c r="H258" s="4"/>
      <c r="I258" s="4"/>
      <c r="J258" s="4"/>
      <c r="K258" s="4"/>
      <c r="L258" s="4"/>
      <c r="M258" s="1457" t="s">
        <v>533</v>
      </c>
      <c r="N258" s="1457"/>
      <c r="O258" s="1457"/>
      <c r="P258" s="1457"/>
      <c r="Q258" s="1457"/>
      <c r="R258" s="1457"/>
      <c r="S258" s="1457"/>
      <c r="T258" s="1457"/>
      <c r="U258" s="204" t="s">
        <v>905</v>
      </c>
      <c r="V258" s="204"/>
      <c r="W258" s="204"/>
      <c r="X258" s="204"/>
      <c r="Y258" s="204"/>
      <c r="Z258" s="204"/>
      <c r="AA258" s="1785" t="s">
        <v>2656</v>
      </c>
      <c r="AB258" s="1785"/>
      <c r="AC258" s="1785"/>
      <c r="AD258" s="1785"/>
      <c r="AE258" s="1785"/>
      <c r="AF258" s="1785"/>
      <c r="AG258" s="1785"/>
      <c r="AH258" s="1785"/>
      <c r="AI258" s="1785"/>
      <c r="AJ258" s="1785"/>
      <c r="AK258" s="1785"/>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954</v>
      </c>
      <c r="E260" s="4"/>
      <c r="F260" s="4"/>
      <c r="G260" s="4"/>
      <c r="H260" s="4"/>
      <c r="I260" s="4"/>
      <c r="J260" s="4"/>
      <c r="K260" s="4"/>
      <c r="L260" s="4"/>
      <c r="M260" s="1515"/>
      <c r="N260" s="1515"/>
      <c r="O260" s="1515"/>
      <c r="P260" s="1515"/>
      <c r="Q260" s="1515"/>
      <c r="R260" s="1515"/>
      <c r="S260" s="1515"/>
      <c r="T260" s="1515"/>
      <c r="U260" s="1515"/>
      <c r="V260" s="1515"/>
      <c r="W260" s="1515"/>
      <c r="X260" s="1515"/>
      <c r="Y260" s="1515"/>
      <c r="Z260" s="1515"/>
      <c r="AA260" s="1515"/>
      <c r="AB260" s="1515"/>
      <c r="AC260" s="1515"/>
      <c r="AD260" s="1515"/>
      <c r="AE260" s="1515"/>
      <c r="AF260" s="1515" t="s">
        <v>306</v>
      </c>
      <c r="AG260" s="1515"/>
      <c r="AH260" s="1515"/>
      <c r="AI260" s="1515"/>
      <c r="AJ260" s="1515"/>
      <c r="AK260" s="1515"/>
      <c r="AU260" s="4"/>
      <c r="AV260" s="4"/>
      <c r="AW260" s="4"/>
      <c r="AX260" s="4"/>
      <c r="AY260" s="4"/>
      <c r="BN260" s="34"/>
    </row>
    <row r="261" spans="1:66" ht="13" customHeight="1">
      <c r="A261" s="19"/>
      <c r="B261" s="4"/>
      <c r="C261" s="4"/>
      <c r="D261" s="4" t="s">
        <v>85</v>
      </c>
      <c r="E261" s="4"/>
      <c r="F261" s="4"/>
      <c r="G261" s="4"/>
      <c r="H261" s="4"/>
      <c r="I261" s="4"/>
      <c r="J261" s="4"/>
      <c r="K261" s="4"/>
      <c r="L261" s="4"/>
      <c r="M261" s="1512"/>
      <c r="N261" s="1512"/>
      <c r="O261" s="1512"/>
      <c r="P261" s="1512"/>
      <c r="Q261" s="1512"/>
      <c r="R261" s="1512"/>
      <c r="S261" s="1512"/>
      <c r="T261" s="1512"/>
      <c r="U261" s="1512"/>
      <c r="V261" s="1512"/>
      <c r="W261" s="1512"/>
      <c r="X261" s="1512"/>
      <c r="Y261" s="1512"/>
      <c r="Z261" s="1512"/>
      <c r="AA261" s="1512"/>
      <c r="AB261" s="1512"/>
      <c r="AC261" s="1512"/>
      <c r="AD261" s="1512"/>
      <c r="AE261" s="1512"/>
      <c r="AF261" s="3" t="s">
        <v>1178</v>
      </c>
      <c r="AL261" s="4"/>
      <c r="AM261" s="4"/>
      <c r="AN261" s="4"/>
      <c r="AO261" s="4"/>
      <c r="AP261" s="4"/>
      <c r="AQ261" s="4"/>
      <c r="AR261" s="4"/>
      <c r="AS261" s="4"/>
      <c r="AT261" s="4"/>
      <c r="BN261" s="34"/>
    </row>
    <row r="262" spans="1:66" ht="13" customHeight="1">
      <c r="A262" s="19"/>
      <c r="B262" s="4"/>
      <c r="C262" s="4"/>
      <c r="D262" s="4" t="s">
        <v>579</v>
      </c>
      <c r="E262" s="4"/>
      <c r="M262" s="1512"/>
      <c r="N262" s="1512"/>
      <c r="O262" s="1512"/>
      <c r="P262" s="1512"/>
      <c r="Q262" s="1512"/>
      <c r="R262" s="1512"/>
      <c r="S262" s="1512"/>
      <c r="T262" s="1512"/>
      <c r="V262" s="33" t="s">
        <v>86</v>
      </c>
      <c r="W262" s="1453"/>
      <c r="X262" s="1453"/>
      <c r="Y262" s="4" t="s">
        <v>582</v>
      </c>
      <c r="AC262" s="1512"/>
      <c r="AD262" s="1512"/>
      <c r="AE262" s="1512"/>
      <c r="AF262" s="3" t="s">
        <v>1179</v>
      </c>
      <c r="AU262" s="4"/>
      <c r="AV262" s="4"/>
      <c r="AW262" s="4"/>
      <c r="AX262" s="4"/>
      <c r="AY262" s="4"/>
      <c r="BN262" s="34"/>
    </row>
    <row r="263" spans="1:66" ht="13" customHeight="1">
      <c r="A263" s="19"/>
      <c r="B263" s="4"/>
      <c r="C263" s="4"/>
      <c r="D263" s="4" t="s">
        <v>87</v>
      </c>
      <c r="E263" s="4"/>
      <c r="F263" s="4"/>
      <c r="G263" s="4"/>
      <c r="H263" s="4"/>
      <c r="I263" s="4"/>
      <c r="J263" s="4"/>
      <c r="K263" s="4"/>
      <c r="L263" s="19"/>
      <c r="M263" s="1512"/>
      <c r="N263" s="1512"/>
      <c r="O263" s="1512"/>
      <c r="P263" s="1512"/>
      <c r="Q263" s="1512"/>
      <c r="R263" s="1512"/>
      <c r="S263" s="1512"/>
      <c r="T263" s="1512"/>
      <c r="U263" s="1512"/>
      <c r="V263" s="1512"/>
      <c r="W263" s="1512"/>
      <c r="X263" s="1512"/>
      <c r="Y263" s="1512"/>
      <c r="Z263" s="1512"/>
      <c r="AA263" s="1512"/>
      <c r="AB263" s="1512"/>
      <c r="AC263" s="1512"/>
      <c r="AD263" s="1512"/>
      <c r="AE263" s="1512"/>
      <c r="AH263" s="1787"/>
      <c r="AI263" s="1787"/>
      <c r="AJ263" s="1787"/>
      <c r="AK263" s="1787"/>
      <c r="AL263" s="4"/>
      <c r="AM263" s="4"/>
      <c r="AN263" s="4"/>
      <c r="AO263" s="4"/>
      <c r="AP263" s="4"/>
      <c r="AQ263" s="4"/>
      <c r="AR263" s="4"/>
      <c r="AS263" s="4"/>
      <c r="AT263" s="4"/>
    </row>
    <row r="264" spans="1:66" ht="13" customHeight="1">
      <c r="A264" s="19"/>
      <c r="B264" s="4"/>
      <c r="C264" s="4"/>
      <c r="D264" s="4" t="s">
        <v>88</v>
      </c>
      <c r="E264" s="4"/>
      <c r="F264" s="4"/>
      <c r="M264" s="1441"/>
      <c r="N264" s="1441"/>
      <c r="O264" s="1441"/>
      <c r="P264" s="1441"/>
      <c r="Q264" s="1441"/>
      <c r="R264" s="1441"/>
      <c r="S264" s="4" t="s">
        <v>205</v>
      </c>
      <c r="T264" s="4"/>
      <c r="U264" s="1453"/>
      <c r="V264" s="1453"/>
      <c r="W264" s="1453"/>
      <c r="X264" s="4" t="s">
        <v>89</v>
      </c>
      <c r="Z264" s="1441"/>
      <c r="AA264" s="1441"/>
      <c r="AB264" s="1441"/>
      <c r="AC264" s="1441"/>
      <c r="AD264" s="1441"/>
      <c r="AE264" s="1441"/>
      <c r="AU264" s="4"/>
      <c r="AV264" s="4"/>
      <c r="AW264" s="4"/>
      <c r="AX264" s="4"/>
      <c r="AY264" s="4"/>
      <c r="BN264" s="34"/>
    </row>
    <row r="265" spans="1:66" ht="13" customHeight="1">
      <c r="A265" s="19"/>
      <c r="B265" s="4"/>
      <c r="C265" s="4"/>
      <c r="D265" s="4" t="s">
        <v>90</v>
      </c>
      <c r="E265" s="4"/>
      <c r="F265" s="4"/>
      <c r="M265" s="1789"/>
      <c r="N265" s="1789"/>
      <c r="O265" s="1789"/>
      <c r="P265" s="1789"/>
      <c r="Q265" s="1789"/>
      <c r="R265" s="1789"/>
      <c r="S265" s="1789"/>
      <c r="T265" s="1789"/>
      <c r="U265" s="1789"/>
      <c r="V265" s="1789"/>
      <c r="W265" s="1789"/>
      <c r="X265" s="1789"/>
      <c r="Y265" s="1789"/>
      <c r="Z265" s="1789"/>
      <c r="AA265" s="1789"/>
      <c r="AB265" s="1789"/>
      <c r="AC265" s="1789"/>
      <c r="AD265" s="1789"/>
      <c r="AE265" s="1789"/>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534</v>
      </c>
      <c r="E266" s="4"/>
      <c r="F266" s="4"/>
      <c r="G266" s="4"/>
      <c r="H266" s="4"/>
      <c r="I266" s="4"/>
      <c r="J266" s="4"/>
      <c r="K266" s="4"/>
      <c r="L266" s="4"/>
      <c r="M266" s="1457" t="s">
        <v>306</v>
      </c>
      <c r="N266" s="1457"/>
      <c r="O266" s="1457"/>
      <c r="P266" s="1457"/>
      <c r="Q266" s="1457"/>
      <c r="R266" s="1457"/>
      <c r="S266" s="1457"/>
      <c r="T266" s="1457"/>
      <c r="U266" s="204" t="s">
        <v>905</v>
      </c>
      <c r="V266" s="204"/>
      <c r="W266" s="204"/>
      <c r="X266" s="204"/>
      <c r="Y266" s="204"/>
      <c r="Z266" s="204"/>
      <c r="AA266" s="1785"/>
      <c r="AB266" s="1785"/>
      <c r="AC266" s="1785"/>
      <c r="AD266" s="1785"/>
      <c r="AE266" s="1785"/>
      <c r="AF266" s="1785"/>
      <c r="AG266" s="1785"/>
      <c r="AH266" s="1785"/>
      <c r="AI266" s="1785"/>
      <c r="AJ266" s="1785"/>
      <c r="AK266" s="1785"/>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875</v>
      </c>
      <c r="D268" s="4" t="s">
        <v>531</v>
      </c>
      <c r="E268" s="4"/>
      <c r="F268" s="4"/>
      <c r="G268" s="4"/>
      <c r="H268" s="4"/>
      <c r="I268" s="4"/>
      <c r="J268" s="4"/>
      <c r="K268" s="4"/>
      <c r="L268" s="4"/>
      <c r="M268" s="1515"/>
      <c r="N268" s="1515"/>
      <c r="O268" s="1515"/>
      <c r="P268" s="1515"/>
      <c r="Q268" s="1515"/>
      <c r="R268" s="1515"/>
      <c r="S268" s="1515"/>
      <c r="T268" s="1515"/>
      <c r="U268" s="1515"/>
      <c r="V268" s="1515"/>
      <c r="W268" s="1515"/>
      <c r="X268" s="1515"/>
      <c r="Y268" s="1515"/>
      <c r="Z268" s="1515"/>
      <c r="AA268" s="1515"/>
      <c r="AB268" s="1515"/>
      <c r="AC268" s="1515"/>
      <c r="AD268" s="1515"/>
      <c r="AE268" s="1515"/>
      <c r="AF268" s="1515" t="s">
        <v>306</v>
      </c>
      <c r="AG268" s="1515"/>
      <c r="AH268" s="1515"/>
      <c r="AI268" s="1515"/>
      <c r="AJ268" s="1515"/>
      <c r="AK268" s="1515"/>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12"/>
      <c r="N269" s="1512"/>
      <c r="O269" s="1512"/>
      <c r="P269" s="1512"/>
      <c r="Q269" s="1512"/>
      <c r="R269" s="1512"/>
      <c r="S269" s="1512"/>
      <c r="T269" s="1512"/>
      <c r="U269" s="1512"/>
      <c r="V269" s="1512"/>
      <c r="W269" s="1512"/>
      <c r="X269" s="1512"/>
      <c r="Y269" s="1512"/>
      <c r="Z269" s="1512"/>
      <c r="AA269" s="1512"/>
      <c r="AB269" s="1512"/>
      <c r="AC269" s="1512"/>
      <c r="AD269" s="1512"/>
      <c r="AE269" s="1512"/>
      <c r="AF269" s="3" t="s">
        <v>1178</v>
      </c>
      <c r="AL269" s="3"/>
      <c r="AM269" s="3"/>
      <c r="AN269" s="3"/>
      <c r="AO269" s="3"/>
      <c r="AP269" s="3"/>
      <c r="AQ269" s="3"/>
      <c r="AR269" s="3"/>
      <c r="AS269" s="3"/>
      <c r="AT269" s="3"/>
      <c r="AU269" s="3"/>
      <c r="AV269" s="3"/>
      <c r="AW269" s="3"/>
      <c r="AX269" s="3"/>
      <c r="AY269" s="3"/>
    </row>
    <row r="270" spans="1:66" ht="13" customHeight="1">
      <c r="A270" s="13"/>
      <c r="B270" s="4"/>
      <c r="C270" s="4"/>
      <c r="D270" s="4" t="s">
        <v>579</v>
      </c>
      <c r="E270" s="4"/>
      <c r="M270" s="1512"/>
      <c r="N270" s="1512"/>
      <c r="O270" s="1512"/>
      <c r="P270" s="1512"/>
      <c r="Q270" s="1512"/>
      <c r="R270" s="1512"/>
      <c r="S270" s="1512"/>
      <c r="T270" s="1512"/>
      <c r="V270" s="33" t="s">
        <v>86</v>
      </c>
      <c r="W270" s="1453"/>
      <c r="X270" s="1453"/>
      <c r="Y270" s="4" t="s">
        <v>582</v>
      </c>
      <c r="AC270" s="1512"/>
      <c r="AD270" s="1512"/>
      <c r="AE270" s="1512"/>
      <c r="AF270" s="3" t="s">
        <v>1179</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12"/>
      <c r="N271" s="1512"/>
      <c r="O271" s="1512"/>
      <c r="P271" s="1512"/>
      <c r="Q271" s="1512"/>
      <c r="R271" s="1512"/>
      <c r="S271" s="1512"/>
      <c r="T271" s="1512"/>
      <c r="U271" s="1512"/>
      <c r="V271" s="1512"/>
      <c r="W271" s="1512"/>
      <c r="X271" s="1512"/>
      <c r="Y271" s="1512"/>
      <c r="Z271" s="1512"/>
      <c r="AA271" s="1512"/>
      <c r="AB271" s="1512"/>
      <c r="AC271" s="1512"/>
      <c r="AD271" s="1512"/>
      <c r="AE271" s="1512"/>
      <c r="AH271" s="1787"/>
      <c r="AI271" s="1787"/>
      <c r="AJ271" s="1787"/>
      <c r="AK271" s="1787"/>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441"/>
      <c r="N272" s="1441"/>
      <c r="O272" s="1441"/>
      <c r="P272" s="1441"/>
      <c r="Q272" s="1441"/>
      <c r="R272" s="1441"/>
      <c r="S272" s="4" t="s">
        <v>205</v>
      </c>
      <c r="T272" s="4"/>
      <c r="U272" s="1453"/>
      <c r="V272" s="1453"/>
      <c r="W272" s="1453"/>
      <c r="X272" s="4" t="s">
        <v>89</v>
      </c>
      <c r="Z272" s="1441"/>
      <c r="AA272" s="1441"/>
      <c r="AB272" s="1441"/>
      <c r="AC272" s="1441"/>
      <c r="AD272" s="1441"/>
      <c r="AE272" s="1441"/>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789"/>
      <c r="N273" s="1789"/>
      <c r="O273" s="1789"/>
      <c r="P273" s="1789"/>
      <c r="Q273" s="1789"/>
      <c r="R273" s="1789"/>
      <c r="S273" s="1789"/>
      <c r="T273" s="1789"/>
      <c r="U273" s="1789"/>
      <c r="V273" s="1789"/>
      <c r="W273" s="1789"/>
      <c r="X273" s="1789"/>
      <c r="Y273" s="1789"/>
      <c r="Z273" s="1789"/>
      <c r="AA273" s="1809"/>
      <c r="AB273" s="1809"/>
      <c r="AC273" s="1809"/>
      <c r="AD273" s="1809"/>
      <c r="AE273" s="1809"/>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534</v>
      </c>
      <c r="E274" s="4"/>
      <c r="F274" s="4"/>
      <c r="G274" s="4"/>
      <c r="H274" s="4"/>
      <c r="I274" s="4"/>
      <c r="J274" s="4"/>
      <c r="K274" s="4"/>
      <c r="L274" s="4"/>
      <c r="M274" s="1457" t="s">
        <v>306</v>
      </c>
      <c r="N274" s="1457"/>
      <c r="O274" s="1457"/>
      <c r="P274" s="1457"/>
      <c r="Q274" s="1457"/>
      <c r="R274" s="1457"/>
      <c r="S274" s="1457"/>
      <c r="T274" s="1457"/>
      <c r="U274" s="204" t="s">
        <v>905</v>
      </c>
      <c r="V274" s="204"/>
      <c r="W274" s="204"/>
      <c r="X274" s="204"/>
      <c r="Y274" s="204"/>
      <c r="Z274" s="204"/>
      <c r="AA274" s="1786"/>
      <c r="AB274" s="1786"/>
      <c r="AC274" s="1786"/>
      <c r="AD274" s="1786"/>
      <c r="AE274" s="1786"/>
      <c r="AF274" s="1786"/>
      <c r="AG274" s="1786"/>
      <c r="AH274" s="1786"/>
      <c r="AI274" s="1786"/>
      <c r="AJ274" s="1786"/>
      <c r="AK274" s="1786"/>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589</v>
      </c>
      <c r="B276" s="4"/>
      <c r="C276" s="2" t="s">
        <v>294</v>
      </c>
      <c r="D276" s="4"/>
      <c r="E276" s="4"/>
      <c r="F276" s="4"/>
      <c r="G276" s="4"/>
      <c r="H276" s="4"/>
      <c r="I276" s="4"/>
      <c r="J276" s="4"/>
      <c r="K276" s="4"/>
      <c r="L276" s="4"/>
      <c r="M276" s="35"/>
      <c r="N276" s="35"/>
      <c r="O276" s="35"/>
      <c r="P276" s="35"/>
      <c r="Q276" s="35"/>
      <c r="T276" s="1790" t="str">
        <f>IFERROR(BO254,"")</f>
        <v>Nonprofit</v>
      </c>
      <c r="U276" s="1790"/>
      <c r="V276" s="1790"/>
      <c r="W276" s="1790"/>
      <c r="X276" s="1790"/>
      <c r="Z276" s="307" t="s">
        <v>953</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 customHeight="1">
      <c r="A279" s="4"/>
      <c r="B279" s="36">
        <v>0</v>
      </c>
      <c r="D279" s="1512" t="s">
        <v>279</v>
      </c>
      <c r="E279" s="1512"/>
      <c r="F279" s="1512"/>
      <c r="G279" s="1512"/>
      <c r="H279" s="1512"/>
      <c r="J279" t="s">
        <v>278</v>
      </c>
      <c r="X279" s="1726"/>
      <c r="Y279" s="1726"/>
      <c r="Z279" s="1726"/>
      <c r="AA279" s="1726"/>
      <c r="AB279" s="1726"/>
      <c r="AC279" s="1726"/>
      <c r="AU279" s="3"/>
      <c r="AV279" s="3"/>
      <c r="AW279" s="3"/>
      <c r="AX279" s="3"/>
      <c r="AY279" s="3"/>
    </row>
    <row r="280" spans="1:51" ht="13"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295</v>
      </c>
      <c r="E283" s="4"/>
      <c r="F283" s="4"/>
      <c r="G283" s="4"/>
      <c r="H283" s="4"/>
      <c r="I283" s="4"/>
      <c r="J283" s="4"/>
      <c r="K283" s="4"/>
      <c r="L283" s="1515" t="s">
        <v>2656</v>
      </c>
      <c r="M283" s="1515"/>
      <c r="N283" s="1515"/>
      <c r="O283" s="1515"/>
      <c r="P283" s="1515"/>
      <c r="Q283" s="1515"/>
      <c r="R283" s="1515"/>
      <c r="S283" s="1515"/>
      <c r="T283" s="1515"/>
      <c r="U283" s="1515"/>
      <c r="V283" s="1515"/>
      <c r="W283" s="1515"/>
      <c r="X283" s="1515"/>
      <c r="Y283" s="1515"/>
      <c r="Z283" s="1515"/>
      <c r="AA283" s="1515"/>
      <c r="AB283" s="1515"/>
      <c r="AC283" s="1515"/>
      <c r="AD283" s="1515"/>
      <c r="AE283" s="1515"/>
      <c r="AF283" s="1515"/>
      <c r="AG283" s="1515"/>
      <c r="AH283" s="1515"/>
      <c r="AI283" s="1515"/>
      <c r="AJ283" s="1515"/>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12" t="s">
        <v>2651</v>
      </c>
      <c r="M284" s="1512"/>
      <c r="N284" s="1512"/>
      <c r="O284" s="1512"/>
      <c r="P284" s="1512"/>
      <c r="Q284" s="1512"/>
      <c r="R284" s="1512"/>
      <c r="S284" s="1512"/>
      <c r="T284" s="1512"/>
      <c r="U284" s="1512"/>
      <c r="V284" s="1512"/>
      <c r="W284" s="1512"/>
      <c r="X284" s="1512"/>
      <c r="Y284" s="1512"/>
      <c r="Z284" s="1512"/>
      <c r="AA284" s="1512"/>
      <c r="AB284" s="1512"/>
      <c r="AC284" s="1512"/>
      <c r="AD284" s="1512"/>
      <c r="AK284" s="3"/>
      <c r="AL284" s="3"/>
      <c r="AM284" s="3"/>
      <c r="AN284" s="3"/>
      <c r="AO284" s="3"/>
      <c r="AP284" s="3"/>
      <c r="AQ284" s="3"/>
      <c r="AR284" s="3"/>
      <c r="AS284" s="3"/>
      <c r="AT284" s="3"/>
      <c r="AU284" s="3"/>
      <c r="AV284" s="3"/>
      <c r="AW284" s="3"/>
      <c r="AX284" s="3"/>
      <c r="AY284" s="3"/>
    </row>
    <row r="285" spans="1:51" ht="13" customHeight="1">
      <c r="D285" s="4" t="s">
        <v>579</v>
      </c>
      <c r="E285" s="4"/>
      <c r="L285" s="1512" t="s">
        <v>2652</v>
      </c>
      <c r="M285" s="1512"/>
      <c r="N285" s="1512"/>
      <c r="O285" s="1512"/>
      <c r="P285" s="1512"/>
      <c r="Q285" s="1512"/>
      <c r="R285" s="1512"/>
      <c r="S285" s="1512"/>
      <c r="U285" s="33" t="s">
        <v>86</v>
      </c>
      <c r="V285" s="1453" t="s">
        <v>2653</v>
      </c>
      <c r="W285" s="1453"/>
      <c r="X285" s="4" t="s">
        <v>582</v>
      </c>
      <c r="AB285" s="1512">
        <v>91010</v>
      </c>
      <c r="AC285" s="1512"/>
      <c r="AD285" s="1512"/>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512" t="s">
        <v>2654</v>
      </c>
      <c r="M286" s="1512"/>
      <c r="N286" s="1512"/>
      <c r="O286" s="1512"/>
      <c r="P286" s="1512"/>
      <c r="Q286" s="1512"/>
      <c r="R286" s="1512"/>
      <c r="S286" s="1512"/>
      <c r="T286" s="1512"/>
      <c r="U286" s="1512"/>
      <c r="V286" s="1512"/>
      <c r="W286" s="1512"/>
      <c r="X286" s="1512"/>
      <c r="Y286" s="1512"/>
      <c r="Z286" s="1512"/>
      <c r="AA286" s="1512"/>
      <c r="AB286" s="1512"/>
      <c r="AC286" s="1512"/>
      <c r="AD286" s="1512"/>
      <c r="AI286" s="4"/>
      <c r="AJ286" s="4"/>
      <c r="AK286" s="3"/>
      <c r="AL286" s="3"/>
      <c r="AM286" s="3"/>
      <c r="AN286" s="3"/>
      <c r="AO286" s="3"/>
      <c r="AP286" s="3"/>
      <c r="AQ286" s="3"/>
      <c r="AR286" s="3"/>
      <c r="AS286" s="3"/>
      <c r="AT286" s="3"/>
    </row>
    <row r="287" spans="1:51" ht="13" customHeight="1">
      <c r="D287" s="4" t="s">
        <v>88</v>
      </c>
      <c r="E287" s="4"/>
      <c r="F287" s="4"/>
      <c r="L287" s="1441">
        <v>8182597568</v>
      </c>
      <c r="M287" s="1441"/>
      <c r="N287" s="1441"/>
      <c r="O287" s="1441"/>
      <c r="P287" s="1441"/>
      <c r="Q287" s="1441"/>
      <c r="R287" s="4" t="s">
        <v>205</v>
      </c>
      <c r="S287" s="4"/>
      <c r="T287" s="1453"/>
      <c r="U287" s="1453"/>
      <c r="V287" s="1453"/>
      <c r="W287" s="4" t="s">
        <v>89</v>
      </c>
      <c r="Y287" s="1441"/>
      <c r="Z287" s="1441"/>
      <c r="AA287" s="1441"/>
      <c r="AB287" s="1441"/>
      <c r="AC287" s="1441"/>
      <c r="AD287" s="1441"/>
    </row>
    <row r="288" spans="1:51" ht="13" customHeight="1">
      <c r="D288" s="4" t="s">
        <v>90</v>
      </c>
      <c r="E288" s="4"/>
      <c r="F288" s="4"/>
      <c r="L288" s="1789" t="s">
        <v>2655</v>
      </c>
      <c r="M288" s="1789"/>
      <c r="N288" s="1789"/>
      <c r="O288" s="1789"/>
      <c r="P288" s="1789"/>
      <c r="Q288" s="1789"/>
      <c r="R288" s="1789"/>
      <c r="S288" s="1789"/>
      <c r="T288" s="1789"/>
      <c r="U288" s="1789"/>
      <c r="V288" s="1789"/>
      <c r="W288" s="1789"/>
      <c r="X288" s="1789"/>
      <c r="Y288" s="1789"/>
      <c r="Z288" s="1789"/>
      <c r="AA288" s="1789"/>
      <c r="AB288" s="1789"/>
      <c r="AC288" s="1789"/>
      <c r="AD288" s="1789"/>
      <c r="AF288" s="4"/>
      <c r="AG288" s="4"/>
      <c r="AH288" s="4"/>
      <c r="AI288" s="4"/>
      <c r="AJ288" s="4"/>
      <c r="AU288" s="3"/>
      <c r="AV288" s="3"/>
      <c r="AW288" s="3"/>
      <c r="AX288" s="3"/>
      <c r="AY288" s="3"/>
    </row>
    <row r="289" spans="1:51" ht="13" customHeight="1">
      <c r="D289" s="3" t="s">
        <v>622</v>
      </c>
      <c r="E289" s="3"/>
      <c r="F289" s="3"/>
      <c r="G289" s="3"/>
      <c r="H289" s="3"/>
      <c r="I289" s="3"/>
      <c r="L289" s="1382"/>
      <c r="M289" s="1382"/>
      <c r="N289" s="1382"/>
      <c r="O289" s="1382"/>
      <c r="P289" s="1382"/>
      <c r="Q289" s="1382"/>
      <c r="R289" s="1382"/>
      <c r="S289" s="1382"/>
      <c r="T289" s="1382"/>
      <c r="U289" s="1382"/>
      <c r="V289" s="1382"/>
      <c r="W289" s="1382"/>
      <c r="X289" s="1382"/>
      <c r="Y289" s="1382"/>
      <c r="Z289" s="1382"/>
      <c r="AA289" s="1382"/>
      <c r="AB289" s="1382"/>
      <c r="AC289" s="1382"/>
      <c r="AD289" s="1382"/>
      <c r="AK289" s="3"/>
      <c r="AL289" s="3"/>
      <c r="AM289" s="3"/>
      <c r="AN289" s="3"/>
      <c r="AO289" s="3"/>
      <c r="AP289" s="3"/>
      <c r="AQ289" s="3"/>
      <c r="AR289" s="3"/>
      <c r="AS289" s="3"/>
      <c r="AT289" s="3"/>
    </row>
    <row r="290" spans="1:51" ht="13" customHeight="1">
      <c r="L290" s="22" t="s">
        <v>623</v>
      </c>
      <c r="AU290" s="95"/>
      <c r="AV290" s="95"/>
      <c r="AW290" s="95"/>
      <c r="AX290" s="95"/>
      <c r="AY290" s="95"/>
    </row>
    <row r="291" spans="1:51" ht="13" customHeight="1">
      <c r="A291" s="1516" t="s">
        <v>540</v>
      </c>
      <c r="B291" s="1516"/>
      <c r="C291" s="1516"/>
      <c r="D291" s="1516"/>
      <c r="E291" s="1516"/>
      <c r="F291" s="1516"/>
      <c r="G291" s="1516"/>
      <c r="H291" s="1516"/>
      <c r="I291" s="1516"/>
      <c r="J291" s="1516"/>
      <c r="K291" s="1516"/>
      <c r="L291" s="1516"/>
      <c r="M291" s="1516"/>
      <c r="N291" s="1516"/>
      <c r="O291" s="1516"/>
      <c r="P291" s="1516"/>
      <c r="Q291" s="1516"/>
      <c r="R291" s="1516"/>
      <c r="S291" s="1516"/>
      <c r="T291" s="1516"/>
      <c r="U291" s="1516"/>
      <c r="V291" s="1516"/>
      <c r="W291" s="1516"/>
      <c r="X291" s="1516"/>
      <c r="Y291" s="1516"/>
      <c r="Z291" s="1516"/>
      <c r="AA291" s="1516"/>
      <c r="AB291" s="1516"/>
      <c r="AC291" s="1516"/>
      <c r="AD291" s="1516"/>
      <c r="AE291" s="1516"/>
      <c r="AF291" s="1516"/>
      <c r="AG291" s="1516"/>
      <c r="AH291" s="1516"/>
      <c r="AI291" s="1516"/>
      <c r="AJ291" s="1516"/>
      <c r="AK291" s="1516"/>
      <c r="AL291" s="1516"/>
      <c r="AM291" s="1516"/>
      <c r="AN291" s="1516"/>
      <c r="AO291" s="1516"/>
      <c r="AP291" s="1516"/>
      <c r="AQ291" s="1516"/>
      <c r="AR291" s="1516"/>
      <c r="AS291" s="1516"/>
      <c r="AT291" s="1516"/>
      <c r="AU291" s="95"/>
      <c r="AV291" s="95"/>
      <c r="AW291" s="95"/>
      <c r="AX291" s="95"/>
      <c r="AY291" s="95"/>
    </row>
    <row r="292" spans="1:51" ht="13" customHeight="1">
      <c r="A292" s="1516"/>
      <c r="B292" s="1516"/>
      <c r="C292" s="1516"/>
      <c r="D292" s="1516"/>
      <c r="E292" s="1516"/>
      <c r="F292" s="1516"/>
      <c r="G292" s="1516"/>
      <c r="H292" s="1516"/>
      <c r="I292" s="1516"/>
      <c r="J292" s="1516"/>
      <c r="K292" s="1516"/>
      <c r="L292" s="1516"/>
      <c r="M292" s="1516"/>
      <c r="N292" s="1516"/>
      <c r="O292" s="1516"/>
      <c r="P292" s="1516"/>
      <c r="Q292" s="1516"/>
      <c r="R292" s="1516"/>
      <c r="S292" s="1516"/>
      <c r="T292" s="1516"/>
      <c r="U292" s="1516"/>
      <c r="V292" s="1516"/>
      <c r="W292" s="1516"/>
      <c r="X292" s="1516"/>
      <c r="Y292" s="1516"/>
      <c r="Z292" s="1516"/>
      <c r="AA292" s="1516"/>
      <c r="AB292" s="1516"/>
      <c r="AC292" s="1516"/>
      <c r="AD292" s="1516"/>
      <c r="AE292" s="1516"/>
      <c r="AF292" s="1516"/>
      <c r="AG292" s="1516"/>
      <c r="AH292" s="1516"/>
      <c r="AI292" s="1516"/>
      <c r="AJ292" s="1516"/>
      <c r="AK292" s="1516"/>
      <c r="AL292" s="1516"/>
      <c r="AM292" s="1516"/>
      <c r="AN292" s="1516"/>
      <c r="AO292" s="1516"/>
      <c r="AP292" s="1516"/>
      <c r="AQ292" s="1516"/>
      <c r="AR292" s="1516"/>
      <c r="AS292" s="1516"/>
      <c r="AT292" s="1516"/>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625</v>
      </c>
      <c r="C296" s="3"/>
      <c r="D296" s="3"/>
      <c r="E296" s="3"/>
      <c r="F296" s="3"/>
      <c r="H296" s="1442" t="s">
        <v>2656</v>
      </c>
      <c r="I296" s="1442"/>
      <c r="J296" s="1442"/>
      <c r="K296" s="1442"/>
      <c r="L296" s="1442"/>
      <c r="M296" s="1442"/>
      <c r="N296" s="1442"/>
      <c r="O296" s="1442"/>
      <c r="P296" s="1442"/>
      <c r="Q296" s="1442"/>
      <c r="R296" s="1442"/>
      <c r="T296" s="3" t="s">
        <v>566</v>
      </c>
      <c r="V296" s="3"/>
      <c r="W296" s="3"/>
      <c r="X296" s="3"/>
      <c r="Y296" s="3"/>
      <c r="AA296" s="1442" t="s">
        <v>2662</v>
      </c>
      <c r="AB296" s="1442"/>
      <c r="AC296" s="1442"/>
      <c r="AD296" s="1442"/>
      <c r="AE296" s="1442"/>
      <c r="AF296" s="1442"/>
      <c r="AG296" s="1442"/>
      <c r="AH296" s="1442"/>
      <c r="AI296" s="1442"/>
      <c r="AJ296" s="1442"/>
      <c r="AK296" s="1442"/>
    </row>
    <row r="297" spans="1:51" ht="13" customHeight="1">
      <c r="B297" s="3" t="s">
        <v>470</v>
      </c>
      <c r="C297" s="3"/>
      <c r="D297" s="3"/>
      <c r="E297" s="3"/>
      <c r="F297" s="3"/>
      <c r="H297" s="1457" t="s">
        <v>2651</v>
      </c>
      <c r="I297" s="1457"/>
      <c r="J297" s="1457"/>
      <c r="K297" s="1457"/>
      <c r="L297" s="1457"/>
      <c r="M297" s="1457"/>
      <c r="N297" s="1457"/>
      <c r="O297" s="1457"/>
      <c r="P297" s="1457"/>
      <c r="Q297" s="1457"/>
      <c r="R297" s="1457"/>
      <c r="T297" s="3" t="s">
        <v>470</v>
      </c>
      <c r="V297" s="3"/>
      <c r="W297" s="3"/>
      <c r="X297" s="3"/>
      <c r="Y297" s="3"/>
      <c r="AA297" s="1457" t="s">
        <v>2663</v>
      </c>
      <c r="AB297" s="1457"/>
      <c r="AC297" s="1457"/>
      <c r="AD297" s="1457"/>
      <c r="AE297" s="1457"/>
      <c r="AF297" s="1457"/>
      <c r="AG297" s="1457"/>
      <c r="AH297" s="1457"/>
      <c r="AI297" s="1457"/>
      <c r="AJ297" s="1457"/>
      <c r="AK297" s="1457"/>
    </row>
    <row r="298" spans="1:51" ht="13" customHeight="1">
      <c r="B298" s="3" t="s">
        <v>471</v>
      </c>
      <c r="C298" s="3"/>
      <c r="D298" s="3"/>
      <c r="E298" s="3"/>
      <c r="F298" s="3"/>
      <c r="H298" s="1457" t="s">
        <v>2661</v>
      </c>
      <c r="I298" s="1457"/>
      <c r="J298" s="1457"/>
      <c r="K298" s="1457"/>
      <c r="L298" s="1457"/>
      <c r="M298" s="1457"/>
      <c r="N298" s="1457"/>
      <c r="O298" s="1457"/>
      <c r="P298" s="1457"/>
      <c r="Q298" s="1457"/>
      <c r="R298" s="1457"/>
      <c r="T298" s="3" t="s">
        <v>75</v>
      </c>
      <c r="V298" s="3"/>
      <c r="W298" s="3"/>
      <c r="X298" s="3"/>
      <c r="Y298" s="3"/>
      <c r="AA298" s="1457" t="s">
        <v>2664</v>
      </c>
      <c r="AB298" s="1457"/>
      <c r="AC298" s="1457"/>
      <c r="AD298" s="1457"/>
      <c r="AE298" s="1457"/>
      <c r="AF298" s="1457"/>
      <c r="AG298" s="1457"/>
      <c r="AH298" s="1457"/>
      <c r="AI298" s="1457"/>
      <c r="AJ298" s="1457"/>
      <c r="AK298" s="1457"/>
    </row>
    <row r="299" spans="1:51" ht="13" customHeight="1">
      <c r="B299" s="3" t="s">
        <v>87</v>
      </c>
      <c r="C299" s="3"/>
      <c r="D299" s="3"/>
      <c r="E299" s="3"/>
      <c r="F299" s="3"/>
      <c r="H299" s="1457" t="s">
        <v>2654</v>
      </c>
      <c r="I299" s="1457"/>
      <c r="J299" s="1457"/>
      <c r="K299" s="1457"/>
      <c r="L299" s="1457"/>
      <c r="M299" s="1457"/>
      <c r="N299" s="1457"/>
      <c r="O299" s="1457"/>
      <c r="P299" s="1457"/>
      <c r="Q299" s="1457"/>
      <c r="R299" s="1457"/>
      <c r="T299" s="3" t="s">
        <v>87</v>
      </c>
      <c r="V299" s="3"/>
      <c r="W299" s="3"/>
      <c r="X299" s="3"/>
      <c r="Y299" s="3"/>
      <c r="AA299" s="1457" t="s">
        <v>2665</v>
      </c>
      <c r="AB299" s="1457"/>
      <c r="AC299" s="1457"/>
      <c r="AD299" s="1457"/>
      <c r="AE299" s="1457"/>
      <c r="AF299" s="1457"/>
      <c r="AG299" s="1457"/>
      <c r="AH299" s="1457"/>
      <c r="AI299" s="1457"/>
      <c r="AJ299" s="1457"/>
      <c r="AK299" s="1457"/>
    </row>
    <row r="300" spans="1:51" ht="13" customHeight="1">
      <c r="B300" s="3" t="s">
        <v>88</v>
      </c>
      <c r="C300" s="3"/>
      <c r="D300" s="3"/>
      <c r="E300" s="3"/>
      <c r="F300" s="3"/>
      <c r="G300" s="3"/>
      <c r="H300" s="1517">
        <v>8182597568</v>
      </c>
      <c r="I300" s="1517"/>
      <c r="J300" s="1517"/>
      <c r="K300" s="1517"/>
      <c r="L300" s="1517"/>
      <c r="M300" s="1517"/>
      <c r="N300" s="4" t="s">
        <v>205</v>
      </c>
      <c r="O300" s="4"/>
      <c r="P300" s="1512"/>
      <c r="Q300" s="1512"/>
      <c r="R300" s="1512"/>
      <c r="S300" s="3"/>
      <c r="T300" s="3" t="s">
        <v>88</v>
      </c>
      <c r="V300" s="3"/>
      <c r="W300" s="3"/>
      <c r="X300" s="3"/>
      <c r="Y300" s="3"/>
      <c r="AA300" s="1517">
        <v>9493026296</v>
      </c>
      <c r="AB300" s="1517"/>
      <c r="AC300" s="1517"/>
      <c r="AD300" s="1517"/>
      <c r="AE300" s="1517"/>
      <c r="AF300" s="1517"/>
      <c r="AG300" s="4" t="s">
        <v>205</v>
      </c>
      <c r="AH300" s="4"/>
      <c r="AI300" s="1512"/>
      <c r="AJ300" s="1512"/>
      <c r="AK300" s="1512"/>
    </row>
    <row r="301" spans="1:51" ht="13" customHeight="1">
      <c r="B301" s="3" t="s">
        <v>89</v>
      </c>
      <c r="C301" s="3"/>
      <c r="D301" s="3"/>
      <c r="E301" s="3"/>
      <c r="F301" s="3"/>
      <c r="G301" s="3"/>
      <c r="H301" s="1441"/>
      <c r="I301" s="1441"/>
      <c r="J301" s="1441"/>
      <c r="K301" s="1441"/>
      <c r="L301" s="1441"/>
      <c r="M301" s="1441"/>
      <c r="N301" s="4"/>
      <c r="O301" s="4"/>
      <c r="P301" s="35"/>
      <c r="Q301" s="35"/>
      <c r="R301" s="35"/>
      <c r="S301" s="3"/>
      <c r="T301" s="3" t="s">
        <v>89</v>
      </c>
      <c r="V301" s="3"/>
      <c r="W301" s="3"/>
      <c r="X301" s="3"/>
      <c r="Y301" s="3"/>
      <c r="AA301" s="1441"/>
      <c r="AB301" s="1441"/>
      <c r="AC301" s="1441"/>
      <c r="AD301" s="1441"/>
      <c r="AE301" s="1441"/>
      <c r="AF301" s="1441"/>
      <c r="AG301" s="4"/>
      <c r="AH301" s="4"/>
      <c r="AI301" s="35"/>
      <c r="AJ301" s="35"/>
      <c r="AK301" s="35"/>
    </row>
    <row r="302" spans="1:51" ht="13" customHeight="1">
      <c r="B302" s="3" t="s">
        <v>76</v>
      </c>
      <c r="C302" s="3"/>
      <c r="D302" s="3"/>
      <c r="E302" s="3"/>
      <c r="F302" s="3"/>
      <c r="G302" s="3"/>
      <c r="H302" s="1457" t="s">
        <v>2655</v>
      </c>
      <c r="I302" s="1457"/>
      <c r="J302" s="1457"/>
      <c r="K302" s="1457"/>
      <c r="L302" s="1457"/>
      <c r="M302" s="1457"/>
      <c r="N302" s="1442"/>
      <c r="O302" s="1442"/>
      <c r="P302" s="1442"/>
      <c r="Q302" s="1442"/>
      <c r="R302" s="1442"/>
      <c r="S302" s="3"/>
      <c r="T302" s="3" t="s">
        <v>76</v>
      </c>
      <c r="V302" s="3"/>
      <c r="W302" s="3"/>
      <c r="X302" s="3"/>
      <c r="Y302" s="3"/>
      <c r="AA302" s="1457" t="s">
        <v>2666</v>
      </c>
      <c r="AB302" s="1457"/>
      <c r="AC302" s="1457"/>
      <c r="AD302" s="1457"/>
      <c r="AE302" s="1457"/>
      <c r="AF302" s="1457"/>
      <c r="AG302" s="1442"/>
      <c r="AH302" s="1442"/>
      <c r="AI302" s="1442"/>
      <c r="AJ302" s="1442"/>
      <c r="AK302" s="1442"/>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322</v>
      </c>
      <c r="C304" s="3"/>
      <c r="D304" s="3"/>
      <c r="E304" s="3"/>
      <c r="F304" s="3"/>
      <c r="H304" s="1442" t="s">
        <v>2667</v>
      </c>
      <c r="I304" s="1442"/>
      <c r="J304" s="1442"/>
      <c r="K304" s="1442"/>
      <c r="L304" s="1442"/>
      <c r="M304" s="1442"/>
      <c r="N304" s="1442"/>
      <c r="O304" s="1442"/>
      <c r="P304" s="1442"/>
      <c r="Q304" s="1442"/>
      <c r="R304" s="1442"/>
      <c r="T304" s="3" t="s">
        <v>363</v>
      </c>
      <c r="V304" s="3"/>
      <c r="W304" s="3"/>
      <c r="X304" s="3"/>
      <c r="Y304" s="3"/>
      <c r="AA304" s="1442" t="s">
        <v>2672</v>
      </c>
      <c r="AB304" s="1442"/>
      <c r="AC304" s="1442"/>
      <c r="AD304" s="1442"/>
      <c r="AE304" s="1442"/>
      <c r="AF304" s="1442"/>
      <c r="AG304" s="1442"/>
      <c r="AH304" s="1442"/>
      <c r="AI304" s="1442"/>
      <c r="AJ304" s="1442"/>
      <c r="AK304" s="1442"/>
    </row>
    <row r="305" spans="2:72" ht="13" customHeight="1">
      <c r="B305" s="3" t="s">
        <v>470</v>
      </c>
      <c r="C305" s="3"/>
      <c r="D305" s="3"/>
      <c r="E305" s="3"/>
      <c r="F305" s="3"/>
      <c r="H305" s="1457" t="s">
        <v>2668</v>
      </c>
      <c r="I305" s="1457"/>
      <c r="J305" s="1457"/>
      <c r="K305" s="1457"/>
      <c r="L305" s="1457"/>
      <c r="M305" s="1457"/>
      <c r="N305" s="1457"/>
      <c r="O305" s="1457"/>
      <c r="P305" s="1457"/>
      <c r="Q305" s="1457"/>
      <c r="R305" s="1457"/>
      <c r="T305" s="3" t="s">
        <v>470</v>
      </c>
      <c r="V305" s="3"/>
      <c r="W305" s="3"/>
      <c r="X305" s="3"/>
      <c r="Y305" s="3"/>
      <c r="AA305" s="1457" t="s">
        <v>2673</v>
      </c>
      <c r="AB305" s="1457"/>
      <c r="AC305" s="1457"/>
      <c r="AD305" s="1457"/>
      <c r="AE305" s="1457"/>
      <c r="AF305" s="1457"/>
      <c r="AG305" s="1457"/>
      <c r="AH305" s="1457"/>
      <c r="AI305" s="1457"/>
      <c r="AJ305" s="1457"/>
      <c r="AK305" s="1457"/>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471</v>
      </c>
      <c r="C306" s="3"/>
      <c r="D306" s="3"/>
      <c r="E306" s="3"/>
      <c r="F306" s="3"/>
      <c r="H306" s="1457" t="s">
        <v>2669</v>
      </c>
      <c r="I306" s="1457"/>
      <c r="J306" s="1457"/>
      <c r="K306" s="1457"/>
      <c r="L306" s="1457"/>
      <c r="M306" s="1457"/>
      <c r="N306" s="1457"/>
      <c r="O306" s="1457"/>
      <c r="P306" s="1457"/>
      <c r="Q306" s="1457"/>
      <c r="R306" s="1457"/>
      <c r="T306" s="3" t="s">
        <v>75</v>
      </c>
      <c r="V306" s="3"/>
      <c r="W306" s="3"/>
      <c r="X306" s="3"/>
      <c r="Y306" s="3"/>
      <c r="AA306" s="1457" t="s">
        <v>2674</v>
      </c>
      <c r="AB306" s="1457"/>
      <c r="AC306" s="1457"/>
      <c r="AD306" s="1457"/>
      <c r="AE306" s="1457"/>
      <c r="AF306" s="1457"/>
      <c r="AG306" s="1457"/>
      <c r="AH306" s="1457"/>
      <c r="AI306" s="1457"/>
      <c r="AJ306" s="1457"/>
      <c r="AK306" s="1457"/>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457" t="s">
        <v>2670</v>
      </c>
      <c r="I307" s="1457"/>
      <c r="J307" s="1457"/>
      <c r="K307" s="1457"/>
      <c r="L307" s="1457"/>
      <c r="M307" s="1457"/>
      <c r="N307" s="1457"/>
      <c r="O307" s="1457"/>
      <c r="P307" s="1457"/>
      <c r="Q307" s="1457"/>
      <c r="R307" s="1457"/>
      <c r="T307" s="3" t="s">
        <v>87</v>
      </c>
      <c r="V307" s="3"/>
      <c r="W307" s="3"/>
      <c r="X307" s="3"/>
      <c r="Y307" s="3"/>
      <c r="AA307" s="1457" t="s">
        <v>2675</v>
      </c>
      <c r="AB307" s="1457"/>
      <c r="AC307" s="1457"/>
      <c r="AD307" s="1457"/>
      <c r="AE307" s="1457"/>
      <c r="AF307" s="1457"/>
      <c r="AG307" s="1457"/>
      <c r="AH307" s="1457"/>
      <c r="AI307" s="1457"/>
      <c r="AJ307" s="1457"/>
      <c r="AK307" s="1457"/>
    </row>
    <row r="308" spans="2:72" ht="13" customHeight="1">
      <c r="B308" s="3" t="s">
        <v>88</v>
      </c>
      <c r="C308" s="3"/>
      <c r="D308" s="3"/>
      <c r="E308" s="3"/>
      <c r="F308" s="3"/>
      <c r="G308" s="3"/>
      <c r="H308" s="1517">
        <v>5104336602</v>
      </c>
      <c r="I308" s="1517"/>
      <c r="J308" s="1517"/>
      <c r="K308" s="1517"/>
      <c r="L308" s="1517"/>
      <c r="M308" s="1517"/>
      <c r="N308" s="4" t="s">
        <v>205</v>
      </c>
      <c r="O308" s="4"/>
      <c r="P308" s="1512"/>
      <c r="Q308" s="1512"/>
      <c r="R308" s="1512"/>
      <c r="S308" s="3"/>
      <c r="T308" s="3" t="s">
        <v>88</v>
      </c>
      <c r="V308" s="3"/>
      <c r="W308" s="3"/>
      <c r="X308" s="3"/>
      <c r="Y308" s="3"/>
      <c r="AA308" s="1517">
        <v>9092677820</v>
      </c>
      <c r="AB308" s="1517"/>
      <c r="AC308" s="1517"/>
      <c r="AD308" s="1517"/>
      <c r="AE308" s="1517"/>
      <c r="AF308" s="1517"/>
      <c r="AG308" s="4" t="s">
        <v>205</v>
      </c>
      <c r="AH308" s="4"/>
      <c r="AI308" s="1512"/>
      <c r="AJ308" s="1512"/>
      <c r="AK308" s="1512"/>
    </row>
    <row r="309" spans="2:72" ht="13" customHeight="1">
      <c r="B309" s="3" t="s">
        <v>89</v>
      </c>
      <c r="C309" s="3"/>
      <c r="D309" s="3"/>
      <c r="E309" s="3"/>
      <c r="F309" s="3"/>
      <c r="G309" s="3"/>
      <c r="H309" s="1441"/>
      <c r="I309" s="1441"/>
      <c r="J309" s="1441"/>
      <c r="K309" s="1441"/>
      <c r="L309" s="1441"/>
      <c r="M309" s="1441"/>
      <c r="N309" s="4"/>
      <c r="O309" s="4"/>
      <c r="P309" s="35"/>
      <c r="Q309" s="35"/>
      <c r="R309" s="35"/>
      <c r="S309" s="3"/>
      <c r="T309" s="3" t="s">
        <v>89</v>
      </c>
      <c r="V309" s="3"/>
      <c r="W309" s="3"/>
      <c r="X309" s="3"/>
      <c r="Y309" s="3"/>
      <c r="AA309" s="1441"/>
      <c r="AB309" s="1441"/>
      <c r="AC309" s="1441"/>
      <c r="AD309" s="1441"/>
      <c r="AE309" s="1441"/>
      <c r="AF309" s="1441"/>
      <c r="AG309" s="4"/>
      <c r="AH309" s="4"/>
      <c r="AI309" s="35"/>
      <c r="AJ309" s="35"/>
      <c r="AK309" s="35"/>
    </row>
    <row r="310" spans="2:72" ht="13" customHeight="1">
      <c r="B310" s="3" t="s">
        <v>76</v>
      </c>
      <c r="C310" s="3"/>
      <c r="D310" s="3"/>
      <c r="E310" s="3"/>
      <c r="F310" s="3"/>
      <c r="G310" s="3"/>
      <c r="H310" s="1457" t="s">
        <v>2671</v>
      </c>
      <c r="I310" s="1457"/>
      <c r="J310" s="1457"/>
      <c r="K310" s="1457"/>
      <c r="L310" s="1457"/>
      <c r="M310" s="1457"/>
      <c r="N310" s="1442"/>
      <c r="O310" s="1442"/>
      <c r="P310" s="1442"/>
      <c r="Q310" s="1442"/>
      <c r="R310" s="1442"/>
      <c r="S310" s="3"/>
      <c r="T310" s="3" t="s">
        <v>76</v>
      </c>
      <c r="V310" s="3"/>
      <c r="W310" s="3"/>
      <c r="X310" s="3"/>
      <c r="Y310" s="3"/>
      <c r="AA310" s="1457" t="s">
        <v>2676</v>
      </c>
      <c r="AB310" s="1457"/>
      <c r="AC310" s="1457"/>
      <c r="AD310" s="1457"/>
      <c r="AE310" s="1457"/>
      <c r="AF310" s="1457"/>
      <c r="AG310" s="1442"/>
      <c r="AH310" s="1442"/>
      <c r="AI310" s="1442"/>
      <c r="AJ310" s="1442"/>
      <c r="AK310" s="1442"/>
    </row>
    <row r="311" spans="2:72" ht="13" customHeight="1"/>
    <row r="312" spans="2:72" ht="13" customHeight="1">
      <c r="B312" s="3" t="s">
        <v>77</v>
      </c>
      <c r="C312" s="3"/>
      <c r="D312" s="3"/>
      <c r="E312" s="3"/>
      <c r="F312" s="3"/>
      <c r="H312" s="1442" t="s">
        <v>2677</v>
      </c>
      <c r="I312" s="1442"/>
      <c r="J312" s="1442"/>
      <c r="K312" s="1442"/>
      <c r="L312" s="1442"/>
      <c r="M312" s="1442"/>
      <c r="N312" s="1442"/>
      <c r="O312" s="1442"/>
      <c r="P312" s="1442"/>
      <c r="Q312" s="1442"/>
      <c r="R312" s="1442"/>
      <c r="T312" s="4" t="s">
        <v>877</v>
      </c>
      <c r="V312" s="3"/>
      <c r="W312" s="3"/>
      <c r="X312" s="3"/>
      <c r="Y312" s="3"/>
      <c r="AA312" s="1442" t="s">
        <v>2682</v>
      </c>
      <c r="AB312" s="1442"/>
      <c r="AC312" s="1442"/>
      <c r="AD312" s="1442"/>
      <c r="AE312" s="1442"/>
      <c r="AF312" s="1442"/>
      <c r="AG312" s="1442"/>
      <c r="AH312" s="1442"/>
      <c r="AI312" s="1442"/>
      <c r="AJ312" s="1442"/>
      <c r="AK312" s="1442"/>
    </row>
    <row r="313" spans="2:72" ht="13" customHeight="1">
      <c r="B313" s="3" t="s">
        <v>470</v>
      </c>
      <c r="C313" s="3"/>
      <c r="D313" s="3"/>
      <c r="E313" s="3"/>
      <c r="F313" s="3"/>
      <c r="H313" s="1457" t="s">
        <v>2678</v>
      </c>
      <c r="I313" s="1457"/>
      <c r="J313" s="1457"/>
      <c r="K313" s="1457"/>
      <c r="L313" s="1457"/>
      <c r="M313" s="1457"/>
      <c r="N313" s="1457"/>
      <c r="O313" s="1457"/>
      <c r="P313" s="1457"/>
      <c r="Q313" s="1457"/>
      <c r="R313" s="1457"/>
      <c r="T313" s="3" t="s">
        <v>470</v>
      </c>
      <c r="V313" s="3"/>
      <c r="W313" s="3"/>
      <c r="X313" s="3"/>
      <c r="Y313" s="3"/>
      <c r="AA313" s="1457" t="s">
        <v>2683</v>
      </c>
      <c r="AB313" s="1457"/>
      <c r="AC313" s="1457"/>
      <c r="AD313" s="1457"/>
      <c r="AE313" s="1457"/>
      <c r="AF313" s="1457"/>
      <c r="AG313" s="1457"/>
      <c r="AH313" s="1457"/>
      <c r="AI313" s="1457"/>
      <c r="AJ313" s="1457"/>
      <c r="AK313" s="1457"/>
    </row>
    <row r="314" spans="2:72" ht="13" customHeight="1">
      <c r="B314" s="3" t="s">
        <v>471</v>
      </c>
      <c r="C314" s="3"/>
      <c r="D314" s="3"/>
      <c r="E314" s="3"/>
      <c r="F314" s="3"/>
      <c r="H314" s="1457" t="s">
        <v>2679</v>
      </c>
      <c r="I314" s="1457"/>
      <c r="J314" s="1457"/>
      <c r="K314" s="1457"/>
      <c r="L314" s="1457"/>
      <c r="M314" s="1457"/>
      <c r="N314" s="1457"/>
      <c r="O314" s="1457"/>
      <c r="P314" s="1457"/>
      <c r="Q314" s="1457"/>
      <c r="R314" s="1457"/>
      <c r="T314" s="3" t="s">
        <v>75</v>
      </c>
      <c r="V314" s="3"/>
      <c r="W314" s="3"/>
      <c r="X314" s="3"/>
      <c r="Y314" s="3"/>
      <c r="AA314" s="1457" t="s">
        <v>2684</v>
      </c>
      <c r="AB314" s="1457"/>
      <c r="AC314" s="1457"/>
      <c r="AD314" s="1457"/>
      <c r="AE314" s="1457"/>
      <c r="AF314" s="1457"/>
      <c r="AG314" s="1457"/>
      <c r="AH314" s="1457"/>
      <c r="AI314" s="1457"/>
      <c r="AJ314" s="1457"/>
      <c r="AK314" s="1457"/>
    </row>
    <row r="315" spans="2:72" ht="13" customHeight="1">
      <c r="B315" s="3" t="s">
        <v>87</v>
      </c>
      <c r="C315" s="3"/>
      <c r="D315" s="3"/>
      <c r="E315" s="3"/>
      <c r="F315" s="3"/>
      <c r="H315" s="1457" t="s">
        <v>2680</v>
      </c>
      <c r="I315" s="1457"/>
      <c r="J315" s="1457"/>
      <c r="K315" s="1457"/>
      <c r="L315" s="1457"/>
      <c r="M315" s="1457"/>
      <c r="N315" s="1457"/>
      <c r="O315" s="1457"/>
      <c r="P315" s="1457"/>
      <c r="Q315" s="1457"/>
      <c r="R315" s="1457"/>
      <c r="T315" s="3" t="s">
        <v>87</v>
      </c>
      <c r="V315" s="3"/>
      <c r="W315" s="3"/>
      <c r="X315" s="3"/>
      <c r="Y315" s="3"/>
      <c r="AA315" s="1457" t="s">
        <v>2685</v>
      </c>
      <c r="AB315" s="1457"/>
      <c r="AC315" s="1457"/>
      <c r="AD315" s="1457"/>
      <c r="AE315" s="1457"/>
      <c r="AF315" s="1457"/>
      <c r="AG315" s="1457"/>
      <c r="AH315" s="1457"/>
      <c r="AI315" s="1457"/>
      <c r="AJ315" s="1457"/>
      <c r="AK315" s="1457"/>
    </row>
    <row r="316" spans="2:72" ht="13" customHeight="1">
      <c r="B316" s="3" t="s">
        <v>88</v>
      </c>
      <c r="C316" s="3"/>
      <c r="D316" s="3"/>
      <c r="E316" s="3"/>
      <c r="F316" s="3"/>
      <c r="G316" s="3"/>
      <c r="H316" s="1517">
        <v>3178196173</v>
      </c>
      <c r="I316" s="1517"/>
      <c r="J316" s="1517"/>
      <c r="K316" s="1517"/>
      <c r="L316" s="1517"/>
      <c r="M316" s="1517"/>
      <c r="N316" s="4" t="s">
        <v>205</v>
      </c>
      <c r="O316" s="4"/>
      <c r="P316" s="1512"/>
      <c r="Q316" s="1512"/>
      <c r="R316" s="1512"/>
      <c r="S316" s="3"/>
      <c r="T316" s="3" t="s">
        <v>88</v>
      </c>
      <c r="V316" s="3"/>
      <c r="W316" s="3"/>
      <c r="X316" s="3"/>
      <c r="Y316" s="3"/>
      <c r="AA316" s="1517" t="s">
        <v>2686</v>
      </c>
      <c r="AB316" s="1517"/>
      <c r="AC316" s="1517"/>
      <c r="AD316" s="1517"/>
      <c r="AE316" s="1517"/>
      <c r="AF316" s="1517"/>
      <c r="AG316" s="4" t="s">
        <v>205</v>
      </c>
      <c r="AH316" s="4"/>
      <c r="AI316" s="1512"/>
      <c r="AJ316" s="1512"/>
      <c r="AK316" s="1512"/>
    </row>
    <row r="317" spans="2:72" ht="13" customHeight="1">
      <c r="B317" s="3" t="s">
        <v>89</v>
      </c>
      <c r="C317" s="3"/>
      <c r="D317" s="3"/>
      <c r="E317" s="3"/>
      <c r="F317" s="3"/>
      <c r="G317" s="3"/>
      <c r="H317" s="1441"/>
      <c r="I317" s="1441"/>
      <c r="J317" s="1441"/>
      <c r="K317" s="1441"/>
      <c r="L317" s="1441"/>
      <c r="M317" s="1441"/>
      <c r="N317" s="4"/>
      <c r="O317" s="4"/>
      <c r="P317" s="35"/>
      <c r="Q317" s="35"/>
      <c r="R317" s="35"/>
      <c r="S317" s="3"/>
      <c r="T317" s="3" t="s">
        <v>89</v>
      </c>
      <c r="V317" s="3"/>
      <c r="W317" s="3"/>
      <c r="X317" s="3"/>
      <c r="Y317" s="3"/>
      <c r="AA317" s="1441"/>
      <c r="AB317" s="1441"/>
      <c r="AC317" s="1441"/>
      <c r="AD317" s="1441"/>
      <c r="AE317" s="1441"/>
      <c r="AF317" s="1441"/>
      <c r="AG317" s="4"/>
      <c r="AH317" s="4"/>
      <c r="AI317" s="35"/>
      <c r="AJ317" s="35"/>
      <c r="AK317" s="35"/>
    </row>
    <row r="318" spans="2:72" ht="13" customHeight="1">
      <c r="B318" s="3" t="s">
        <v>76</v>
      </c>
      <c r="C318" s="3"/>
      <c r="D318" s="3"/>
      <c r="E318" s="3"/>
      <c r="F318" s="3"/>
      <c r="G318" s="3"/>
      <c r="H318" s="1457" t="s">
        <v>2681</v>
      </c>
      <c r="I318" s="1457"/>
      <c r="J318" s="1457"/>
      <c r="K318" s="1457"/>
      <c r="L318" s="1457"/>
      <c r="M318" s="1457"/>
      <c r="N318" s="1442"/>
      <c r="O318" s="1442"/>
      <c r="P318" s="1442"/>
      <c r="Q318" s="1442"/>
      <c r="R318" s="1442"/>
      <c r="S318" s="3"/>
      <c r="T318" s="3" t="s">
        <v>76</v>
      </c>
      <c r="V318" s="3"/>
      <c r="W318" s="3"/>
      <c r="X318" s="3"/>
      <c r="Y318" s="3"/>
      <c r="AA318" s="1457" t="s">
        <v>2687</v>
      </c>
      <c r="AB318" s="1457"/>
      <c r="AC318" s="1457"/>
      <c r="AD318" s="1457"/>
      <c r="AE318" s="1457"/>
      <c r="AF318" s="1457"/>
      <c r="AG318" s="1442"/>
      <c r="AH318" s="1442"/>
      <c r="AI318" s="1442"/>
      <c r="AJ318" s="1442"/>
      <c r="AK318" s="1442"/>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906</v>
      </c>
      <c r="C320" s="3"/>
      <c r="D320" s="3"/>
      <c r="E320" s="3"/>
      <c r="F320" s="3"/>
      <c r="H320" s="1442" t="s">
        <v>2677</v>
      </c>
      <c r="I320" s="1442"/>
      <c r="J320" s="1442"/>
      <c r="K320" s="1442"/>
      <c r="L320" s="1442"/>
      <c r="M320" s="1442"/>
      <c r="N320" s="1442"/>
      <c r="O320" s="1442"/>
      <c r="P320" s="1442"/>
      <c r="Q320" s="1442"/>
      <c r="R320" s="1442"/>
      <c r="S320" s="3"/>
      <c r="T320" s="3" t="s">
        <v>364</v>
      </c>
      <c r="V320" s="3"/>
      <c r="W320" s="3"/>
      <c r="X320" s="3"/>
      <c r="Y320" s="3"/>
      <c r="AA320" s="1442" t="s">
        <v>2701</v>
      </c>
      <c r="AB320" s="1442"/>
      <c r="AC320" s="1442"/>
      <c r="AD320" s="1442"/>
      <c r="AE320" s="1442"/>
      <c r="AF320" s="1442"/>
      <c r="AG320" s="1442"/>
      <c r="AH320" s="1442"/>
      <c r="AI320" s="1442"/>
      <c r="AJ320" s="1442"/>
      <c r="AK320" s="1442"/>
    </row>
    <row r="321" spans="2:37" ht="13" customHeight="1">
      <c r="B321" s="3" t="s">
        <v>470</v>
      </c>
      <c r="C321" s="3"/>
      <c r="D321" s="3"/>
      <c r="E321" s="3"/>
      <c r="F321" s="3"/>
      <c r="H321" s="1457" t="s">
        <v>2678</v>
      </c>
      <c r="I321" s="1457"/>
      <c r="J321" s="1457"/>
      <c r="K321" s="1457"/>
      <c r="L321" s="1457"/>
      <c r="M321" s="1457"/>
      <c r="N321" s="1457"/>
      <c r="O321" s="1457"/>
      <c r="P321" s="1457"/>
      <c r="Q321" s="1457"/>
      <c r="R321" s="1457"/>
      <c r="S321" s="3"/>
      <c r="T321" s="3" t="s">
        <v>470</v>
      </c>
      <c r="V321" s="3"/>
      <c r="W321" s="3"/>
      <c r="X321" s="3"/>
      <c r="Y321" s="3"/>
      <c r="AA321" s="1457"/>
      <c r="AB321" s="1457"/>
      <c r="AC321" s="1457"/>
      <c r="AD321" s="1457"/>
      <c r="AE321" s="1457"/>
      <c r="AF321" s="1457"/>
      <c r="AG321" s="1457"/>
      <c r="AH321" s="1457"/>
      <c r="AI321" s="1457"/>
      <c r="AJ321" s="1457"/>
      <c r="AK321" s="1457"/>
    </row>
    <row r="322" spans="2:37" ht="13" customHeight="1">
      <c r="B322" s="3" t="s">
        <v>471</v>
      </c>
      <c r="C322" s="3"/>
      <c r="D322" s="3"/>
      <c r="E322" s="3"/>
      <c r="F322" s="3"/>
      <c r="H322" s="1457" t="s">
        <v>2679</v>
      </c>
      <c r="I322" s="1457"/>
      <c r="J322" s="1457"/>
      <c r="K322" s="1457"/>
      <c r="L322" s="1457"/>
      <c r="M322" s="1457"/>
      <c r="N322" s="1457"/>
      <c r="O322" s="1457"/>
      <c r="P322" s="1457"/>
      <c r="Q322" s="1457"/>
      <c r="R322" s="1457"/>
      <c r="S322" s="3"/>
      <c r="T322" s="3" t="s">
        <v>75</v>
      </c>
      <c r="V322" s="3"/>
      <c r="W322" s="3"/>
      <c r="X322" s="3"/>
      <c r="Y322" s="3"/>
      <c r="AA322" s="1457"/>
      <c r="AB322" s="1457"/>
      <c r="AC322" s="1457"/>
      <c r="AD322" s="1457"/>
      <c r="AE322" s="1457"/>
      <c r="AF322" s="1457"/>
      <c r="AG322" s="1457"/>
      <c r="AH322" s="1457"/>
      <c r="AI322" s="1457"/>
      <c r="AJ322" s="1457"/>
      <c r="AK322" s="1457"/>
    </row>
    <row r="323" spans="2:37" ht="13" customHeight="1">
      <c r="B323" s="3" t="s">
        <v>87</v>
      </c>
      <c r="C323" s="3"/>
      <c r="D323" s="3"/>
      <c r="E323" s="3"/>
      <c r="F323" s="3"/>
      <c r="H323" s="1457" t="s">
        <v>2680</v>
      </c>
      <c r="I323" s="1457"/>
      <c r="J323" s="1457"/>
      <c r="K323" s="1457"/>
      <c r="L323" s="1457"/>
      <c r="M323" s="1457"/>
      <c r="N323" s="1457"/>
      <c r="O323" s="1457"/>
      <c r="P323" s="1457"/>
      <c r="Q323" s="1457"/>
      <c r="R323" s="1457"/>
      <c r="S323" s="3"/>
      <c r="T323" s="3" t="s">
        <v>87</v>
      </c>
      <c r="V323" s="3"/>
      <c r="W323" s="3"/>
      <c r="X323" s="3"/>
      <c r="Y323" s="3"/>
      <c r="AA323" s="1457"/>
      <c r="AB323" s="1457"/>
      <c r="AC323" s="1457"/>
      <c r="AD323" s="1457"/>
      <c r="AE323" s="1457"/>
      <c r="AF323" s="1457"/>
      <c r="AG323" s="1457"/>
      <c r="AH323" s="1457"/>
      <c r="AI323" s="1457"/>
      <c r="AJ323" s="1457"/>
      <c r="AK323" s="1457"/>
    </row>
    <row r="324" spans="2:37" ht="13" customHeight="1">
      <c r="B324" s="3" t="s">
        <v>88</v>
      </c>
      <c r="C324" s="3"/>
      <c r="D324" s="3"/>
      <c r="E324" s="3"/>
      <c r="F324" s="3"/>
      <c r="G324" s="3"/>
      <c r="H324" s="1517">
        <v>3178196173</v>
      </c>
      <c r="I324" s="1517"/>
      <c r="J324" s="1517"/>
      <c r="K324" s="1517"/>
      <c r="L324" s="1517"/>
      <c r="M324" s="1517"/>
      <c r="N324" s="4" t="s">
        <v>205</v>
      </c>
      <c r="O324" s="4"/>
      <c r="P324" s="1512"/>
      <c r="Q324" s="1512"/>
      <c r="R324" s="1512"/>
      <c r="S324" s="3"/>
      <c r="T324" s="3" t="s">
        <v>88</v>
      </c>
      <c r="V324" s="3"/>
      <c r="W324" s="3"/>
      <c r="X324" s="3"/>
      <c r="Y324" s="3"/>
      <c r="AA324" s="1517"/>
      <c r="AB324" s="1517"/>
      <c r="AC324" s="1517"/>
      <c r="AD324" s="1517"/>
      <c r="AE324" s="1517"/>
      <c r="AF324" s="1517"/>
      <c r="AG324" s="4" t="s">
        <v>205</v>
      </c>
      <c r="AH324" s="4"/>
      <c r="AI324" s="1512"/>
      <c r="AJ324" s="1512"/>
      <c r="AK324" s="1512"/>
    </row>
    <row r="325" spans="2:37" ht="13" customHeight="1">
      <c r="B325" s="3" t="s">
        <v>89</v>
      </c>
      <c r="C325" s="3"/>
      <c r="D325" s="3"/>
      <c r="E325" s="3"/>
      <c r="F325" s="3"/>
      <c r="G325" s="3"/>
      <c r="H325" s="1441"/>
      <c r="I325" s="1441"/>
      <c r="J325" s="1441"/>
      <c r="K325" s="1441"/>
      <c r="L325" s="1441"/>
      <c r="M325" s="1441"/>
      <c r="N325" s="4"/>
      <c r="O325" s="4"/>
      <c r="P325" s="35"/>
      <c r="Q325" s="35"/>
      <c r="R325" s="35"/>
      <c r="S325" s="3"/>
      <c r="T325" s="3" t="s">
        <v>89</v>
      </c>
      <c r="V325" s="3"/>
      <c r="W325" s="3"/>
      <c r="X325" s="3"/>
      <c r="Y325" s="3"/>
      <c r="AA325" s="1441"/>
      <c r="AB325" s="1441"/>
      <c r="AC325" s="1441"/>
      <c r="AD325" s="1441"/>
      <c r="AE325" s="1441"/>
      <c r="AF325" s="1441"/>
      <c r="AG325" s="4"/>
      <c r="AH325" s="4"/>
      <c r="AI325" s="35"/>
      <c r="AJ325" s="35"/>
      <c r="AK325" s="35"/>
    </row>
    <row r="326" spans="2:37" ht="13" customHeight="1">
      <c r="B326" s="3" t="s">
        <v>76</v>
      </c>
      <c r="C326" s="3"/>
      <c r="D326" s="3"/>
      <c r="E326" s="3"/>
      <c r="F326" s="3"/>
      <c r="G326" s="3"/>
      <c r="H326" s="1457" t="s">
        <v>2681</v>
      </c>
      <c r="I326" s="1457"/>
      <c r="J326" s="1457"/>
      <c r="K326" s="1457"/>
      <c r="L326" s="1457"/>
      <c r="M326" s="1457"/>
      <c r="N326" s="1442"/>
      <c r="O326" s="1442"/>
      <c r="P326" s="1442"/>
      <c r="Q326" s="1442"/>
      <c r="R326" s="1442"/>
      <c r="S326" s="3"/>
      <c r="T326" s="3" t="s">
        <v>76</v>
      </c>
      <c r="V326" s="3"/>
      <c r="W326" s="3"/>
      <c r="X326" s="3"/>
      <c r="Y326" s="3"/>
      <c r="AA326" s="1457"/>
      <c r="AB326" s="1457"/>
      <c r="AC326" s="1457"/>
      <c r="AD326" s="1457"/>
      <c r="AE326" s="1457"/>
      <c r="AF326" s="1457"/>
      <c r="AG326" s="1442"/>
      <c r="AH326" s="1442"/>
      <c r="AI326" s="1442"/>
      <c r="AJ326" s="1442"/>
      <c r="AK326" s="1442"/>
    </row>
    <row r="327" spans="2:37" ht="13" customHeight="1"/>
    <row r="328" spans="2:37" ht="13" customHeight="1">
      <c r="B328" s="4" t="s">
        <v>907</v>
      </c>
      <c r="C328" s="3"/>
      <c r="D328" s="3"/>
      <c r="E328" s="3"/>
      <c r="F328" s="3"/>
      <c r="H328" s="1442" t="s">
        <v>2688</v>
      </c>
      <c r="I328" s="1442"/>
      <c r="J328" s="1442"/>
      <c r="K328" s="1442"/>
      <c r="L328" s="1442"/>
      <c r="M328" s="1442"/>
      <c r="N328" s="1442"/>
      <c r="O328" s="1442"/>
      <c r="P328" s="1442"/>
      <c r="Q328" s="1442"/>
      <c r="R328" s="1442"/>
      <c r="T328" s="3" t="s">
        <v>365</v>
      </c>
      <c r="V328" s="3"/>
      <c r="W328" s="3"/>
      <c r="X328" s="3"/>
      <c r="Y328" s="3"/>
      <c r="AA328" s="1442" t="s">
        <v>2694</v>
      </c>
      <c r="AB328" s="1442"/>
      <c r="AC328" s="1442"/>
      <c r="AD328" s="1442"/>
      <c r="AE328" s="1442"/>
      <c r="AF328" s="1442"/>
      <c r="AG328" s="1442"/>
      <c r="AH328" s="1442"/>
      <c r="AI328" s="1442"/>
      <c r="AJ328" s="1442"/>
      <c r="AK328" s="1442"/>
    </row>
    <row r="329" spans="2:37" ht="13" customHeight="1">
      <c r="B329" s="3" t="s">
        <v>470</v>
      </c>
      <c r="C329" s="3"/>
      <c r="D329" s="3"/>
      <c r="E329" s="3"/>
      <c r="F329" s="3"/>
      <c r="H329" s="1457" t="s">
        <v>2689</v>
      </c>
      <c r="I329" s="1457"/>
      <c r="J329" s="1457"/>
      <c r="K329" s="1457"/>
      <c r="L329" s="1457"/>
      <c r="M329" s="1457"/>
      <c r="N329" s="1457"/>
      <c r="O329" s="1457"/>
      <c r="P329" s="1457"/>
      <c r="Q329" s="1457"/>
      <c r="R329" s="1457"/>
      <c r="T329" s="3" t="s">
        <v>470</v>
      </c>
      <c r="V329" s="3"/>
      <c r="W329" s="3"/>
      <c r="X329" s="3"/>
      <c r="Y329" s="3"/>
      <c r="AA329" s="1457" t="s">
        <v>2695</v>
      </c>
      <c r="AB329" s="1457"/>
      <c r="AC329" s="1457"/>
      <c r="AD329" s="1457"/>
      <c r="AE329" s="1457"/>
      <c r="AF329" s="1457"/>
      <c r="AG329" s="1457"/>
      <c r="AH329" s="1457"/>
      <c r="AI329" s="1457"/>
      <c r="AJ329" s="1457"/>
      <c r="AK329" s="1457"/>
    </row>
    <row r="330" spans="2:37" ht="13" customHeight="1">
      <c r="B330" s="3" t="s">
        <v>471</v>
      </c>
      <c r="C330" s="3"/>
      <c r="D330" s="3"/>
      <c r="E330" s="3"/>
      <c r="F330" s="3"/>
      <c r="H330" s="1457" t="s">
        <v>2690</v>
      </c>
      <c r="I330" s="1457"/>
      <c r="J330" s="1457"/>
      <c r="K330" s="1457"/>
      <c r="L330" s="1457"/>
      <c r="M330" s="1457"/>
      <c r="N330" s="1457"/>
      <c r="O330" s="1457"/>
      <c r="P330" s="1457"/>
      <c r="Q330" s="1457"/>
      <c r="R330" s="1457"/>
      <c r="T330" s="3" t="s">
        <v>75</v>
      </c>
      <c r="V330" s="3"/>
      <c r="W330" s="3"/>
      <c r="X330" s="3"/>
      <c r="Y330" s="3"/>
      <c r="AA330" s="1457" t="s">
        <v>2696</v>
      </c>
      <c r="AB330" s="1457"/>
      <c r="AC330" s="1457"/>
      <c r="AD330" s="1457"/>
      <c r="AE330" s="1457"/>
      <c r="AF330" s="1457"/>
      <c r="AG330" s="1457"/>
      <c r="AH330" s="1457"/>
      <c r="AI330" s="1457"/>
      <c r="AJ330" s="1457"/>
      <c r="AK330" s="1457"/>
    </row>
    <row r="331" spans="2:37" ht="13" customHeight="1">
      <c r="B331" s="3" t="s">
        <v>87</v>
      </c>
      <c r="C331" s="3"/>
      <c r="D331" s="3"/>
      <c r="E331" s="3"/>
      <c r="F331" s="3"/>
      <c r="H331" s="1457" t="s">
        <v>2691</v>
      </c>
      <c r="I331" s="1457"/>
      <c r="J331" s="1457"/>
      <c r="K331" s="1457"/>
      <c r="L331" s="1457"/>
      <c r="M331" s="1457"/>
      <c r="N331" s="1457"/>
      <c r="O331" s="1457"/>
      <c r="P331" s="1457"/>
      <c r="Q331" s="1457"/>
      <c r="R331" s="1457"/>
      <c r="T331" s="3" t="s">
        <v>87</v>
      </c>
      <c r="V331" s="3"/>
      <c r="W331" s="3"/>
      <c r="X331" s="3"/>
      <c r="Y331" s="3"/>
      <c r="AA331" s="1457" t="s">
        <v>2697</v>
      </c>
      <c r="AB331" s="1457"/>
      <c r="AC331" s="1457"/>
      <c r="AD331" s="1457"/>
      <c r="AE331" s="1457"/>
      <c r="AF331" s="1457"/>
      <c r="AG331" s="1457"/>
      <c r="AH331" s="1457"/>
      <c r="AI331" s="1457"/>
      <c r="AJ331" s="1457"/>
      <c r="AK331" s="1457"/>
    </row>
    <row r="332" spans="2:37" ht="13" customHeight="1">
      <c r="B332" s="3" t="s">
        <v>88</v>
      </c>
      <c r="C332" s="3"/>
      <c r="D332" s="3"/>
      <c r="E332" s="3"/>
      <c r="F332" s="3"/>
      <c r="G332" s="3"/>
      <c r="H332" s="1517" t="s">
        <v>2692</v>
      </c>
      <c r="I332" s="1517"/>
      <c r="J332" s="1517"/>
      <c r="K332" s="1517"/>
      <c r="L332" s="1517"/>
      <c r="M332" s="1517"/>
      <c r="N332" s="4" t="s">
        <v>205</v>
      </c>
      <c r="O332" s="4"/>
      <c r="P332" s="1512"/>
      <c r="Q332" s="1512"/>
      <c r="R332" s="1512"/>
      <c r="S332" s="3"/>
      <c r="T332" s="3" t="s">
        <v>88</v>
      </c>
      <c r="V332" s="3"/>
      <c r="W332" s="3"/>
      <c r="X332" s="3"/>
      <c r="Y332" s="3"/>
      <c r="AA332" s="1517" t="s">
        <v>2698</v>
      </c>
      <c r="AB332" s="1517"/>
      <c r="AC332" s="1517"/>
      <c r="AD332" s="1517"/>
      <c r="AE332" s="1517"/>
      <c r="AF332" s="1517"/>
      <c r="AG332" s="4" t="s">
        <v>205</v>
      </c>
      <c r="AH332" s="4"/>
      <c r="AI332" s="1512"/>
      <c r="AJ332" s="1512"/>
      <c r="AK332" s="1512"/>
    </row>
    <row r="333" spans="2:37" ht="13" customHeight="1">
      <c r="B333" s="3" t="s">
        <v>89</v>
      </c>
      <c r="C333" s="3"/>
      <c r="D333" s="3"/>
      <c r="E333" s="3"/>
      <c r="F333" s="3"/>
      <c r="G333" s="3"/>
      <c r="H333" s="1441"/>
      <c r="I333" s="1441"/>
      <c r="J333" s="1441"/>
      <c r="K333" s="1441"/>
      <c r="L333" s="1441"/>
      <c r="M333" s="1441"/>
      <c r="N333" s="4"/>
      <c r="O333" s="4"/>
      <c r="P333" s="35"/>
      <c r="Q333" s="35"/>
      <c r="R333" s="35"/>
      <c r="S333" s="3"/>
      <c r="T333" s="3" t="s">
        <v>89</v>
      </c>
      <c r="V333" s="3"/>
      <c r="W333" s="3"/>
      <c r="X333" s="3"/>
      <c r="Y333" s="3"/>
      <c r="AA333" s="1441" t="s">
        <v>2699</v>
      </c>
      <c r="AB333" s="1441"/>
      <c r="AC333" s="1441"/>
      <c r="AD333" s="1441"/>
      <c r="AE333" s="1441"/>
      <c r="AF333" s="1441"/>
      <c r="AG333" s="4"/>
      <c r="AH333" s="4"/>
      <c r="AI333" s="35"/>
      <c r="AJ333" s="35"/>
      <c r="AK333" s="35"/>
    </row>
    <row r="334" spans="2:37" ht="13" customHeight="1">
      <c r="B334" s="3" t="s">
        <v>76</v>
      </c>
      <c r="C334" s="3"/>
      <c r="D334" s="3"/>
      <c r="E334" s="3"/>
      <c r="F334" s="3"/>
      <c r="G334" s="3"/>
      <c r="H334" s="1457" t="s">
        <v>2693</v>
      </c>
      <c r="I334" s="1457"/>
      <c r="J334" s="1457"/>
      <c r="K334" s="1457"/>
      <c r="L334" s="1457"/>
      <c r="M334" s="1457"/>
      <c r="N334" s="1442"/>
      <c r="O334" s="1442"/>
      <c r="P334" s="1442"/>
      <c r="Q334" s="1442"/>
      <c r="R334" s="1442"/>
      <c r="S334" s="3"/>
      <c r="T334" s="3" t="s">
        <v>76</v>
      </c>
      <c r="V334" s="3"/>
      <c r="W334" s="3"/>
      <c r="X334" s="3"/>
      <c r="Y334" s="3"/>
      <c r="AA334" s="1457" t="s">
        <v>2700</v>
      </c>
      <c r="AB334" s="1457"/>
      <c r="AC334" s="1457"/>
      <c r="AD334" s="1457"/>
      <c r="AE334" s="1457"/>
      <c r="AF334" s="1457"/>
      <c r="AG334" s="1442"/>
      <c r="AH334" s="1442"/>
      <c r="AI334" s="1442"/>
      <c r="AJ334" s="1442"/>
      <c r="AK334" s="1442"/>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366</v>
      </c>
      <c r="C336" s="3"/>
      <c r="D336" s="3"/>
      <c r="E336" s="3"/>
      <c r="F336" s="3"/>
      <c r="H336" s="1442" t="s">
        <v>2694</v>
      </c>
      <c r="I336" s="1442"/>
      <c r="J336" s="1442"/>
      <c r="K336" s="1442"/>
      <c r="L336" s="1442"/>
      <c r="M336" s="1442"/>
      <c r="N336" s="1442"/>
      <c r="O336" s="1442"/>
      <c r="P336" s="1442"/>
      <c r="Q336" s="1442"/>
      <c r="R336" s="1442"/>
      <c r="T336" s="3" t="s">
        <v>367</v>
      </c>
      <c r="V336" s="3"/>
      <c r="W336" s="3"/>
      <c r="X336" s="3"/>
      <c r="Y336" s="3"/>
      <c r="AA336" s="1442" t="s">
        <v>2682</v>
      </c>
      <c r="AB336" s="1442"/>
      <c r="AC336" s="1442"/>
      <c r="AD336" s="1442"/>
      <c r="AE336" s="1442"/>
      <c r="AF336" s="1442"/>
      <c r="AG336" s="1442"/>
      <c r="AH336" s="1442"/>
      <c r="AI336" s="1442"/>
      <c r="AJ336" s="1442"/>
      <c r="AK336" s="1442"/>
    </row>
    <row r="337" spans="2:66" ht="13" customHeight="1">
      <c r="B337" s="3" t="s">
        <v>470</v>
      </c>
      <c r="C337" s="3"/>
      <c r="D337" s="3"/>
      <c r="E337" s="3"/>
      <c r="F337" s="3"/>
      <c r="H337" s="1457" t="s">
        <v>2695</v>
      </c>
      <c r="I337" s="1457"/>
      <c r="J337" s="1457"/>
      <c r="K337" s="1457"/>
      <c r="L337" s="1457"/>
      <c r="M337" s="1457"/>
      <c r="N337" s="1457"/>
      <c r="O337" s="1457"/>
      <c r="P337" s="1457"/>
      <c r="Q337" s="1457"/>
      <c r="R337" s="1457"/>
      <c r="T337" s="3" t="s">
        <v>470</v>
      </c>
      <c r="V337" s="3"/>
      <c r="W337" s="3"/>
      <c r="X337" s="3"/>
      <c r="Y337" s="3"/>
      <c r="AA337" s="1457" t="s">
        <v>2683</v>
      </c>
      <c r="AB337" s="1457"/>
      <c r="AC337" s="1457"/>
      <c r="AD337" s="1457"/>
      <c r="AE337" s="1457"/>
      <c r="AF337" s="1457"/>
      <c r="AG337" s="1457"/>
      <c r="AH337" s="1457"/>
      <c r="AI337" s="1457"/>
      <c r="AJ337" s="1457"/>
      <c r="AK337" s="1457"/>
    </row>
    <row r="338" spans="2:66" ht="13" customHeight="1">
      <c r="B338" s="3" t="s">
        <v>471</v>
      </c>
      <c r="C338" s="3"/>
      <c r="D338" s="3"/>
      <c r="E338" s="3"/>
      <c r="F338" s="3"/>
      <c r="H338" s="1457" t="s">
        <v>2696</v>
      </c>
      <c r="I338" s="1457"/>
      <c r="J338" s="1457"/>
      <c r="K338" s="1457"/>
      <c r="L338" s="1457"/>
      <c r="M338" s="1457"/>
      <c r="N338" s="1457"/>
      <c r="O338" s="1457"/>
      <c r="P338" s="1457"/>
      <c r="Q338" s="1457"/>
      <c r="R338" s="1457"/>
      <c r="T338" s="3" t="s">
        <v>75</v>
      </c>
      <c r="V338" s="3"/>
      <c r="W338" s="3"/>
      <c r="X338" s="3"/>
      <c r="Y338" s="3"/>
      <c r="AA338" s="1457" t="s">
        <v>2684</v>
      </c>
      <c r="AB338" s="1457"/>
      <c r="AC338" s="1457"/>
      <c r="AD338" s="1457"/>
      <c r="AE338" s="1457"/>
      <c r="AF338" s="1457"/>
      <c r="AG338" s="1457"/>
      <c r="AH338" s="1457"/>
      <c r="AI338" s="1457"/>
      <c r="AJ338" s="1457"/>
      <c r="AK338" s="1457"/>
    </row>
    <row r="339" spans="2:66" ht="13" customHeight="1">
      <c r="B339" s="3" t="s">
        <v>87</v>
      </c>
      <c r="C339" s="3"/>
      <c r="D339" s="3"/>
      <c r="E339" s="3"/>
      <c r="F339" s="3"/>
      <c r="H339" s="1457" t="s">
        <v>2697</v>
      </c>
      <c r="I339" s="1457"/>
      <c r="J339" s="1457"/>
      <c r="K339" s="1457"/>
      <c r="L339" s="1457"/>
      <c r="M339" s="1457"/>
      <c r="N339" s="1457"/>
      <c r="O339" s="1457"/>
      <c r="P339" s="1457"/>
      <c r="Q339" s="1457"/>
      <c r="R339" s="1457"/>
      <c r="T339" s="3" t="s">
        <v>87</v>
      </c>
      <c r="V339" s="3"/>
      <c r="W339" s="3"/>
      <c r="X339" s="3"/>
      <c r="Y339" s="3"/>
      <c r="AA339" s="1457" t="s">
        <v>2685</v>
      </c>
      <c r="AB339" s="1457"/>
      <c r="AC339" s="1457"/>
      <c r="AD339" s="1457"/>
      <c r="AE339" s="1457"/>
      <c r="AF339" s="1457"/>
      <c r="AG339" s="1457"/>
      <c r="AH339" s="1457"/>
      <c r="AI339" s="1457"/>
      <c r="AJ339" s="1457"/>
      <c r="AK339" s="1457"/>
    </row>
    <row r="340" spans="2:66" ht="13" customHeight="1">
      <c r="B340" s="3" t="s">
        <v>88</v>
      </c>
      <c r="C340" s="3"/>
      <c r="D340" s="3"/>
      <c r="E340" s="3"/>
      <c r="F340" s="3"/>
      <c r="G340" s="3"/>
      <c r="H340" s="1517" t="s">
        <v>2698</v>
      </c>
      <c r="I340" s="1517"/>
      <c r="J340" s="1517"/>
      <c r="K340" s="1517"/>
      <c r="L340" s="1517"/>
      <c r="M340" s="1517"/>
      <c r="N340" s="4" t="s">
        <v>205</v>
      </c>
      <c r="O340" s="4"/>
      <c r="P340" s="1512"/>
      <c r="Q340" s="1512"/>
      <c r="R340" s="1512"/>
      <c r="S340" s="3"/>
      <c r="T340" s="3" t="s">
        <v>88</v>
      </c>
      <c r="V340" s="3"/>
      <c r="W340" s="3"/>
      <c r="X340" s="3"/>
      <c r="Y340" s="3"/>
      <c r="AA340" s="1517" t="s">
        <v>2686</v>
      </c>
      <c r="AB340" s="1517"/>
      <c r="AC340" s="1517"/>
      <c r="AD340" s="1517"/>
      <c r="AE340" s="1517"/>
      <c r="AF340" s="1517"/>
      <c r="AG340" s="4" t="s">
        <v>205</v>
      </c>
      <c r="AH340" s="4"/>
      <c r="AI340" s="1512"/>
      <c r="AJ340" s="1512"/>
      <c r="AK340" s="1512"/>
    </row>
    <row r="341" spans="2:66" ht="13" customHeight="1">
      <c r="B341" s="3" t="s">
        <v>89</v>
      </c>
      <c r="C341" s="3"/>
      <c r="D341" s="3"/>
      <c r="E341" s="3"/>
      <c r="F341" s="3"/>
      <c r="G341" s="3"/>
      <c r="H341" s="1441" t="s">
        <v>2699</v>
      </c>
      <c r="I341" s="1441"/>
      <c r="J341" s="1441"/>
      <c r="K341" s="1441"/>
      <c r="L341" s="1441"/>
      <c r="M341" s="1441"/>
      <c r="N341" s="4"/>
      <c r="O341" s="4"/>
      <c r="P341" s="35"/>
      <c r="Q341" s="35"/>
      <c r="R341" s="35"/>
      <c r="S341" s="3"/>
      <c r="T341" s="3" t="s">
        <v>89</v>
      </c>
      <c r="V341" s="3"/>
      <c r="W341" s="3"/>
      <c r="X341" s="3"/>
      <c r="Y341" s="3"/>
      <c r="AA341" s="1441"/>
      <c r="AB341" s="1441"/>
      <c r="AC341" s="1441"/>
      <c r="AD341" s="1441"/>
      <c r="AE341" s="1441"/>
      <c r="AF341" s="1441"/>
      <c r="AG341" s="4"/>
      <c r="AH341" s="4"/>
      <c r="AI341" s="35"/>
      <c r="AJ341" s="35"/>
      <c r="AK341" s="35"/>
    </row>
    <row r="342" spans="2:66" ht="13" customHeight="1">
      <c r="B342" s="3" t="s">
        <v>76</v>
      </c>
      <c r="C342" s="3"/>
      <c r="D342" s="3"/>
      <c r="E342" s="3"/>
      <c r="F342" s="3"/>
      <c r="G342" s="3"/>
      <c r="H342" s="1457" t="s">
        <v>2700</v>
      </c>
      <c r="I342" s="1457"/>
      <c r="J342" s="1457"/>
      <c r="K342" s="1457"/>
      <c r="L342" s="1457"/>
      <c r="M342" s="1457"/>
      <c r="N342" s="1442"/>
      <c r="O342" s="1442"/>
      <c r="P342" s="1442"/>
      <c r="Q342" s="1442"/>
      <c r="R342" s="1442"/>
      <c r="S342" s="3"/>
      <c r="T342" s="3" t="s">
        <v>76</v>
      </c>
      <c r="V342" s="3"/>
      <c r="W342" s="3"/>
      <c r="X342" s="3"/>
      <c r="Y342" s="3"/>
      <c r="AA342" s="1457" t="s">
        <v>2687</v>
      </c>
      <c r="AB342" s="1457"/>
      <c r="AC342" s="1457"/>
      <c r="AD342" s="1457"/>
      <c r="AE342" s="1457"/>
      <c r="AF342" s="1457"/>
      <c r="AG342" s="1442"/>
      <c r="AH342" s="1442"/>
      <c r="AI342" s="1442"/>
      <c r="AJ342" s="1442"/>
      <c r="AK342" s="1442"/>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328</v>
      </c>
      <c r="C344" s="3"/>
      <c r="D344" s="3"/>
      <c r="E344" s="3"/>
      <c r="F344" s="3"/>
      <c r="H344" s="1442" t="s">
        <v>2702</v>
      </c>
      <c r="I344" s="1442"/>
      <c r="J344" s="1442"/>
      <c r="K344" s="1442"/>
      <c r="L344" s="1442"/>
      <c r="M344" s="1442"/>
      <c r="N344" s="1442"/>
      <c r="O344" s="1442"/>
      <c r="P344" s="1442"/>
      <c r="Q344" s="1442"/>
      <c r="R344" s="1442"/>
      <c r="T344" s="204" t="s">
        <v>885</v>
      </c>
      <c r="V344" s="3"/>
      <c r="W344" s="3"/>
      <c r="X344" s="3"/>
      <c r="Y344" s="3"/>
      <c r="AA344" s="1442" t="s">
        <v>2656</v>
      </c>
      <c r="AB344" s="1442"/>
      <c r="AC344" s="1442"/>
      <c r="AD344" s="1442"/>
      <c r="AE344" s="1442"/>
      <c r="AF344" s="1442"/>
      <c r="AG344" s="1442"/>
      <c r="AH344" s="1442"/>
      <c r="AI344" s="1442"/>
      <c r="AJ344" s="1442"/>
      <c r="AK344" s="1442"/>
    </row>
    <row r="345" spans="2:66" ht="13" customHeight="1">
      <c r="B345" s="3" t="s">
        <v>470</v>
      </c>
      <c r="C345" s="3"/>
      <c r="D345" s="3"/>
      <c r="E345" s="3"/>
      <c r="F345" s="3"/>
      <c r="H345" s="1457" t="s">
        <v>2703</v>
      </c>
      <c r="I345" s="1457"/>
      <c r="J345" s="1457"/>
      <c r="K345" s="1457"/>
      <c r="L345" s="1457"/>
      <c r="M345" s="1457"/>
      <c r="N345" s="1457"/>
      <c r="O345" s="1457"/>
      <c r="P345" s="1457"/>
      <c r="Q345" s="1457"/>
      <c r="R345" s="1457"/>
      <c r="T345" s="3" t="s">
        <v>470</v>
      </c>
      <c r="V345" s="3"/>
      <c r="W345" s="3"/>
      <c r="X345" s="3"/>
      <c r="Y345" s="3"/>
      <c r="AA345" s="1457" t="s">
        <v>2651</v>
      </c>
      <c r="AB345" s="1457"/>
      <c r="AC345" s="1457"/>
      <c r="AD345" s="1457"/>
      <c r="AE345" s="1457"/>
      <c r="AF345" s="1457"/>
      <c r="AG345" s="1457"/>
      <c r="AH345" s="1457"/>
      <c r="AI345" s="1457"/>
      <c r="AJ345" s="1457"/>
      <c r="AK345" s="1457"/>
    </row>
    <row r="346" spans="2:66" ht="13" customHeight="1">
      <c r="B346" s="3" t="s">
        <v>75</v>
      </c>
      <c r="C346" s="3"/>
      <c r="D346" s="3"/>
      <c r="E346" s="3"/>
      <c r="F346" s="3"/>
      <c r="H346" s="1457" t="s">
        <v>2704</v>
      </c>
      <c r="I346" s="1457"/>
      <c r="J346" s="1457"/>
      <c r="K346" s="1457"/>
      <c r="L346" s="1457"/>
      <c r="M346" s="1457"/>
      <c r="N346" s="1457"/>
      <c r="O346" s="1457"/>
      <c r="P346" s="1457"/>
      <c r="Q346" s="1457"/>
      <c r="R346" s="1457"/>
      <c r="T346" s="3" t="s">
        <v>75</v>
      </c>
      <c r="V346" s="3"/>
      <c r="W346" s="3"/>
      <c r="X346" s="3"/>
      <c r="Y346" s="3"/>
      <c r="AA346" s="1457" t="s">
        <v>2661</v>
      </c>
      <c r="AB346" s="1457"/>
      <c r="AC346" s="1457"/>
      <c r="AD346" s="1457"/>
      <c r="AE346" s="1457"/>
      <c r="AF346" s="1457"/>
      <c r="AG346" s="1457"/>
      <c r="AH346" s="1457"/>
      <c r="AI346" s="1457"/>
      <c r="AJ346" s="1457"/>
      <c r="AK346" s="1457"/>
    </row>
    <row r="347" spans="2:66" ht="13" customHeight="1">
      <c r="B347" s="3" t="s">
        <v>87</v>
      </c>
      <c r="C347" s="3"/>
      <c r="D347" s="3"/>
      <c r="E347" s="3"/>
      <c r="F347" s="3"/>
      <c r="G347" s="3"/>
      <c r="H347" s="1457" t="s">
        <v>2705</v>
      </c>
      <c r="I347" s="1457"/>
      <c r="J347" s="1457"/>
      <c r="K347" s="1457"/>
      <c r="L347" s="1457"/>
      <c r="M347" s="1457"/>
      <c r="N347" s="1457"/>
      <c r="O347" s="1457"/>
      <c r="P347" s="1457"/>
      <c r="Q347" s="1457"/>
      <c r="R347" s="1457"/>
      <c r="T347" s="3" t="s">
        <v>87</v>
      </c>
      <c r="V347" s="3"/>
      <c r="W347" s="3"/>
      <c r="X347" s="3"/>
      <c r="Y347" s="3"/>
      <c r="AA347" s="1457" t="s">
        <v>2707</v>
      </c>
      <c r="AB347" s="1457"/>
      <c r="AC347" s="1457"/>
      <c r="AD347" s="1457"/>
      <c r="AE347" s="1457"/>
      <c r="AF347" s="1457"/>
      <c r="AG347" s="1457"/>
      <c r="AH347" s="1457"/>
      <c r="AI347" s="1457"/>
      <c r="AJ347" s="1457"/>
      <c r="AK347" s="1457"/>
    </row>
    <row r="348" spans="2:66" ht="13" customHeight="1">
      <c r="B348" s="3" t="s">
        <v>88</v>
      </c>
      <c r="C348" s="3"/>
      <c r="D348" s="3"/>
      <c r="E348" s="3"/>
      <c r="F348" s="3"/>
      <c r="G348" s="3"/>
      <c r="H348" s="1517">
        <v>7609301333</v>
      </c>
      <c r="I348" s="1517"/>
      <c r="J348" s="1517"/>
      <c r="K348" s="1517"/>
      <c r="L348" s="1517"/>
      <c r="M348" s="1517"/>
      <c r="N348" s="4" t="s">
        <v>205</v>
      </c>
      <c r="O348" s="4"/>
      <c r="P348" s="1512"/>
      <c r="Q348" s="1512"/>
      <c r="R348" s="1512"/>
      <c r="S348" s="3"/>
      <c r="T348" s="3" t="s">
        <v>88</v>
      </c>
      <c r="V348" s="3"/>
      <c r="W348" s="3"/>
      <c r="X348" s="3"/>
      <c r="Y348" s="3"/>
      <c r="AA348" s="1517">
        <v>9259247182</v>
      </c>
      <c r="AB348" s="1517"/>
      <c r="AC348" s="1517"/>
      <c r="AD348" s="1517"/>
      <c r="AE348" s="1517"/>
      <c r="AF348" s="1517"/>
      <c r="AG348" s="4" t="s">
        <v>205</v>
      </c>
      <c r="AH348" s="4"/>
      <c r="AI348" s="1512"/>
      <c r="AJ348" s="1512"/>
      <c r="AK348" s="1512"/>
    </row>
    <row r="349" spans="2:66" ht="13" customHeight="1">
      <c r="B349" s="3" t="s">
        <v>89</v>
      </c>
      <c r="C349" s="3"/>
      <c r="D349" s="3"/>
      <c r="E349" s="3"/>
      <c r="F349" s="3"/>
      <c r="G349" s="3"/>
      <c r="H349" s="1441">
        <v>7606833390</v>
      </c>
      <c r="I349" s="1441"/>
      <c r="J349" s="1441"/>
      <c r="K349" s="1441"/>
      <c r="L349" s="1441"/>
      <c r="M349" s="1441"/>
      <c r="N349" s="4"/>
      <c r="O349" s="4"/>
      <c r="P349" s="35"/>
      <c r="Q349" s="35"/>
      <c r="R349" s="35"/>
      <c r="S349" s="3"/>
      <c r="T349" s="3" t="s">
        <v>89</v>
      </c>
      <c r="V349" s="3"/>
      <c r="W349" s="3"/>
      <c r="X349" s="3"/>
      <c r="Y349" s="3"/>
      <c r="AA349" s="1441"/>
      <c r="AB349" s="1441"/>
      <c r="AC349" s="1441"/>
      <c r="AD349" s="1441"/>
      <c r="AE349" s="1441"/>
      <c r="AF349" s="1441"/>
      <c r="AG349" s="4"/>
      <c r="AH349" s="4"/>
      <c r="AI349" s="35"/>
      <c r="AJ349" s="35"/>
      <c r="AK349" s="35"/>
    </row>
    <row r="350" spans="2:66" ht="13" customHeight="1">
      <c r="B350" s="3" t="s">
        <v>76</v>
      </c>
      <c r="C350" s="3"/>
      <c r="D350" s="3"/>
      <c r="E350" s="3"/>
      <c r="F350" s="3"/>
      <c r="G350" s="3"/>
      <c r="H350" s="1457" t="s">
        <v>2706</v>
      </c>
      <c r="I350" s="1457"/>
      <c r="J350" s="1457"/>
      <c r="K350" s="1457"/>
      <c r="L350" s="1457"/>
      <c r="M350" s="1457"/>
      <c r="N350" s="1442"/>
      <c r="O350" s="1442"/>
      <c r="P350" s="1442"/>
      <c r="Q350" s="1442"/>
      <c r="R350" s="1442"/>
      <c r="S350" s="3"/>
      <c r="T350" s="3" t="s">
        <v>76</v>
      </c>
      <c r="V350" s="3"/>
      <c r="W350" s="3"/>
      <c r="X350" s="3"/>
      <c r="Y350" s="3"/>
      <c r="AA350" s="1457" t="s">
        <v>2708</v>
      </c>
      <c r="AB350" s="1457"/>
      <c r="AC350" s="1457"/>
      <c r="AD350" s="1457"/>
      <c r="AE350" s="1457"/>
      <c r="AF350" s="1457"/>
      <c r="AG350" s="1442"/>
      <c r="AH350" s="1442"/>
      <c r="AI350" s="1442"/>
      <c r="AJ350" s="1442"/>
      <c r="AK350" s="1442"/>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 customHeight="1">
      <c r="B352" s="3"/>
      <c r="C352" s="4"/>
      <c r="D352" s="4"/>
      <c r="E352" s="4"/>
      <c r="F352" s="4"/>
      <c r="I352" s="204" t="s">
        <v>886</v>
      </c>
      <c r="P352" s="1442"/>
      <c r="Q352" s="1442"/>
      <c r="R352" s="1442"/>
      <c r="S352" s="1442"/>
      <c r="T352" s="1442"/>
      <c r="U352" s="1442"/>
      <c r="V352" s="1442"/>
      <c r="W352" s="1442"/>
      <c r="X352" s="1442"/>
      <c r="Y352" s="1442"/>
      <c r="Z352" s="1442"/>
      <c r="AA352" s="1442"/>
      <c r="AB352" s="1442"/>
      <c r="AC352" s="1442"/>
      <c r="AD352" s="1442"/>
      <c r="AE352" s="1442"/>
      <c r="BN352" t="s">
        <v>668</v>
      </c>
    </row>
    <row r="353" spans="1:66" ht="13" customHeight="1">
      <c r="B353" s="4"/>
      <c r="C353" s="4"/>
      <c r="D353" s="4"/>
      <c r="E353" s="4"/>
      <c r="F353" s="4"/>
      <c r="I353" s="4" t="s">
        <v>470</v>
      </c>
      <c r="P353" s="1457"/>
      <c r="Q353" s="1457"/>
      <c r="R353" s="1457"/>
      <c r="S353" s="1457"/>
      <c r="T353" s="1457"/>
      <c r="U353" s="1457"/>
      <c r="V353" s="1457"/>
      <c r="W353" s="1457"/>
      <c r="X353" s="1457"/>
      <c r="Y353" s="1457"/>
      <c r="Z353" s="1457"/>
      <c r="AA353" s="1457"/>
      <c r="AB353" s="1457"/>
      <c r="AC353" s="1457"/>
      <c r="AD353" s="1457"/>
      <c r="AE353" s="1457"/>
      <c r="BN353" t="s">
        <v>544</v>
      </c>
    </row>
    <row r="354" spans="1:66" ht="13" customHeight="1">
      <c r="B354" s="4"/>
      <c r="C354" s="4"/>
      <c r="D354" s="4"/>
      <c r="E354" s="4"/>
      <c r="F354" s="4"/>
      <c r="I354" s="4" t="s">
        <v>75</v>
      </c>
      <c r="P354" s="1457"/>
      <c r="Q354" s="1457"/>
      <c r="R354" s="1457"/>
      <c r="S354" s="1457"/>
      <c r="T354" s="1457"/>
      <c r="U354" s="1457"/>
      <c r="V354" s="1457"/>
      <c r="W354" s="1457"/>
      <c r="X354" s="1457"/>
      <c r="Y354" s="1457"/>
      <c r="Z354" s="1457"/>
      <c r="AA354" s="1457"/>
      <c r="AB354" s="1457"/>
      <c r="AC354" s="1457"/>
      <c r="AD354" s="1457"/>
      <c r="AE354" s="1457"/>
    </row>
    <row r="355" spans="1:66" ht="13" customHeight="1">
      <c r="B355" s="4"/>
      <c r="C355" s="4"/>
      <c r="D355" s="4"/>
      <c r="E355" s="4"/>
      <c r="F355" s="4"/>
      <c r="G355" s="4"/>
      <c r="I355" s="4" t="s">
        <v>87</v>
      </c>
      <c r="P355" s="1457"/>
      <c r="Q355" s="1457"/>
      <c r="R355" s="1457"/>
      <c r="S355" s="1457"/>
      <c r="T355" s="1457"/>
      <c r="U355" s="1457"/>
      <c r="V355" s="1457"/>
      <c r="W355" s="1457"/>
      <c r="X355" s="1457"/>
      <c r="Y355" s="1457"/>
      <c r="Z355" s="1457"/>
      <c r="AA355" s="1457"/>
      <c r="AB355" s="1457"/>
      <c r="AC355" s="1457"/>
      <c r="AD355" s="1457"/>
      <c r="AE355" s="1457"/>
    </row>
    <row r="356" spans="1:66" ht="13" customHeight="1">
      <c r="B356" s="4"/>
      <c r="C356" s="4"/>
      <c r="D356" s="4"/>
      <c r="E356" s="4"/>
      <c r="F356" s="4"/>
      <c r="G356" s="4"/>
      <c r="H356" s="302"/>
      <c r="I356" s="4" t="s">
        <v>88</v>
      </c>
      <c r="P356" s="1441"/>
      <c r="Q356" s="1441"/>
      <c r="R356" s="1441"/>
      <c r="S356" s="1441"/>
      <c r="T356" s="1441"/>
      <c r="U356" s="1441"/>
      <c r="V356" s="1441"/>
      <c r="W356" s="1441"/>
      <c r="X356" s="1441"/>
      <c r="Y356" s="1441"/>
      <c r="Z356" s="1441"/>
      <c r="AA356" s="4" t="s">
        <v>205</v>
      </c>
      <c r="AB356" s="4"/>
      <c r="AC356" s="1453"/>
      <c r="AD356" s="1453"/>
      <c r="AE356" s="1453"/>
      <c r="AF356" s="302"/>
      <c r="AG356" s="4"/>
      <c r="AH356" s="4"/>
      <c r="AI356" s="4"/>
      <c r="AJ356" s="4"/>
      <c r="AK356" s="4"/>
    </row>
    <row r="357" spans="1:66" ht="13" customHeight="1">
      <c r="B357" s="4"/>
      <c r="C357" s="4"/>
      <c r="D357" s="4"/>
      <c r="E357" s="4"/>
      <c r="F357" s="4"/>
      <c r="G357" s="4"/>
      <c r="H357" s="302"/>
      <c r="I357" s="4" t="s">
        <v>89</v>
      </c>
      <c r="P357" s="1441"/>
      <c r="Q357" s="1441"/>
      <c r="R357" s="1441"/>
      <c r="S357" s="1441"/>
      <c r="T357" s="1441"/>
      <c r="U357" s="1441"/>
      <c r="V357" s="1441"/>
      <c r="W357" s="1441"/>
      <c r="X357" s="1441"/>
      <c r="Y357" s="1441"/>
      <c r="Z357" s="1441"/>
      <c r="AF357" s="302"/>
      <c r="AG357" s="4"/>
      <c r="AH357" s="4"/>
      <c r="AI357" s="35"/>
      <c r="AJ357" s="35"/>
      <c r="AK357" s="35"/>
    </row>
    <row r="358" spans="1:66" ht="13" customHeight="1">
      <c r="B358" s="4"/>
      <c r="C358" s="4"/>
      <c r="D358" s="4"/>
      <c r="E358" s="4"/>
      <c r="F358" s="4"/>
      <c r="G358" s="4"/>
      <c r="I358" s="4" t="s">
        <v>76</v>
      </c>
      <c r="P358" s="1442"/>
      <c r="Q358" s="1442"/>
      <c r="R358" s="1442"/>
      <c r="S358" s="1442"/>
      <c r="T358" s="1442"/>
      <c r="U358" s="1442"/>
      <c r="V358" s="1442"/>
      <c r="W358" s="1442"/>
      <c r="X358" s="1442"/>
      <c r="Y358" s="1442"/>
      <c r="Z358" s="1442"/>
      <c r="AA358" s="1442"/>
      <c r="AB358" s="1442"/>
      <c r="AC358" s="1442"/>
      <c r="AD358" s="1442"/>
      <c r="AE358" s="1442"/>
    </row>
    <row r="359" spans="1:66" ht="13" customHeight="1">
      <c r="T359" s="8"/>
      <c r="U359" s="8"/>
      <c r="V359" s="8"/>
      <c r="W359" s="8"/>
      <c r="X359" s="8"/>
      <c r="Y359" s="8"/>
      <c r="Z359" s="8"/>
      <c r="AU359" s="95"/>
      <c r="AV359" s="95"/>
      <c r="AW359" s="95"/>
      <c r="AX359" s="95"/>
      <c r="AY359" s="95"/>
    </row>
    <row r="360" spans="1:66" ht="13" customHeight="1">
      <c r="A360" s="1516" t="s">
        <v>541</v>
      </c>
      <c r="B360" s="1516"/>
      <c r="C360" s="1516"/>
      <c r="D360" s="1516"/>
      <c r="E360" s="1516"/>
      <c r="F360" s="1516"/>
      <c r="G360" s="1516"/>
      <c r="H360" s="1516"/>
      <c r="I360" s="1516"/>
      <c r="J360" s="1516"/>
      <c r="K360" s="1516"/>
      <c r="L360" s="1516"/>
      <c r="M360" s="1516"/>
      <c r="N360" s="1516"/>
      <c r="O360" s="1516"/>
      <c r="P360" s="1516"/>
      <c r="Q360" s="1516"/>
      <c r="R360" s="1516"/>
      <c r="S360" s="1516"/>
      <c r="T360" s="1516"/>
      <c r="U360" s="1516"/>
      <c r="V360" s="1516"/>
      <c r="W360" s="1516"/>
      <c r="X360" s="1516"/>
      <c r="Y360" s="1516"/>
      <c r="Z360" s="1516"/>
      <c r="AA360" s="1516"/>
      <c r="AB360" s="1516"/>
      <c r="AC360" s="1516"/>
      <c r="AD360" s="1516"/>
      <c r="AE360" s="1516"/>
      <c r="AF360" s="1516"/>
      <c r="AG360" s="1516"/>
      <c r="AH360" s="1516"/>
      <c r="AI360" s="1516"/>
      <c r="AJ360" s="1516"/>
      <c r="AK360" s="1516"/>
      <c r="AL360" s="1516"/>
      <c r="AM360" s="1516"/>
      <c r="AN360" s="1516"/>
      <c r="AO360" s="1516"/>
      <c r="AP360" s="1516"/>
      <c r="AQ360" s="1516"/>
      <c r="AR360" s="1516"/>
      <c r="AS360" s="1516"/>
      <c r="AT360" s="1516"/>
      <c r="AU360" s="95"/>
      <c r="AV360" s="95"/>
      <c r="AW360" s="95"/>
      <c r="AX360" s="95"/>
      <c r="AY360" s="95"/>
    </row>
    <row r="361" spans="1:66" ht="13" customHeight="1">
      <c r="A361" s="1516"/>
      <c r="B361" s="1516"/>
      <c r="C361" s="1516"/>
      <c r="D361" s="1516"/>
      <c r="E361" s="1516"/>
      <c r="F361" s="1516"/>
      <c r="G361" s="1516"/>
      <c r="H361" s="1516"/>
      <c r="I361" s="1516"/>
      <c r="J361" s="1516"/>
      <c r="K361" s="1516"/>
      <c r="L361" s="1516"/>
      <c r="M361" s="1516"/>
      <c r="N361" s="1516"/>
      <c r="O361" s="1516"/>
      <c r="P361" s="1516"/>
      <c r="Q361" s="1516"/>
      <c r="R361" s="1516"/>
      <c r="S361" s="1516"/>
      <c r="T361" s="1516"/>
      <c r="U361" s="1516"/>
      <c r="V361" s="1516"/>
      <c r="W361" s="1516"/>
      <c r="X361" s="1516"/>
      <c r="Y361" s="1516"/>
      <c r="Z361" s="1516"/>
      <c r="AA361" s="1516"/>
      <c r="AB361" s="1516"/>
      <c r="AC361" s="1516"/>
      <c r="AD361" s="1516"/>
      <c r="AE361" s="1516"/>
      <c r="AF361" s="1516"/>
      <c r="AG361" s="1516"/>
      <c r="AH361" s="1516"/>
      <c r="AI361" s="1516"/>
      <c r="AJ361" s="1516"/>
      <c r="AK361" s="1516"/>
      <c r="AL361" s="1516"/>
      <c r="AM361" s="1516"/>
      <c r="AN361" s="1516"/>
      <c r="AO361" s="1516"/>
      <c r="AP361" s="1516"/>
      <c r="AQ361" s="1516"/>
      <c r="AR361" s="1516"/>
      <c r="AS361" s="1516"/>
      <c r="AT361" s="1516"/>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318</v>
      </c>
      <c r="B363" s="2"/>
      <c r="C363" s="2" t="s">
        <v>781</v>
      </c>
    </row>
    <row r="364" spans="1:66" ht="13" customHeight="1">
      <c r="D364" s="3" t="s">
        <v>2053</v>
      </c>
      <c r="M364" s="1339" t="s">
        <v>590</v>
      </c>
      <c r="N364" s="1339"/>
      <c r="P364" t="s">
        <v>1638</v>
      </c>
      <c r="AJ364" s="1339" t="s">
        <v>668</v>
      </c>
      <c r="AK364" s="1339"/>
    </row>
    <row r="365" spans="1:66" ht="13" customHeight="1">
      <c r="D365" s="3" t="s">
        <v>1627</v>
      </c>
      <c r="M365" s="1339" t="s">
        <v>590</v>
      </c>
      <c r="N365" s="1339"/>
      <c r="P365" s="3" t="s">
        <v>1707</v>
      </c>
      <c r="AJ365" s="1499"/>
      <c r="AK365" s="1499"/>
    </row>
    <row r="366" spans="1:66" ht="13" customHeight="1">
      <c r="D366" s="3" t="s">
        <v>703</v>
      </c>
      <c r="M366" s="1339" t="s">
        <v>590</v>
      </c>
      <c r="N366" s="1339"/>
      <c r="P366" t="s">
        <v>1637</v>
      </c>
      <c r="AJ366" s="1339" t="s">
        <v>544</v>
      </c>
      <c r="AK366" s="1339"/>
    </row>
    <row r="367" spans="1:66" ht="13" customHeight="1">
      <c r="D367" s="3" t="s">
        <v>704</v>
      </c>
      <c r="M367" s="1339" t="s">
        <v>544</v>
      </c>
      <c r="N367" s="1339"/>
      <c r="Q367" s="4"/>
    </row>
    <row r="368" spans="1:66" ht="13" customHeight="1">
      <c r="Q368" s="4"/>
    </row>
    <row r="369" spans="1:34" ht="13" customHeight="1">
      <c r="Q369" s="4"/>
    </row>
    <row r="370" spans="1:34" ht="13" customHeight="1">
      <c r="A370" s="2" t="s">
        <v>575</v>
      </c>
      <c r="B370" s="2"/>
      <c r="C370" s="2" t="s">
        <v>551</v>
      </c>
      <c r="D370" s="2"/>
    </row>
    <row r="371" spans="1:34" ht="13"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185</v>
      </c>
      <c r="E372" s="40"/>
      <c r="F372" s="40"/>
      <c r="G372" s="40"/>
      <c r="H372" s="40"/>
      <c r="I372" s="40"/>
      <c r="J372" s="40"/>
      <c r="K372" s="40"/>
      <c r="L372" s="40"/>
      <c r="M372" s="40"/>
      <c r="N372" s="1339" t="s">
        <v>544</v>
      </c>
      <c r="O372" s="1339"/>
      <c r="P372" s="40"/>
      <c r="Q372" s="40"/>
      <c r="R372" s="40"/>
      <c r="S372" s="40"/>
      <c r="T372" s="40"/>
      <c r="U372" s="40"/>
      <c r="V372" s="40"/>
      <c r="W372" s="40"/>
      <c r="X372" s="40"/>
      <c r="Y372" s="40"/>
      <c r="Z372" s="40"/>
      <c r="AC372" s="40"/>
      <c r="AD372" s="40"/>
      <c r="AE372" s="40"/>
    </row>
    <row r="373" spans="1:34" ht="13" customHeight="1">
      <c r="E373" t="s">
        <v>369</v>
      </c>
      <c r="Y373" s="1339" t="s">
        <v>590</v>
      </c>
      <c r="Z373" s="1339"/>
    </row>
    <row r="374" spans="1:34" ht="13" customHeight="1">
      <c r="D374" s="4" t="s">
        <v>977</v>
      </c>
      <c r="Q374" s="1442" t="s">
        <v>2709</v>
      </c>
      <c r="R374" s="1442"/>
      <c r="S374" s="1442"/>
      <c r="T374" s="1442"/>
      <c r="U374" s="1442"/>
      <c r="V374" s="1442"/>
      <c r="W374" s="1442"/>
      <c r="X374" s="1442"/>
      <c r="Y374" s="1442"/>
      <c r="Z374" s="1442"/>
      <c r="AA374" s="1442"/>
      <c r="AB374" s="1442"/>
      <c r="AC374" s="1442"/>
      <c r="AD374" s="1442"/>
      <c r="AE374" s="1442"/>
      <c r="AF374" s="1442"/>
      <c r="AG374" s="1442"/>
    </row>
    <row r="375" spans="1:34" ht="13"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187</v>
      </c>
      <c r="E376" s="40"/>
      <c r="F376" s="40"/>
      <c r="G376" s="40"/>
      <c r="H376" s="40"/>
      <c r="I376" s="40"/>
      <c r="J376" s="1339" t="s">
        <v>544</v>
      </c>
      <c r="K376" s="1339"/>
      <c r="L376" s="40"/>
      <c r="M376" s="40"/>
      <c r="N376" s="40"/>
      <c r="O376" s="40"/>
      <c r="P376" s="40"/>
      <c r="Q376" s="40"/>
      <c r="R376" s="40"/>
      <c r="S376" s="40"/>
      <c r="T376" s="40"/>
      <c r="U376" s="40"/>
      <c r="V376" s="40"/>
      <c r="W376" s="40"/>
      <c r="X376" s="40"/>
      <c r="Y376" s="40"/>
      <c r="Z376" s="40"/>
      <c r="AC376" s="40"/>
      <c r="AD376" s="40"/>
      <c r="AE376" s="40"/>
    </row>
    <row r="377" spans="1:34" ht="13" customHeight="1">
      <c r="E377" s="1510" t="s">
        <v>705</v>
      </c>
      <c r="F377" s="1510"/>
      <c r="G377" s="1510"/>
      <c r="H377" s="1510"/>
      <c r="I377" s="1510"/>
      <c r="J377" s="1510"/>
      <c r="K377" s="1510"/>
      <c r="L377" s="1510"/>
      <c r="M377" s="1510"/>
      <c r="N377" s="1510"/>
      <c r="O377" s="1510"/>
      <c r="P377" s="1510"/>
      <c r="Q377" s="1510"/>
      <c r="R377" s="1510"/>
      <c r="S377" s="1510"/>
      <c r="T377" s="1510"/>
      <c r="U377" s="1510"/>
      <c r="V377" s="1510"/>
      <c r="W377" s="1510"/>
      <c r="X377" s="1510"/>
      <c r="Y377" s="1510"/>
      <c r="Z377" s="1510"/>
      <c r="AA377" s="1510"/>
      <c r="AB377" s="1510"/>
      <c r="AC377" s="1510"/>
      <c r="AD377" s="1510"/>
      <c r="AE377" s="1510"/>
      <c r="AF377" s="1510"/>
      <c r="AG377" s="1510"/>
      <c r="AH377" s="1510"/>
    </row>
    <row r="378" spans="1:34" ht="13" customHeight="1">
      <c r="E378" s="1510"/>
      <c r="F378" s="1510"/>
      <c r="G378" s="1510"/>
      <c r="H378" s="1510"/>
      <c r="I378" s="1510"/>
      <c r="J378" s="1510"/>
      <c r="K378" s="1510"/>
      <c r="L378" s="1510"/>
      <c r="M378" s="1510"/>
      <c r="N378" s="1510"/>
      <c r="O378" s="1510"/>
      <c r="P378" s="1510"/>
      <c r="Q378" s="1510"/>
      <c r="R378" s="1510"/>
      <c r="S378" s="1510"/>
      <c r="T378" s="1510"/>
      <c r="U378" s="1510"/>
      <c r="V378" s="1510"/>
      <c r="W378" s="1510"/>
      <c r="X378" s="1510"/>
      <c r="Y378" s="1510"/>
      <c r="Z378" s="1510"/>
      <c r="AA378" s="1510"/>
      <c r="AB378" s="1510"/>
      <c r="AC378" s="1510"/>
      <c r="AD378" s="1510"/>
      <c r="AE378" s="1510"/>
      <c r="AF378" s="1510"/>
      <c r="AG378" s="1510"/>
      <c r="AH378" s="1510"/>
    </row>
    <row r="379" spans="1:34" ht="13" customHeight="1">
      <c r="E379" s="4" t="s">
        <v>447</v>
      </c>
      <c r="F379" s="4"/>
      <c r="G379" s="4"/>
      <c r="H379" s="4"/>
      <c r="I379" s="4"/>
      <c r="J379" s="4"/>
      <c r="K379" s="4"/>
      <c r="L379" s="4"/>
      <c r="N379" s="1485">
        <v>25</v>
      </c>
      <c r="O379" s="1485"/>
      <c r="P379" s="1485"/>
      <c r="Q379" s="1485"/>
      <c r="R379" s="4"/>
      <c r="U379" s="4" t="s">
        <v>448</v>
      </c>
      <c r="V379" s="4"/>
      <c r="W379" s="4"/>
      <c r="X379" s="4"/>
      <c r="Y379" s="4"/>
      <c r="Z379" s="4"/>
      <c r="AA379" s="4"/>
      <c r="AB379" s="4"/>
      <c r="AC379" s="1485">
        <v>1</v>
      </c>
      <c r="AD379" s="1485"/>
      <c r="AE379" s="1485"/>
      <c r="AF379" s="1485"/>
    </row>
    <row r="380" spans="1:34" ht="13" customHeight="1">
      <c r="E380" s="4" t="s">
        <v>449</v>
      </c>
      <c r="F380" s="4"/>
      <c r="G380" s="4"/>
      <c r="H380" s="4"/>
      <c r="I380" s="4"/>
      <c r="J380" s="4"/>
      <c r="K380" s="4"/>
      <c r="L380" s="4"/>
      <c r="N380" s="1485">
        <v>1</v>
      </c>
      <c r="O380" s="1485"/>
      <c r="P380" s="1485"/>
      <c r="Q380" s="1485"/>
      <c r="R380" s="4"/>
      <c r="U380" s="4" t="s">
        <v>0</v>
      </c>
      <c r="V380" s="4"/>
      <c r="W380" s="4"/>
      <c r="X380" s="4"/>
      <c r="Y380" s="4"/>
      <c r="Z380" s="4"/>
      <c r="AA380" s="4"/>
      <c r="AB380" s="4"/>
      <c r="AC380" s="1485">
        <v>61</v>
      </c>
      <c r="AD380" s="1485"/>
      <c r="AE380" s="1485"/>
      <c r="AF380" s="1485"/>
    </row>
    <row r="381" spans="1:34" ht="13" customHeight="1">
      <c r="E381" s="4" t="s">
        <v>1</v>
      </c>
      <c r="F381" s="4"/>
      <c r="G381" s="4"/>
      <c r="H381" s="4"/>
      <c r="I381" s="4"/>
      <c r="J381" s="4"/>
      <c r="K381" s="4"/>
      <c r="L381" s="4"/>
      <c r="N381" s="1485">
        <v>3</v>
      </c>
      <c r="O381" s="1485"/>
      <c r="P381" s="1485"/>
      <c r="Q381" s="1485"/>
      <c r="R381" s="4"/>
      <c r="V381" s="4"/>
      <c r="W381" s="4"/>
      <c r="X381" s="4"/>
      <c r="Y381" s="4"/>
      <c r="Z381" s="4"/>
      <c r="AA381" s="4"/>
      <c r="AB381" s="4"/>
    </row>
    <row r="382" spans="1:34" ht="13" customHeight="1">
      <c r="E382" s="4" t="s">
        <v>2</v>
      </c>
      <c r="F382" s="4"/>
      <c r="G382" s="4"/>
      <c r="H382" s="4"/>
      <c r="I382" s="4"/>
      <c r="J382" s="4"/>
      <c r="K382" s="4"/>
      <c r="L382" s="4"/>
      <c r="N382" s="1818" t="s">
        <v>2710</v>
      </c>
      <c r="O382" s="1818"/>
      <c r="P382" s="1818"/>
      <c r="Q382" s="1818"/>
      <c r="R382" s="1818"/>
      <c r="S382" s="1818"/>
      <c r="T382" s="1818"/>
      <c r="U382" s="1818"/>
      <c r="V382" s="1818"/>
      <c r="W382" s="1818"/>
      <c r="X382" s="1818"/>
      <c r="Y382" s="1818"/>
      <c r="Z382" s="1818"/>
      <c r="AA382" s="1818"/>
      <c r="AB382" s="1818"/>
      <c r="AC382" s="1818"/>
      <c r="AD382" s="1818"/>
      <c r="AE382" s="1818"/>
      <c r="AF382" s="1818"/>
    </row>
    <row r="383" spans="1:34" ht="13" customHeight="1">
      <c r="E383" s="4"/>
      <c r="F383" s="4"/>
      <c r="G383" s="4"/>
      <c r="H383" s="4"/>
      <c r="I383" s="4"/>
      <c r="J383" s="4"/>
      <c r="K383" s="4"/>
      <c r="L383" s="4"/>
      <c r="N383" s="1819"/>
      <c r="O383" s="1819"/>
      <c r="P383" s="1819"/>
      <c r="Q383" s="1819"/>
      <c r="R383" s="1819"/>
      <c r="S383" s="1819"/>
      <c r="T383" s="1819"/>
      <c r="U383" s="1819"/>
      <c r="V383" s="1819"/>
      <c r="W383" s="1819"/>
      <c r="X383" s="1819"/>
      <c r="Y383" s="1819"/>
      <c r="Z383" s="1819"/>
      <c r="AA383" s="1819"/>
      <c r="AB383" s="1819"/>
      <c r="AC383" s="1819"/>
      <c r="AD383" s="1819"/>
      <c r="AE383" s="1819"/>
      <c r="AF383" s="1819"/>
    </row>
    <row r="384" spans="1:34" ht="13" customHeight="1">
      <c r="C384" s="512"/>
      <c r="E384" s="4"/>
      <c r="F384" s="4"/>
      <c r="G384" s="4"/>
      <c r="H384" s="4"/>
      <c r="I384" s="4"/>
      <c r="J384" s="4"/>
      <c r="K384" s="4"/>
      <c r="L384" s="4"/>
    </row>
    <row r="385" spans="1:36" ht="13" customHeight="1">
      <c r="D385" s="2" t="s">
        <v>974</v>
      </c>
      <c r="E385" s="2"/>
      <c r="F385" s="4"/>
      <c r="G385" s="4"/>
      <c r="H385" s="4"/>
      <c r="I385" s="4"/>
      <c r="J385" s="4"/>
      <c r="K385" s="4"/>
      <c r="L385" s="4"/>
    </row>
    <row r="386" spans="1:36" ht="13" customHeight="1">
      <c r="E386" s="4" t="s">
        <v>2039</v>
      </c>
      <c r="F386" s="4"/>
      <c r="G386" s="4"/>
      <c r="H386" s="4"/>
      <c r="I386" s="4"/>
      <c r="J386" s="4"/>
      <c r="K386" s="4"/>
      <c r="L386" s="4"/>
      <c r="N386" t="s">
        <v>2035</v>
      </c>
      <c r="R386" s="27" t="s">
        <v>304</v>
      </c>
      <c r="S386" s="1759"/>
      <c r="T386" s="1759"/>
      <c r="U386" s="1" t="s">
        <v>305</v>
      </c>
      <c r="V386" s="1759"/>
      <c r="W386" s="1759"/>
      <c r="Y386" t="s">
        <v>2035</v>
      </c>
      <c r="AC386" s="27" t="s">
        <v>304</v>
      </c>
      <c r="AD386" s="1759"/>
      <c r="AE386" s="1759"/>
      <c r="AF386" s="1" t="s">
        <v>305</v>
      </c>
      <c r="AG386" s="1759"/>
      <c r="AH386" s="1759"/>
    </row>
    <row r="387" spans="1:36" ht="13" customHeight="1">
      <c r="E387" s="4" t="s">
        <v>986</v>
      </c>
      <c r="F387" s="4"/>
      <c r="G387" s="4"/>
      <c r="H387" s="4"/>
      <c r="I387" s="4"/>
      <c r="J387" s="4"/>
      <c r="K387" s="4"/>
      <c r="L387" s="4"/>
      <c r="N387" s="1759"/>
      <c r="O387" s="1759"/>
      <c r="P387" s="1759"/>
    </row>
    <row r="388" spans="1:36" ht="13" customHeight="1">
      <c r="E388" s="204" t="s">
        <v>2040</v>
      </c>
      <c r="F388" s="4"/>
      <c r="G388" s="4"/>
      <c r="H388" s="4"/>
      <c r="I388" s="4"/>
      <c r="J388" s="4"/>
      <c r="K388" s="4"/>
      <c r="L388" s="4"/>
      <c r="AG388" s="1808" t="s">
        <v>590</v>
      </c>
      <c r="AH388" s="1808"/>
    </row>
    <row r="389" spans="1:36" ht="13" customHeight="1">
      <c r="E389" s="4"/>
      <c r="F389" s="4"/>
      <c r="G389" s="4" t="s">
        <v>2041</v>
      </c>
      <c r="H389" s="4"/>
      <c r="I389" s="4"/>
      <c r="J389" s="4"/>
      <c r="K389" s="4"/>
      <c r="L389" s="4"/>
      <c r="AG389" s="1808" t="s">
        <v>590</v>
      </c>
      <c r="AH389" s="1808"/>
    </row>
    <row r="390" spans="1:36" ht="13" customHeight="1">
      <c r="E390" s="4"/>
      <c r="F390" s="4"/>
      <c r="G390" s="320" t="s">
        <v>987</v>
      </c>
      <c r="H390" s="4"/>
      <c r="I390" s="4"/>
      <c r="J390" s="4"/>
      <c r="K390" s="4"/>
      <c r="L390" s="4"/>
      <c r="V390" s="1339" t="s">
        <v>590</v>
      </c>
      <c r="W390" s="1339"/>
      <c r="Y390" s="22" t="s">
        <v>979</v>
      </c>
    </row>
    <row r="391" spans="1:36" ht="13" customHeight="1">
      <c r="E391" s="4" t="s">
        <v>980</v>
      </c>
      <c r="F391" s="4"/>
      <c r="G391" s="4"/>
      <c r="H391" s="4"/>
      <c r="I391" s="4"/>
      <c r="J391" s="4"/>
      <c r="K391" s="4"/>
      <c r="L391" s="4"/>
      <c r="V391" s="1339" t="s">
        <v>590</v>
      </c>
      <c r="W391" s="1339"/>
      <c r="Y391" s="4" t="s">
        <v>981</v>
      </c>
    </row>
    <row r="392" spans="1:36" ht="13" customHeight="1"/>
    <row r="393" spans="1:36" ht="13" customHeight="1">
      <c r="A393" s="2" t="s">
        <v>78</v>
      </c>
      <c r="B393" s="2"/>
    </row>
    <row r="394" spans="1:36" ht="13" customHeight="1">
      <c r="D394" t="s">
        <v>427</v>
      </c>
      <c r="J394" s="1442" t="s">
        <v>2711</v>
      </c>
      <c r="K394" s="1442"/>
      <c r="L394" s="1442"/>
      <c r="M394" s="1442"/>
      <c r="N394" s="1442"/>
      <c r="O394" s="1442"/>
      <c r="P394" s="1442"/>
      <c r="Q394" s="1442"/>
      <c r="R394" s="1442"/>
      <c r="S394" s="1442"/>
      <c r="T394" s="1442"/>
      <c r="U394" s="1442"/>
      <c r="V394" s="8" t="s">
        <v>83</v>
      </c>
      <c r="W394" s="8"/>
      <c r="X394" s="8"/>
      <c r="Y394" s="8"/>
      <c r="Z394" s="8"/>
      <c r="AA394" s="8"/>
      <c r="AB394" s="8"/>
      <c r="AC394" s="1442" t="s">
        <v>2712</v>
      </c>
      <c r="AD394" s="1442"/>
      <c r="AE394" s="1442"/>
      <c r="AF394" s="1442"/>
      <c r="AG394" s="1442"/>
      <c r="AH394" s="1442"/>
      <c r="AI394" s="1442"/>
      <c r="AJ394" s="1442"/>
    </row>
    <row r="395" spans="1:36" ht="13" customHeight="1">
      <c r="D395" s="3" t="s">
        <v>1181</v>
      </c>
      <c r="J395" s="1457" t="s">
        <v>2712</v>
      </c>
      <c r="K395" s="1457"/>
      <c r="L395" s="1457"/>
      <c r="M395" s="1457"/>
      <c r="N395" s="1457"/>
      <c r="O395" s="1457"/>
      <c r="P395" s="1457"/>
      <c r="Q395" s="1457"/>
      <c r="R395" s="1457"/>
      <c r="S395" s="1457"/>
      <c r="T395" s="1457"/>
      <c r="U395" s="1457"/>
      <c r="V395" s="3" t="s">
        <v>1181</v>
      </c>
      <c r="W395" s="8"/>
      <c r="X395" s="8"/>
      <c r="Y395" s="8"/>
      <c r="Z395" s="8"/>
      <c r="AA395" s="8"/>
      <c r="AB395" s="8"/>
      <c r="AC395" s="1442" t="s">
        <v>2712</v>
      </c>
      <c r="AD395" s="1442"/>
      <c r="AE395" s="1442"/>
      <c r="AF395" s="1442"/>
      <c r="AG395" s="1442"/>
      <c r="AH395" s="1442"/>
      <c r="AI395" s="1442"/>
      <c r="AJ395" s="1442"/>
    </row>
    <row r="396" spans="1:36" ht="13" customHeight="1">
      <c r="D396" s="3" t="s">
        <v>440</v>
      </c>
      <c r="J396" s="1457" t="s">
        <v>2713</v>
      </c>
      <c r="K396" s="1457"/>
      <c r="L396" s="1457"/>
      <c r="M396" s="1457"/>
      <c r="N396" s="1457"/>
      <c r="O396" s="1457"/>
      <c r="P396" s="1457"/>
      <c r="Q396" s="1457"/>
      <c r="R396" s="1457"/>
      <c r="S396" s="1457"/>
      <c r="T396" s="1457"/>
      <c r="U396" s="1457"/>
      <c r="V396" s="3" t="s">
        <v>440</v>
      </c>
      <c r="W396" s="8"/>
      <c r="X396" s="8"/>
      <c r="Y396" s="8"/>
      <c r="Z396" s="8"/>
      <c r="AA396" s="8"/>
      <c r="AB396" s="8"/>
      <c r="AC396" s="1442" t="s">
        <v>2713</v>
      </c>
      <c r="AD396" s="1442"/>
      <c r="AE396" s="1442"/>
      <c r="AF396" s="1442"/>
      <c r="AG396" s="1442"/>
      <c r="AH396" s="1442"/>
      <c r="AI396" s="1442"/>
      <c r="AJ396" s="1442"/>
    </row>
    <row r="397" spans="1:36" ht="13" customHeight="1">
      <c r="D397" t="s">
        <v>1177</v>
      </c>
      <c r="J397" s="1376" t="s">
        <v>2714</v>
      </c>
      <c r="K397" s="1376"/>
      <c r="L397" s="1376"/>
      <c r="M397" s="1376"/>
      <c r="N397" s="1376"/>
      <c r="O397" s="1376"/>
      <c r="P397" s="1376"/>
      <c r="Q397" s="1376"/>
      <c r="R397" s="1376"/>
      <c r="S397" s="1376"/>
      <c r="T397" s="1376"/>
      <c r="U397" s="1376"/>
      <c r="V397" s="1442"/>
      <c r="W397" s="1442"/>
      <c r="X397" s="1442"/>
      <c r="Y397" s="1442"/>
      <c r="Z397" s="1442"/>
      <c r="AA397" s="1442"/>
      <c r="AB397" s="1442"/>
      <c r="AC397" s="1442"/>
      <c r="AD397" s="1442"/>
      <c r="AE397" s="1442"/>
      <c r="AF397" s="1442"/>
      <c r="AG397" s="1442"/>
      <c r="AH397" s="1442"/>
      <c r="AI397" s="1442"/>
      <c r="AJ397" s="1442"/>
    </row>
    <row r="398" spans="1:36" ht="13" customHeight="1">
      <c r="D398" t="s">
        <v>4</v>
      </c>
      <c r="Q398" s="1532">
        <v>45678</v>
      </c>
      <c r="R398" s="1532"/>
      <c r="S398" s="1532"/>
      <c r="T398" s="1532"/>
      <c r="U398" s="1532"/>
      <c r="V398" t="s">
        <v>308</v>
      </c>
      <c r="AI398" s="1339" t="s">
        <v>668</v>
      </c>
      <c r="AJ398" s="1339"/>
    </row>
    <row r="399" spans="1:36" ht="13" customHeight="1">
      <c r="D399" t="s">
        <v>5</v>
      </c>
      <c r="Q399" s="1579" t="s">
        <v>2715</v>
      </c>
      <c r="R399" s="1761"/>
      <c r="S399" s="1761"/>
      <c r="T399" s="1761"/>
      <c r="U399" s="1761"/>
      <c r="W399" s="21" t="s">
        <v>74</v>
      </c>
      <c r="AG399" s="1760"/>
      <c r="AH399" s="1760"/>
      <c r="AI399" s="1760"/>
      <c r="AJ399" s="1760"/>
    </row>
    <row r="400" spans="1:36" ht="13" customHeight="1">
      <c r="D400" t="s">
        <v>426</v>
      </c>
      <c r="Q400" s="1821">
        <v>13600000</v>
      </c>
      <c r="R400" s="1821"/>
      <c r="S400" s="1821"/>
      <c r="T400" s="1821"/>
      <c r="U400" s="1821"/>
      <c r="V400" s="3" t="s">
        <v>1180</v>
      </c>
      <c r="AG400" s="1768">
        <v>46327</v>
      </c>
      <c r="AH400" s="1768"/>
      <c r="AI400" s="1768"/>
      <c r="AJ400" s="1768"/>
    </row>
    <row r="401" spans="4:36" ht="13" customHeight="1">
      <c r="D401" t="s">
        <v>88</v>
      </c>
      <c r="I401" s="1517">
        <v>8182470420</v>
      </c>
      <c r="J401" s="1517"/>
      <c r="K401" s="1517"/>
      <c r="L401" s="1517"/>
      <c r="M401" s="1517"/>
      <c r="N401" s="1517"/>
      <c r="Q401" s="4" t="s">
        <v>205</v>
      </c>
      <c r="S401" s="1820"/>
      <c r="T401" s="1820"/>
      <c r="U401" s="1820"/>
      <c r="V401" t="s">
        <v>73</v>
      </c>
      <c r="AI401" s="1339" t="s">
        <v>668</v>
      </c>
      <c r="AJ401" s="1339"/>
    </row>
    <row r="402" spans="4:36" ht="13" customHeight="1">
      <c r="D402" t="s">
        <v>309</v>
      </c>
      <c r="Q402" s="1421"/>
      <c r="R402" s="1421"/>
      <c r="S402" s="1421"/>
      <c r="T402" s="1421"/>
      <c r="U402" s="1421"/>
      <c r="V402" t="s">
        <v>310</v>
      </c>
      <c r="AG402" s="1760"/>
      <c r="AH402" s="1760"/>
      <c r="AI402" s="1760"/>
      <c r="AJ402" s="1760"/>
    </row>
    <row r="403" spans="4:36" ht="13" customHeight="1">
      <c r="D403" t="s">
        <v>311</v>
      </c>
      <c r="Q403" s="1830"/>
      <c r="R403" s="1830"/>
      <c r="S403" s="1830"/>
      <c r="T403" s="1830"/>
      <c r="U403" s="1830"/>
      <c r="V403" t="s">
        <v>1162</v>
      </c>
      <c r="AG403" s="1760"/>
      <c r="AH403" s="1760"/>
      <c r="AI403" s="1760"/>
      <c r="AJ403" s="1760"/>
    </row>
    <row r="404" spans="4:36" ht="13" customHeight="1">
      <c r="D404" t="s">
        <v>1161</v>
      </c>
      <c r="AG404" s="1760"/>
      <c r="AH404" s="1760"/>
      <c r="AI404" s="1760"/>
      <c r="AJ404" s="1760"/>
    </row>
    <row r="405" spans="4:36" ht="13" customHeight="1">
      <c r="AG405" s="456"/>
      <c r="AH405" s="456"/>
      <c r="AI405" s="456"/>
      <c r="AJ405" s="456"/>
    </row>
    <row r="406" spans="4:36" ht="13" customHeight="1">
      <c r="D406" s="3" t="s">
        <v>2097</v>
      </c>
      <c r="AG406" s="456"/>
      <c r="AH406" s="456"/>
      <c r="AI406" s="1339" t="s">
        <v>668</v>
      </c>
      <c r="AJ406" s="1339"/>
    </row>
    <row r="407" spans="4:36" ht="13" customHeight="1">
      <c r="D407" s="3" t="s">
        <v>1655</v>
      </c>
      <c r="T407" s="1767"/>
      <c r="U407" s="1767"/>
      <c r="V407" s="1767"/>
      <c r="W407" s="1767"/>
      <c r="X407" s="1767"/>
      <c r="Y407" s="1767"/>
      <c r="Z407" s="1767"/>
      <c r="AA407" s="1767"/>
      <c r="AB407" s="1767"/>
      <c r="AC407" s="1767"/>
      <c r="AD407" s="1767"/>
      <c r="AE407" s="1767"/>
      <c r="AF407" s="1767"/>
      <c r="AG407" s="1767"/>
      <c r="AH407" s="1767"/>
      <c r="AI407" s="1767"/>
      <c r="AJ407" s="1767"/>
    </row>
    <row r="408" spans="4:36" ht="13" customHeight="1">
      <c r="D408" s="3" t="s">
        <v>1654</v>
      </c>
      <c r="T408" s="1767"/>
      <c r="U408" s="1767"/>
      <c r="V408" s="1767"/>
      <c r="W408" s="1767"/>
      <c r="X408" s="1767"/>
      <c r="Y408" s="1767"/>
      <c r="Z408" s="1767"/>
      <c r="AA408" s="1767"/>
      <c r="AB408" s="1767"/>
      <c r="AC408" s="1767"/>
      <c r="AD408" s="1767"/>
      <c r="AE408" s="1767"/>
      <c r="AF408" s="1767"/>
      <c r="AG408" s="1767"/>
      <c r="AH408" s="1767"/>
      <c r="AI408" s="1767"/>
      <c r="AJ408" s="1767"/>
    </row>
    <row r="409" spans="4:36" ht="13" customHeight="1">
      <c r="AG409" s="456"/>
      <c r="AH409" s="456"/>
      <c r="AI409" s="456"/>
      <c r="AJ409" s="456"/>
    </row>
    <row r="410" spans="4:36" ht="13" customHeight="1">
      <c r="D410" s="3" t="s">
        <v>1648</v>
      </c>
      <c r="S410" s="1767" t="s">
        <v>668</v>
      </c>
      <c r="T410" s="1767"/>
      <c r="U410" s="1767"/>
      <c r="V410" t="s">
        <v>1649</v>
      </c>
      <c r="AG410" s="1784"/>
      <c r="AH410" s="1784"/>
      <c r="AI410" s="1784"/>
      <c r="AJ410" s="1784"/>
    </row>
    <row r="411" spans="4:36" ht="13" customHeight="1">
      <c r="D411" s="3" t="s">
        <v>1646</v>
      </c>
      <c r="S411" s="1767" t="s">
        <v>590</v>
      </c>
      <c r="T411" s="1767"/>
      <c r="U411" s="1767"/>
      <c r="V411" t="s">
        <v>1651</v>
      </c>
      <c r="AE411" s="1824"/>
      <c r="AF411" s="1824"/>
      <c r="AG411" s="1824"/>
      <c r="AH411" s="1824"/>
      <c r="AI411" s="1824"/>
      <c r="AJ411" s="1824"/>
    </row>
    <row r="412" spans="4:36" ht="13" customHeight="1">
      <c r="D412" s="3" t="s">
        <v>1647</v>
      </c>
      <c r="K412" s="1769"/>
      <c r="L412" s="1769"/>
      <c r="M412" s="1769"/>
      <c r="N412" s="1769"/>
      <c r="O412" s="1769"/>
      <c r="P412" s="1769"/>
      <c r="Q412" s="1769"/>
      <c r="R412" s="1769"/>
      <c r="S412" s="1769"/>
      <c r="T412" s="1769"/>
      <c r="U412" s="1769"/>
      <c r="V412" s="1769"/>
      <c r="W412" s="1769"/>
      <c r="X412" s="1769"/>
      <c r="Y412" s="1769"/>
      <c r="Z412" s="1769"/>
      <c r="AA412" s="1769"/>
      <c r="AB412" s="1769"/>
      <c r="AC412" s="1769"/>
      <c r="AD412" s="1769"/>
      <c r="AE412" s="1769"/>
      <c r="AF412" s="1769"/>
      <c r="AG412" s="1769"/>
      <c r="AH412" s="1769"/>
      <c r="AI412" s="1769"/>
      <c r="AJ412" s="1769"/>
    </row>
    <row r="413" spans="4:36" ht="13" customHeight="1">
      <c r="D413" s="3" t="s">
        <v>1650</v>
      </c>
      <c r="K413" s="1769"/>
      <c r="L413" s="1769"/>
      <c r="M413" s="1769"/>
      <c r="N413" s="1769"/>
      <c r="O413" s="1769"/>
      <c r="P413" s="1769"/>
      <c r="Q413" s="1769"/>
      <c r="R413" s="1769"/>
      <c r="S413" s="1769"/>
      <c r="T413" s="1769"/>
      <c r="U413" s="1769"/>
      <c r="V413" s="1769"/>
      <c r="W413" s="1769"/>
      <c r="X413" s="1769"/>
      <c r="Y413" s="1769"/>
      <c r="Z413" s="1769"/>
      <c r="AA413" s="1769"/>
      <c r="AB413" s="1769"/>
      <c r="AC413" s="1769"/>
      <c r="AD413" s="1769"/>
      <c r="AE413" s="1769"/>
      <c r="AF413" s="1769"/>
      <c r="AG413" s="1769"/>
      <c r="AH413" s="1769"/>
      <c r="AI413" s="1769"/>
      <c r="AJ413" s="1769"/>
    </row>
    <row r="414" spans="4:36" ht="13" customHeight="1">
      <c r="D414" s="3" t="s">
        <v>1653</v>
      </c>
      <c r="E414" s="477"/>
      <c r="F414" s="477"/>
      <c r="G414" s="477"/>
      <c r="H414" s="477"/>
      <c r="I414" s="477"/>
      <c r="J414" s="477"/>
      <c r="K414" s="477"/>
      <c r="L414" s="477"/>
      <c r="M414" s="477"/>
      <c r="N414" s="477"/>
      <c r="O414" s="477"/>
      <c r="P414" s="477"/>
      <c r="Q414" s="477"/>
      <c r="R414" s="477"/>
      <c r="S414" s="1776" t="s">
        <v>1183</v>
      </c>
      <c r="T414" s="1776"/>
      <c r="U414" s="1776"/>
      <c r="V414" s="1776"/>
      <c r="W414" s="1776"/>
      <c r="X414" s="1776"/>
      <c r="Y414" s="1776"/>
      <c r="Z414" s="1776"/>
      <c r="AA414" s="1776"/>
      <c r="AB414" s="1776"/>
      <c r="AC414" s="1776"/>
      <c r="AD414" s="1776"/>
      <c r="AE414" s="1776"/>
      <c r="AF414" s="1776"/>
      <c r="AG414" s="1776"/>
      <c r="AH414" s="1776"/>
      <c r="AI414" s="1776"/>
      <c r="AJ414" s="1776"/>
    </row>
    <row r="415" spans="4:36" ht="13" customHeight="1">
      <c r="D415" s="1273" t="s">
        <v>1652</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3"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3" customHeight="1">
      <c r="AG417" s="456"/>
      <c r="AH417" s="456"/>
      <c r="AI417" s="456"/>
      <c r="AJ417" s="456"/>
    </row>
    <row r="418" spans="1:39" ht="13" customHeight="1">
      <c r="A418" s="2" t="s">
        <v>588</v>
      </c>
      <c r="B418" s="2"/>
      <c r="C418" s="2" t="s">
        <v>111</v>
      </c>
    </row>
    <row r="419" spans="1:39" ht="13" customHeight="1">
      <c r="B419" s="2"/>
      <c r="C419" s="2"/>
      <c r="D419" s="2" t="s">
        <v>1203</v>
      </c>
      <c r="I419" s="1511" t="s">
        <v>2716</v>
      </c>
      <c r="J419" s="1511"/>
      <c r="K419" s="1511"/>
      <c r="L419" s="1511"/>
      <c r="M419" s="1511"/>
      <c r="N419" s="1511"/>
      <c r="O419" s="1511"/>
      <c r="P419" s="1511"/>
      <c r="Q419" s="1511"/>
      <c r="R419" s="1511"/>
      <c r="S419" s="1511"/>
      <c r="T419" s="1511"/>
      <c r="U419" s="1511"/>
      <c r="V419" s="1511"/>
      <c r="W419" s="1511"/>
      <c r="X419" s="1511"/>
      <c r="Y419" s="1511"/>
      <c r="Z419" s="1511"/>
      <c r="AA419" s="1511"/>
      <c r="AB419" s="1511"/>
      <c r="AC419" s="1511"/>
      <c r="AD419" s="1511"/>
      <c r="AE419" s="1511"/>
    </row>
    <row r="420" spans="1:39" ht="13" customHeight="1">
      <c r="E420" t="s">
        <v>106</v>
      </c>
      <c r="R420" s="1339" t="s">
        <v>544</v>
      </c>
      <c r="S420" s="1339"/>
      <c r="AC420" s="27" t="s">
        <v>569</v>
      </c>
      <c r="AD420" s="1485">
        <v>3</v>
      </c>
      <c r="AE420" s="1485"/>
    </row>
    <row r="421" spans="1:39" ht="13" customHeight="1">
      <c r="E421" t="s">
        <v>107</v>
      </c>
      <c r="R421" s="1339" t="s">
        <v>590</v>
      </c>
      <c r="S421" s="1339"/>
      <c r="AC421" s="27" t="s">
        <v>569</v>
      </c>
      <c r="AD421" s="1485"/>
      <c r="AE421" s="1485"/>
    </row>
    <row r="422" spans="1:39" ht="13" customHeight="1">
      <c r="E422" t="s">
        <v>108</v>
      </c>
      <c r="S422" s="1339" t="s">
        <v>590</v>
      </c>
      <c r="T422" s="1339"/>
    </row>
    <row r="423" spans="1:39" ht="13" customHeight="1">
      <c r="E423" t="s">
        <v>169</v>
      </c>
      <c r="H423" s="1831" t="s">
        <v>333</v>
      </c>
      <c r="I423" s="1831"/>
      <c r="J423" s="1831"/>
      <c r="K423" s="1831"/>
      <c r="L423" s="1831"/>
      <c r="M423" s="1831"/>
      <c r="N423" s="1831"/>
      <c r="O423" s="1831"/>
      <c r="P423" s="1831"/>
      <c r="Q423" s="1831"/>
      <c r="R423" s="1831"/>
      <c r="S423" s="1831"/>
      <c r="T423" s="1831"/>
      <c r="U423" s="1831"/>
      <c r="V423" s="1831"/>
      <c r="W423" s="1831"/>
      <c r="X423" s="1831"/>
      <c r="Y423" s="1831"/>
      <c r="Z423" s="1831"/>
      <c r="AA423" s="1831"/>
      <c r="AB423" s="1831"/>
      <c r="AC423" s="1831"/>
      <c r="AD423" s="1831"/>
      <c r="AE423" s="1831"/>
    </row>
    <row r="424" spans="1:39" ht="13" customHeight="1">
      <c r="H424" s="1832"/>
      <c r="I424" s="1832"/>
      <c r="J424" s="1832"/>
      <c r="K424" s="1832"/>
      <c r="L424" s="1832"/>
      <c r="M424" s="1832"/>
      <c r="N424" s="1832"/>
      <c r="O424" s="1832"/>
      <c r="P424" s="1832"/>
      <c r="Q424" s="1832"/>
      <c r="R424" s="1832"/>
      <c r="S424" s="1832"/>
      <c r="T424" s="1832"/>
      <c r="U424" s="1832"/>
      <c r="V424" s="1832"/>
      <c r="W424" s="1832"/>
      <c r="X424" s="1832"/>
      <c r="Y424" s="1832"/>
      <c r="Z424" s="1832"/>
      <c r="AA424" s="1832"/>
      <c r="AB424" s="1832"/>
      <c r="AC424" s="1832"/>
      <c r="AD424" s="1832"/>
      <c r="AE424" s="1832"/>
    </row>
    <row r="425" spans="1:39" ht="13" customHeight="1"/>
    <row r="426" spans="1:39" ht="13" customHeight="1">
      <c r="A426" s="2" t="s">
        <v>589</v>
      </c>
      <c r="B426" s="2"/>
      <c r="C426" s="2"/>
      <c r="D426" s="2" t="s">
        <v>114</v>
      </c>
      <c r="AF426" s="2" t="s">
        <v>956</v>
      </c>
    </row>
    <row r="427" spans="1:39" ht="13" customHeight="1">
      <c r="E427" s="1759"/>
      <c r="F427" s="1759"/>
      <c r="G427" s="1759"/>
      <c r="H427" s="13" t="s">
        <v>115</v>
      </c>
      <c r="I427" s="1759"/>
      <c r="J427" s="1759"/>
      <c r="K427" s="1759"/>
      <c r="L427" t="s">
        <v>116</v>
      </c>
      <c r="N427" s="27" t="s">
        <v>574</v>
      </c>
      <c r="P427" s="1777">
        <v>1.1499999999999999</v>
      </c>
      <c r="Q427" s="1777"/>
      <c r="R427" s="1777"/>
      <c r="S427" t="s">
        <v>117</v>
      </c>
      <c r="W427" s="1778">
        <f>IF(E427&gt;0,(E427*I427),(P427*43560))</f>
        <v>50093.999999999993</v>
      </c>
      <c r="X427" s="1778"/>
      <c r="Y427" s="1778"/>
      <c r="Z427" t="s">
        <v>118</v>
      </c>
      <c r="AF427" s="1780">
        <f>IFERROR(IF(P427&gt;0,(AG446/P427),(AG446/(W427/43560))),0)</f>
        <v>53.04347826086957</v>
      </c>
      <c r="AG427" s="1780"/>
      <c r="AH427" s="1780"/>
      <c r="AM427" s="3"/>
    </row>
    <row r="428" spans="1:39" ht="13" customHeight="1">
      <c r="E428" t="s">
        <v>51</v>
      </c>
    </row>
    <row r="429" spans="1:39" ht="13" customHeight="1">
      <c r="E429" s="1834"/>
      <c r="F429" s="1834"/>
      <c r="G429" s="1834"/>
      <c r="H429" s="1834"/>
      <c r="I429" s="1834"/>
      <c r="J429" s="1834"/>
      <c r="K429" s="1834"/>
      <c r="L429" s="1834"/>
      <c r="M429" s="1834"/>
      <c r="N429" s="1834"/>
      <c r="O429" s="1834"/>
      <c r="P429" s="1834"/>
      <c r="Q429" s="1834"/>
      <c r="R429" s="1834"/>
      <c r="S429" s="1834"/>
      <c r="T429" s="1834"/>
      <c r="U429" s="1834"/>
      <c r="V429" s="1834"/>
      <c r="W429" s="1834"/>
      <c r="X429" s="1834"/>
      <c r="Y429" s="1834"/>
      <c r="Z429" s="1834"/>
      <c r="AA429" s="1834"/>
      <c r="AB429" s="1834"/>
      <c r="AC429" s="1834"/>
      <c r="AD429" s="1834"/>
      <c r="AE429" s="1834"/>
      <c r="AF429" s="1834"/>
      <c r="AG429" s="1834"/>
      <c r="AH429" s="1834"/>
      <c r="AI429" s="1834"/>
      <c r="AJ429" s="1834"/>
    </row>
    <row r="430" spans="1:39" ht="13" customHeight="1">
      <c r="E430" s="118" t="s">
        <v>1724</v>
      </c>
      <c r="F430" s="1008"/>
      <c r="G430" s="1008"/>
      <c r="H430" s="1008"/>
      <c r="I430" s="1762">
        <v>1.1499999999999999</v>
      </c>
      <c r="J430" s="1762"/>
      <c r="K430" s="1762"/>
      <c r="L430" s="1008"/>
      <c r="M430" s="118"/>
      <c r="N430" s="1008"/>
      <c r="O430" s="1008"/>
      <c r="P430" s="1531">
        <f>(DU763+DU786+DU808)/I430</f>
        <v>53.913043478260875</v>
      </c>
      <c r="Q430" s="1531"/>
      <c r="R430" s="1531"/>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591</v>
      </c>
      <c r="B432" s="2"/>
      <c r="C432" s="2"/>
      <c r="D432" s="2" t="s">
        <v>120</v>
      </c>
    </row>
    <row r="433" spans="1:36" ht="13" customHeight="1">
      <c r="E433" t="s">
        <v>121</v>
      </c>
      <c r="P433" s="1339">
        <v>1</v>
      </c>
      <c r="Q433" s="1339"/>
      <c r="S433" t="s">
        <v>188</v>
      </c>
      <c r="AE433" s="1339">
        <v>1</v>
      </c>
      <c r="AF433" s="1339"/>
    </row>
    <row r="434" spans="1:36" ht="13" customHeight="1">
      <c r="E434" t="s">
        <v>189</v>
      </c>
      <c r="P434" s="1339">
        <v>0</v>
      </c>
      <c r="Q434" s="1339"/>
      <c r="S434" t="s">
        <v>131</v>
      </c>
      <c r="AE434" s="1339" t="s">
        <v>590</v>
      </c>
      <c r="AF434" s="1339"/>
    </row>
    <row r="435" spans="1:36" ht="13" customHeight="1">
      <c r="F435" s="28" t="s">
        <v>132</v>
      </c>
    </row>
    <row r="436" spans="1:36" ht="13" customHeight="1">
      <c r="F436" s="1807"/>
      <c r="G436" s="1807"/>
      <c r="H436" s="1807"/>
      <c r="I436" s="1807"/>
      <c r="J436" s="1807"/>
      <c r="K436" s="1807"/>
      <c r="L436" s="1807"/>
      <c r="M436" s="1807"/>
      <c r="N436" s="1807"/>
      <c r="O436" s="1807"/>
      <c r="P436" s="1807"/>
      <c r="Q436" s="1807"/>
      <c r="R436" s="1807"/>
      <c r="S436" s="1807"/>
      <c r="T436" s="1807"/>
      <c r="U436" s="1807"/>
      <c r="V436" s="1807"/>
      <c r="W436" s="1807"/>
      <c r="X436" s="1807"/>
      <c r="Y436" s="1807"/>
      <c r="Z436" s="1807"/>
      <c r="AA436" s="1807"/>
      <c r="AB436" s="1807"/>
      <c r="AC436" s="1807"/>
      <c r="AD436" s="1807"/>
      <c r="AE436" s="1807"/>
      <c r="AF436" s="1807"/>
      <c r="AG436" s="1807"/>
      <c r="AH436" s="1807"/>
    </row>
    <row r="437" spans="1:36" ht="13" customHeight="1">
      <c r="F437" s="1756"/>
      <c r="G437" s="1756"/>
      <c r="H437" s="1756"/>
      <c r="I437" s="1756"/>
      <c r="J437" s="1756"/>
      <c r="K437" s="1756"/>
      <c r="L437" s="1756"/>
      <c r="M437" s="1756"/>
      <c r="N437" s="1756"/>
      <c r="O437" s="1756"/>
      <c r="P437" s="1756"/>
      <c r="Q437" s="1756"/>
      <c r="R437" s="1756"/>
      <c r="S437" s="1756"/>
      <c r="T437" s="1756"/>
      <c r="U437" s="1756"/>
      <c r="V437" s="1756"/>
      <c r="W437" s="1756"/>
      <c r="X437" s="1756"/>
      <c r="Y437" s="1756"/>
      <c r="Z437" s="1756"/>
      <c r="AA437" s="1756"/>
      <c r="AB437" s="1756"/>
      <c r="AC437" s="1756"/>
      <c r="AD437" s="1756"/>
      <c r="AE437" s="1756"/>
      <c r="AF437" s="1756"/>
      <c r="AG437" s="1756"/>
      <c r="AH437" s="1756"/>
    </row>
    <row r="438" spans="1:36" ht="13" customHeight="1">
      <c r="E438" t="s">
        <v>607</v>
      </c>
      <c r="P438" s="1"/>
      <c r="Q438" s="1339" t="s">
        <v>544</v>
      </c>
      <c r="R438" s="1339"/>
    </row>
    <row r="439" spans="1:36" ht="13" customHeight="1">
      <c r="F439" t="s">
        <v>608</v>
      </c>
      <c r="P439" s="1"/>
      <c r="Q439" s="1"/>
      <c r="AF439" s="1339" t="s">
        <v>590</v>
      </c>
      <c r="AG439" s="1828"/>
    </row>
    <row r="440" spans="1:36" ht="13" customHeight="1"/>
    <row r="441" spans="1:36" ht="13" customHeight="1">
      <c r="A441" s="2"/>
      <c r="B441" s="2"/>
      <c r="C441" s="2"/>
      <c r="E441" s="4" t="s">
        <v>307</v>
      </c>
      <c r="Z441" s="1339" t="s">
        <v>668</v>
      </c>
      <c r="AA441" s="1339"/>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706</v>
      </c>
      <c r="G443" s="40"/>
      <c r="I443" s="40"/>
      <c r="J443" s="40"/>
      <c r="K443" s="40"/>
      <c r="L443" s="40"/>
      <c r="M443" s="40"/>
      <c r="N443" s="40"/>
      <c r="O443" s="28"/>
      <c r="P443" s="40"/>
      <c r="Q443" s="40"/>
      <c r="R443" s="40"/>
      <c r="S443" s="40"/>
      <c r="T443" s="40"/>
      <c r="U443" s="40"/>
      <c r="V443" s="40"/>
      <c r="W443" s="40"/>
      <c r="Z443" s="1339" t="s">
        <v>590</v>
      </c>
      <c r="AA443" s="1339"/>
    </row>
    <row r="444" spans="1:36" ht="13" customHeight="1"/>
    <row r="445" spans="1:36" ht="13" customHeight="1">
      <c r="A445" s="2" t="s">
        <v>466</v>
      </c>
      <c r="B445" s="2"/>
      <c r="C445" s="2"/>
      <c r="D445" s="2" t="s">
        <v>763</v>
      </c>
      <c r="AF445" s="48"/>
    </row>
    <row r="446" spans="1:36" ht="13" customHeight="1">
      <c r="D446" s="1723" t="s">
        <v>43</v>
      </c>
      <c r="E446" s="1724"/>
      <c r="F446" s="1724"/>
      <c r="G446" s="1724"/>
      <c r="H446" s="1724"/>
      <c r="I446" s="1724"/>
      <c r="J446" s="1724"/>
      <c r="K446" s="1724"/>
      <c r="L446" s="1724"/>
      <c r="M446" s="1724"/>
      <c r="N446" s="1724"/>
      <c r="O446" s="1724"/>
      <c r="P446" s="1724"/>
      <c r="Q446" s="1724"/>
      <c r="R446" s="1724"/>
      <c r="S446" s="1724"/>
      <c r="T446" s="1724"/>
      <c r="U446" s="1724"/>
      <c r="V446" s="1724"/>
      <c r="W446" s="1724"/>
      <c r="X446" s="1724"/>
      <c r="Y446" s="1724"/>
      <c r="Z446" s="1724"/>
      <c r="AA446" s="1724"/>
      <c r="AB446" s="1724"/>
      <c r="AC446" s="1724"/>
      <c r="AD446" s="1724"/>
      <c r="AE446" s="1724"/>
      <c r="AF446" s="1763"/>
      <c r="AG446" s="1779">
        <v>61</v>
      </c>
      <c r="AH446" s="1779"/>
      <c r="AI446" s="1779"/>
      <c r="AJ446" s="1779"/>
    </row>
    <row r="447" spans="1:36" ht="13" customHeight="1">
      <c r="D447" s="1536" t="s">
        <v>1221</v>
      </c>
      <c r="E447" s="1537"/>
      <c r="F447" s="1537"/>
      <c r="G447" s="1537"/>
      <c r="H447" s="1537"/>
      <c r="I447" s="1537"/>
      <c r="J447" s="1537"/>
      <c r="K447" s="1537"/>
      <c r="L447" s="1537"/>
      <c r="M447" s="1537"/>
      <c r="N447" s="1537"/>
      <c r="O447" s="1537"/>
      <c r="P447" s="1537"/>
      <c r="Q447" s="1537"/>
      <c r="R447" s="1537"/>
      <c r="S447" s="1537"/>
      <c r="T447" s="1537"/>
      <c r="U447" s="1537"/>
      <c r="V447" s="1537"/>
      <c r="W447" s="1537"/>
      <c r="X447" s="1537"/>
      <c r="Y447" s="1537"/>
      <c r="Z447" s="1537"/>
      <c r="AA447" s="1537"/>
      <c r="AB447" s="1537"/>
      <c r="AC447" s="1537"/>
      <c r="AD447" s="1537"/>
      <c r="AE447" s="1537"/>
      <c r="AF447" s="1538"/>
      <c r="AG447" s="1822">
        <v>0</v>
      </c>
      <c r="AH447" s="1446"/>
      <c r="AI447" s="1446"/>
      <c r="AJ447" s="1446"/>
    </row>
    <row r="448" spans="1:36" ht="13" customHeight="1">
      <c r="D448" s="1536" t="s">
        <v>1030</v>
      </c>
      <c r="E448" s="1537"/>
      <c r="F448" s="1537"/>
      <c r="G448" s="1537"/>
      <c r="H448" s="1537"/>
      <c r="I448" s="1537"/>
      <c r="J448" s="1537"/>
      <c r="K448" s="1537"/>
      <c r="L448" s="1537"/>
      <c r="M448" s="1537"/>
      <c r="N448" s="1537"/>
      <c r="O448" s="1537"/>
      <c r="P448" s="1537"/>
      <c r="Q448" s="1537"/>
      <c r="R448" s="1537"/>
      <c r="S448" s="1537"/>
      <c r="T448" s="1537"/>
      <c r="U448" s="1537"/>
      <c r="V448" s="1537"/>
      <c r="W448" s="1537"/>
      <c r="X448" s="1537"/>
      <c r="Y448" s="1537"/>
      <c r="Z448" s="1537"/>
      <c r="AA448" s="1537"/>
      <c r="AB448" s="1537"/>
      <c r="AC448" s="1537"/>
      <c r="AD448" s="1537"/>
      <c r="AE448" s="1537"/>
      <c r="AF448" s="1538"/>
      <c r="AG448" s="1779">
        <v>60</v>
      </c>
      <c r="AH448" s="1779"/>
      <c r="AI448" s="1779"/>
      <c r="AJ448" s="1779"/>
    </row>
    <row r="449" spans="4:55" ht="13" customHeight="1">
      <c r="D449" s="1536" t="s">
        <v>1031</v>
      </c>
      <c r="E449" s="1537"/>
      <c r="F449" s="1537"/>
      <c r="G449" s="1537"/>
      <c r="H449" s="1537"/>
      <c r="I449" s="1537"/>
      <c r="J449" s="1537"/>
      <c r="K449" s="1537"/>
      <c r="L449" s="1537"/>
      <c r="M449" s="1537"/>
      <c r="N449" s="1537"/>
      <c r="O449" s="1537"/>
      <c r="P449" s="1537"/>
      <c r="Q449" s="1537"/>
      <c r="R449" s="1537"/>
      <c r="S449" s="1537"/>
      <c r="T449" s="1537"/>
      <c r="U449" s="1537"/>
      <c r="V449" s="1537"/>
      <c r="W449" s="1537"/>
      <c r="X449" s="1537"/>
      <c r="Y449" s="1537"/>
      <c r="Z449" s="1537"/>
      <c r="AA449" s="1537"/>
      <c r="AB449" s="1537"/>
      <c r="AC449" s="1537"/>
      <c r="AD449" s="1537"/>
      <c r="AE449" s="1537"/>
      <c r="AF449" s="1538"/>
      <c r="AG449" s="1779">
        <v>60</v>
      </c>
      <c r="AH449" s="1779"/>
      <c r="AI449" s="1779"/>
      <c r="AJ449" s="1779"/>
    </row>
    <row r="450" spans="4:55" ht="13" customHeight="1">
      <c r="D450" s="1536" t="s">
        <v>1033</v>
      </c>
      <c r="E450" s="1537"/>
      <c r="F450" s="1537"/>
      <c r="G450" s="1537"/>
      <c r="H450" s="1537"/>
      <c r="I450" s="1537"/>
      <c r="J450" s="1537"/>
      <c r="K450" s="1537"/>
      <c r="L450" s="1537"/>
      <c r="M450" s="1537"/>
      <c r="N450" s="1537"/>
      <c r="O450" s="1537"/>
      <c r="P450" s="1537"/>
      <c r="Q450" s="1537"/>
      <c r="R450" s="1537"/>
      <c r="S450" s="1537"/>
      <c r="T450" s="1537"/>
      <c r="U450" s="1537"/>
      <c r="V450" s="1537"/>
      <c r="W450" s="1537"/>
      <c r="X450" s="1537"/>
      <c r="Y450" s="1537"/>
      <c r="Z450" s="1537"/>
      <c r="AA450" s="1537"/>
      <c r="AB450" s="1537"/>
      <c r="AC450" s="1537"/>
      <c r="AD450" s="1537"/>
      <c r="AE450" s="1537"/>
      <c r="AF450" s="1538"/>
      <c r="AG450" s="1823">
        <f>IF(ISERROR(AG449/AG448),0,AG449/AG448)</f>
        <v>1</v>
      </c>
      <c r="AH450" s="1823"/>
      <c r="AI450" s="1823"/>
      <c r="AJ450" s="1823"/>
    </row>
    <row r="451" spans="4:55" ht="13" customHeight="1">
      <c r="D451" s="1536" t="s">
        <v>1032</v>
      </c>
      <c r="E451" s="1537"/>
      <c r="F451" s="1537"/>
      <c r="G451" s="1537"/>
      <c r="H451" s="1537"/>
      <c r="I451" s="1537"/>
      <c r="J451" s="1537"/>
      <c r="K451" s="1537"/>
      <c r="L451" s="1537"/>
      <c r="M451" s="1537"/>
      <c r="N451" s="1537"/>
      <c r="O451" s="1537"/>
      <c r="P451" s="1537"/>
      <c r="Q451" s="1537"/>
      <c r="R451" s="1537"/>
      <c r="S451" s="1537"/>
      <c r="T451" s="1537"/>
      <c r="U451" s="1537"/>
      <c r="V451" s="1537"/>
      <c r="W451" s="1537"/>
      <c r="X451" s="1537"/>
      <c r="Y451" s="1537"/>
      <c r="Z451" s="1537"/>
      <c r="AA451" s="1537"/>
      <c r="AB451" s="1537"/>
      <c r="AC451" s="1537"/>
      <c r="AD451" s="1537"/>
      <c r="AE451" s="1537"/>
      <c r="AF451" s="1538"/>
      <c r="AG451" s="1712">
        <v>38914</v>
      </c>
      <c r="AH451" s="1712"/>
      <c r="AI451" s="1712"/>
      <c r="AJ451" s="1712"/>
    </row>
    <row r="452" spans="4:55" ht="13" customHeight="1">
      <c r="D452" s="1536" t="s">
        <v>1034</v>
      </c>
      <c r="E452" s="1537"/>
      <c r="F452" s="1537"/>
      <c r="G452" s="1537"/>
      <c r="H452" s="1537"/>
      <c r="I452" s="1537"/>
      <c r="J452" s="1537"/>
      <c r="K452" s="1537"/>
      <c r="L452" s="1537"/>
      <c r="M452" s="1537"/>
      <c r="N452" s="1537"/>
      <c r="O452" s="1537"/>
      <c r="P452" s="1537"/>
      <c r="Q452" s="1537"/>
      <c r="R452" s="1537"/>
      <c r="S452" s="1537"/>
      <c r="T452" s="1537"/>
      <c r="U452" s="1537"/>
      <c r="V452" s="1537"/>
      <c r="W452" s="1537"/>
      <c r="X452" s="1537"/>
      <c r="Y452" s="1537"/>
      <c r="Z452" s="1537"/>
      <c r="AA452" s="1537"/>
      <c r="AB452" s="1537"/>
      <c r="AC452" s="1537"/>
      <c r="AD452" s="1537"/>
      <c r="AE452" s="1537"/>
      <c r="AF452" s="1538"/>
      <c r="AG452" s="1712">
        <v>38914</v>
      </c>
      <c r="AH452" s="1712"/>
      <c r="AI452" s="1712"/>
      <c r="AJ452" s="1712"/>
    </row>
    <row r="453" spans="4:55" ht="13" customHeight="1">
      <c r="D453" s="1536" t="s">
        <v>1035</v>
      </c>
      <c r="E453" s="1537"/>
      <c r="F453" s="1537"/>
      <c r="G453" s="1537"/>
      <c r="H453" s="1537"/>
      <c r="I453" s="1537"/>
      <c r="J453" s="1537"/>
      <c r="K453" s="1537"/>
      <c r="L453" s="1537"/>
      <c r="M453" s="1537"/>
      <c r="N453" s="1537"/>
      <c r="O453" s="1537"/>
      <c r="P453" s="1537"/>
      <c r="Q453" s="1537"/>
      <c r="R453" s="1537"/>
      <c r="S453" s="1537"/>
      <c r="T453" s="1537"/>
      <c r="U453" s="1537"/>
      <c r="V453" s="1537"/>
      <c r="W453" s="1537"/>
      <c r="X453" s="1537"/>
      <c r="Y453" s="1537"/>
      <c r="Z453" s="1537"/>
      <c r="AA453" s="1537"/>
      <c r="AB453" s="1537"/>
      <c r="AC453" s="1537"/>
      <c r="AD453" s="1537"/>
      <c r="AE453" s="1537"/>
      <c r="AF453" s="1538"/>
      <c r="AG453" s="1823">
        <f>IF(ISERROR(AG452/AG451),0,AG452/AG451)</f>
        <v>1</v>
      </c>
      <c r="AH453" s="1823"/>
      <c r="AI453" s="1823"/>
      <c r="AJ453" s="1823"/>
    </row>
    <row r="454" spans="4:55" ht="13" customHeight="1">
      <c r="D454" s="1536" t="s">
        <v>1036</v>
      </c>
      <c r="E454" s="1537"/>
      <c r="F454" s="1537"/>
      <c r="G454" s="1537"/>
      <c r="H454" s="1537"/>
      <c r="I454" s="1537"/>
      <c r="J454" s="1537"/>
      <c r="K454" s="1537"/>
      <c r="L454" s="1537"/>
      <c r="M454" s="1537"/>
      <c r="N454" s="1537"/>
      <c r="O454" s="1537"/>
      <c r="P454" s="1537"/>
      <c r="Q454" s="1537"/>
      <c r="R454" s="1537"/>
      <c r="S454" s="1537"/>
      <c r="T454" s="1537"/>
      <c r="U454" s="1537"/>
      <c r="V454" s="1537"/>
      <c r="W454" s="1537"/>
      <c r="X454" s="1537"/>
      <c r="Y454" s="1537"/>
      <c r="Z454" s="1537"/>
      <c r="AA454" s="1537"/>
      <c r="AB454" s="1537"/>
      <c r="AC454" s="1537"/>
      <c r="AD454" s="1537"/>
      <c r="AE454" s="1537"/>
      <c r="AF454" s="1538"/>
      <c r="AG454" s="1823">
        <f>MIN(IF(AG450&gt;AG453,AG453,AG450),1)</f>
        <v>1</v>
      </c>
      <c r="AH454" s="1823"/>
      <c r="AI454" s="1823"/>
      <c r="AJ454" s="1823"/>
    </row>
    <row r="455" spans="4:55" ht="13" customHeight="1">
      <c r="D455" s="1536" t="s">
        <v>2042</v>
      </c>
      <c r="E455" s="1724"/>
      <c r="F455" s="1724"/>
      <c r="G455" s="1724"/>
      <c r="H455" s="1724"/>
      <c r="I455" s="1724"/>
      <c r="J455" s="1724"/>
      <c r="K455" s="1724"/>
      <c r="L455" s="1724"/>
      <c r="M455" s="1724"/>
      <c r="N455" s="1724"/>
      <c r="O455" s="1724"/>
      <c r="P455" s="1724"/>
      <c r="Q455" s="1724"/>
      <c r="R455" s="1724"/>
      <c r="S455" s="1724"/>
      <c r="T455" s="1724"/>
      <c r="U455" s="1724"/>
      <c r="V455" s="1724"/>
      <c r="W455" s="1724"/>
      <c r="X455" s="1724"/>
      <c r="Y455" s="1724"/>
      <c r="Z455" s="1724"/>
      <c r="AA455" s="1724"/>
      <c r="AB455" s="1724"/>
      <c r="AC455" s="1724"/>
      <c r="AD455" s="1724"/>
      <c r="AE455" s="1724"/>
      <c r="AF455" s="1763"/>
      <c r="AG455" s="1712">
        <v>2078</v>
      </c>
      <c r="AH455" s="1712"/>
      <c r="AI455" s="1712"/>
      <c r="AJ455" s="1712"/>
      <c r="AZ455" s="34"/>
      <c r="BA455" s="34"/>
      <c r="BB455" s="34"/>
      <c r="BC455" s="34"/>
    </row>
    <row r="456" spans="4:55" ht="13" customHeight="1">
      <c r="D456" s="1723" t="s">
        <v>568</v>
      </c>
      <c r="E456" s="1724"/>
      <c r="F456" s="1724"/>
      <c r="G456" s="1724"/>
      <c r="H456" s="1724"/>
      <c r="I456" s="1724"/>
      <c r="J456" s="1724"/>
      <c r="K456" s="1724"/>
      <c r="L456" s="1724"/>
      <c r="M456" s="1724"/>
      <c r="N456" s="1724"/>
      <c r="O456" s="1724"/>
      <c r="P456" s="1724"/>
      <c r="Q456" s="1724"/>
      <c r="R456" s="1724"/>
      <c r="S456" s="1724"/>
      <c r="T456" s="1724"/>
      <c r="U456" s="1724"/>
      <c r="V456" s="1724"/>
      <c r="W456" s="1724"/>
      <c r="X456" s="1724"/>
      <c r="Y456" s="1724"/>
      <c r="Z456" s="1724"/>
      <c r="AA456" s="1724"/>
      <c r="AB456" s="1724"/>
      <c r="AC456" s="1724"/>
      <c r="AD456" s="1724"/>
      <c r="AE456" s="1724"/>
      <c r="AF456" s="1763"/>
      <c r="AG456" s="1712">
        <v>0</v>
      </c>
      <c r="AH456" s="1712"/>
      <c r="AI456" s="1712"/>
      <c r="AJ456" s="1712"/>
      <c r="AZ456" s="3"/>
      <c r="BA456" s="3"/>
      <c r="BB456" s="3"/>
      <c r="BC456" s="3"/>
    </row>
    <row r="457" spans="4:55" ht="13" customHeight="1">
      <c r="D457" s="1536" t="s">
        <v>1204</v>
      </c>
      <c r="E457" s="1724"/>
      <c r="F457" s="1724"/>
      <c r="G457" s="1724"/>
      <c r="H457" s="1724"/>
      <c r="I457" s="1724"/>
      <c r="J457" s="1724"/>
      <c r="K457" s="1724"/>
      <c r="L457" s="1724"/>
      <c r="M457" s="1724"/>
      <c r="N457" s="1724"/>
      <c r="O457" s="1724"/>
      <c r="P457" s="1724"/>
      <c r="Q457" s="1724"/>
      <c r="R457" s="1724"/>
      <c r="S457" s="1724"/>
      <c r="T457" s="1724"/>
      <c r="U457" s="1724"/>
      <c r="V457" s="1724"/>
      <c r="W457" s="1724"/>
      <c r="X457" s="1724"/>
      <c r="Y457" s="1724"/>
      <c r="Z457" s="1724"/>
      <c r="AA457" s="1724"/>
      <c r="AB457" s="1724"/>
      <c r="AC457" s="1724"/>
      <c r="AD457" s="1724"/>
      <c r="AE457" s="1724"/>
      <c r="AF457" s="1763"/>
      <c r="AG457" s="1712">
        <v>13500</v>
      </c>
      <c r="AH457" s="1712"/>
      <c r="AI457" s="1712"/>
      <c r="AJ457" s="1712"/>
      <c r="AZ457" s="3"/>
      <c r="BA457" s="3"/>
      <c r="BB457" s="3"/>
      <c r="BC457" s="3"/>
    </row>
    <row r="458" spans="4:55" ht="13" customHeight="1">
      <c r="D458" s="1536" t="s">
        <v>1037</v>
      </c>
      <c r="E458" s="1724"/>
      <c r="F458" s="1724"/>
      <c r="G458" s="1724"/>
      <c r="H458" s="1724"/>
      <c r="I458" s="1724"/>
      <c r="J458" s="1724"/>
      <c r="K458" s="1724"/>
      <c r="L458" s="1724"/>
      <c r="M458" s="1724"/>
      <c r="N458" s="1724"/>
      <c r="O458" s="1724"/>
      <c r="P458" s="1724"/>
      <c r="Q458" s="1724"/>
      <c r="R458" s="1724"/>
      <c r="S458" s="1724"/>
      <c r="T458" s="1724"/>
      <c r="U458" s="1724"/>
      <c r="V458" s="1724"/>
      <c r="W458" s="1724"/>
      <c r="X458" s="1724"/>
      <c r="Y458" s="1724"/>
      <c r="Z458" s="1724"/>
      <c r="AA458" s="1724"/>
      <c r="AB458" s="1724"/>
      <c r="AC458" s="1724"/>
      <c r="AD458" s="1724"/>
      <c r="AE458" s="1724"/>
      <c r="AF458" s="1763"/>
      <c r="AG458" s="1712">
        <v>0</v>
      </c>
      <c r="AH458" s="1712"/>
      <c r="AI458" s="1712"/>
      <c r="AJ458" s="1712"/>
      <c r="BB458" s="3"/>
      <c r="BC458" s="3"/>
    </row>
    <row r="459" spans="4:55" ht="13" customHeight="1">
      <c r="D459" s="1773" t="s">
        <v>1038</v>
      </c>
      <c r="E459" s="1774"/>
      <c r="F459" s="1774"/>
      <c r="G459" s="1774"/>
      <c r="H459" s="1774"/>
      <c r="I459" s="1774"/>
      <c r="J459" s="1774"/>
      <c r="K459" s="1774"/>
      <c r="L459" s="1774"/>
      <c r="M459" s="1774"/>
      <c r="N459" s="1774"/>
      <c r="O459" s="1774"/>
      <c r="P459" s="1774"/>
      <c r="Q459" s="1774"/>
      <c r="R459" s="1774"/>
      <c r="S459" s="1774"/>
      <c r="T459" s="1774"/>
      <c r="U459" s="1774"/>
      <c r="V459" s="1774"/>
      <c r="W459" s="1774"/>
      <c r="X459" s="1774"/>
      <c r="Y459" s="1774"/>
      <c r="Z459" s="1774"/>
      <c r="AA459" s="1774"/>
      <c r="AB459" s="1774"/>
      <c r="AC459" s="1774"/>
      <c r="AD459" s="1774"/>
      <c r="AE459" s="1774"/>
      <c r="AF459" s="1775"/>
      <c r="AG459" s="1851">
        <f>AG451+AG455+AG457+AG458</f>
        <v>54492</v>
      </c>
      <c r="AH459" s="1851"/>
      <c r="AI459" s="1851"/>
      <c r="AJ459" s="1851"/>
      <c r="AZ459" s="3"/>
      <c r="BA459" s="3"/>
      <c r="BB459" s="3"/>
      <c r="BC459" s="3"/>
    </row>
    <row r="460" spans="4:55" ht="13" customHeight="1">
      <c r="D460" s="1750" t="s">
        <v>1205</v>
      </c>
      <c r="E460" s="1750"/>
      <c r="F460" s="1750"/>
      <c r="G460" s="1750"/>
      <c r="H460" s="1750"/>
      <c r="I460" s="1750"/>
      <c r="J460" s="1750"/>
      <c r="K460" s="1750"/>
      <c r="L460" s="1750"/>
      <c r="M460" s="1750"/>
      <c r="N460" s="1750"/>
      <c r="O460" s="1750"/>
      <c r="P460" s="1750"/>
      <c r="Q460" s="1750"/>
      <c r="R460" s="1750"/>
      <c r="S460" s="1750"/>
      <c r="T460" s="1750"/>
      <c r="U460" s="1750"/>
      <c r="V460" s="1750"/>
      <c r="W460" s="1750"/>
      <c r="X460" s="1750"/>
      <c r="Y460" s="1750"/>
      <c r="Z460" s="1750"/>
      <c r="AA460" s="1750"/>
      <c r="AB460" s="1750"/>
      <c r="AC460" s="1750"/>
      <c r="AD460" s="1750"/>
      <c r="AE460" s="1750"/>
      <c r="AF460" s="1750"/>
      <c r="AG460" s="1750"/>
      <c r="AH460" s="1750"/>
      <c r="AI460" s="1750"/>
      <c r="AJ460" s="1750"/>
      <c r="AZ460" s="3"/>
      <c r="BA460" s="3"/>
      <c r="BB460" s="3"/>
      <c r="BC460" s="3"/>
    </row>
    <row r="461" spans="4:55" ht="13" customHeight="1">
      <c r="D461" s="1751"/>
      <c r="E461" s="1751"/>
      <c r="F461" s="1751"/>
      <c r="G461" s="1751"/>
      <c r="H461" s="1751"/>
      <c r="I461" s="1751"/>
      <c r="J461" s="1751"/>
      <c r="K461" s="1751"/>
      <c r="L461" s="1751"/>
      <c r="M461" s="1751"/>
      <c r="N461" s="1751"/>
      <c r="O461" s="1751"/>
      <c r="P461" s="1751"/>
      <c r="Q461" s="1751"/>
      <c r="R461" s="1751"/>
      <c r="S461" s="1751"/>
      <c r="T461" s="1751"/>
      <c r="U461" s="1751"/>
      <c r="V461" s="1751"/>
      <c r="W461" s="1751"/>
      <c r="X461" s="1751"/>
      <c r="Y461" s="1751"/>
      <c r="Z461" s="1751"/>
      <c r="AA461" s="1751"/>
      <c r="AB461" s="1751"/>
      <c r="AC461" s="1751"/>
      <c r="AD461" s="1751"/>
      <c r="AE461" s="1751"/>
      <c r="AF461" s="1751"/>
      <c r="AG461" s="1751"/>
      <c r="AH461" s="1751"/>
      <c r="AI461" s="1751"/>
      <c r="AJ461" s="1751"/>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58">
        <f>IF(AG446=0,"",'Sources and Uses Budget'!B105/Application!AG446)</f>
        <v>575349.59016393439</v>
      </c>
      <c r="AD463" s="1758"/>
      <c r="AE463" s="1758"/>
      <c r="AF463" s="1758"/>
      <c r="AG463" s="177"/>
      <c r="AH463" s="177"/>
      <c r="AI463" s="177"/>
      <c r="AJ463" s="183"/>
      <c r="AZ463" s="3"/>
      <c r="BA463" s="3" t="str">
        <f>AG583</f>
        <v>Yes</v>
      </c>
      <c r="BB463" s="3"/>
      <c r="BC463" s="3"/>
    </row>
    <row r="464" spans="4:55" ht="13"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58">
        <f>IF(AG446=0,"",'Sources and Uses Budget'!C105/Application!AG446)</f>
        <v>575349.59016393439</v>
      </c>
      <c r="AD464" s="1758"/>
      <c r="AE464" s="1758"/>
      <c r="AF464" s="1758"/>
      <c r="AG464" s="177"/>
      <c r="AH464" s="177"/>
      <c r="AI464" s="177"/>
      <c r="AJ464" s="183"/>
      <c r="AZ464" s="3"/>
      <c r="BA464" s="3"/>
      <c r="BB464" s="3"/>
      <c r="BC464" s="3"/>
    </row>
    <row r="465" spans="1:55" ht="13"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58">
        <f>IF(AG446=0,"",('Sources and Uses Budget'!$S$107+'Sources and Uses Budget'!$T$107)/Application!AG446)</f>
        <v>457102.13114754099</v>
      </c>
      <c r="AD465" s="1758"/>
      <c r="AE465" s="1758"/>
      <c r="AF465" s="1758"/>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No</v>
      </c>
      <c r="BB469" s="3"/>
      <c r="BC469" s="3"/>
    </row>
    <row r="470" spans="1:55" ht="13"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835" t="s">
        <v>2054</v>
      </c>
      <c r="E473" s="1782"/>
      <c r="F473" s="1782"/>
      <c r="G473" s="1782"/>
      <c r="H473" s="1782"/>
      <c r="I473" s="1782"/>
      <c r="J473" s="1782"/>
      <c r="K473" s="1782"/>
      <c r="L473" s="1782"/>
      <c r="M473" s="1782"/>
      <c r="N473" s="1782"/>
      <c r="O473" s="1782"/>
      <c r="P473" s="1782"/>
      <c r="Q473" s="1782"/>
      <c r="R473" s="1782"/>
      <c r="S473" s="1782"/>
      <c r="T473" s="1782"/>
      <c r="U473" s="1782"/>
      <c r="V473" s="1783"/>
      <c r="W473" s="1518">
        <v>0</v>
      </c>
      <c r="X473" s="1519"/>
      <c r="Y473" s="1520"/>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781" t="s">
        <v>692</v>
      </c>
      <c r="E474" s="1782"/>
      <c r="F474" s="1782"/>
      <c r="G474" s="1782"/>
      <c r="H474" s="1782"/>
      <c r="I474" s="1782"/>
      <c r="J474" s="1782"/>
      <c r="K474" s="1782"/>
      <c r="L474" s="1782"/>
      <c r="M474" s="1782"/>
      <c r="N474" s="1782"/>
      <c r="O474" s="1782"/>
      <c r="P474" s="1782"/>
      <c r="Q474" s="1782"/>
      <c r="R474" s="1782"/>
      <c r="S474" s="1782"/>
      <c r="T474" s="1782"/>
      <c r="U474" s="1782"/>
      <c r="V474" s="1783"/>
      <c r="W474" s="1518">
        <v>0</v>
      </c>
      <c r="X474" s="1519"/>
      <c r="Y474" s="1520"/>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781" t="s">
        <v>693</v>
      </c>
      <c r="E475" s="1782"/>
      <c r="F475" s="1782"/>
      <c r="G475" s="1782"/>
      <c r="H475" s="1782"/>
      <c r="I475" s="1782"/>
      <c r="J475" s="1782"/>
      <c r="K475" s="1782"/>
      <c r="L475" s="1782"/>
      <c r="M475" s="1782"/>
      <c r="N475" s="1782"/>
      <c r="O475" s="1782"/>
      <c r="P475" s="1782"/>
      <c r="Q475" s="1782"/>
      <c r="R475" s="1782"/>
      <c r="S475" s="1782"/>
      <c r="T475" s="1782"/>
      <c r="U475" s="1782"/>
      <c r="V475" s="1783"/>
      <c r="W475" s="1518">
        <v>0</v>
      </c>
      <c r="X475" s="1519"/>
      <c r="Y475" s="152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781" t="s">
        <v>694</v>
      </c>
      <c r="E476" s="1782"/>
      <c r="F476" s="1782"/>
      <c r="G476" s="1782"/>
      <c r="H476" s="1782"/>
      <c r="I476" s="1782"/>
      <c r="J476" s="1782"/>
      <c r="K476" s="1782"/>
      <c r="L476" s="1782"/>
      <c r="M476" s="1782"/>
      <c r="N476" s="1782"/>
      <c r="O476" s="1782"/>
      <c r="P476" s="1782"/>
      <c r="Q476" s="1782"/>
      <c r="R476" s="1782"/>
      <c r="S476" s="1782"/>
      <c r="T476" s="1782"/>
      <c r="U476" s="1782"/>
      <c r="V476" s="1783"/>
      <c r="W476" s="1518">
        <v>0</v>
      </c>
      <c r="X476" s="1519"/>
      <c r="Y476" s="1520"/>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781" t="s">
        <v>880</v>
      </c>
      <c r="E477" s="1782"/>
      <c r="F477" s="1782"/>
      <c r="G477" s="1782"/>
      <c r="H477" s="1782"/>
      <c r="I477" s="1782"/>
      <c r="J477" s="1782"/>
      <c r="K477" s="1782"/>
      <c r="L477" s="1782"/>
      <c r="M477" s="1782"/>
      <c r="N477" s="1782"/>
      <c r="O477" s="1782"/>
      <c r="P477" s="1782"/>
      <c r="Q477" s="1782"/>
      <c r="R477" s="1782"/>
      <c r="S477" s="1782"/>
      <c r="T477" s="1782"/>
      <c r="U477" s="1782"/>
      <c r="V477" s="1783"/>
      <c r="W477" s="1518">
        <v>0</v>
      </c>
      <c r="X477" s="1519"/>
      <c r="Y477" s="1520"/>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781" t="s">
        <v>695</v>
      </c>
      <c r="E478" s="1782"/>
      <c r="F478" s="1782"/>
      <c r="G478" s="1782"/>
      <c r="H478" s="1782"/>
      <c r="I478" s="1782"/>
      <c r="J478" s="1782"/>
      <c r="K478" s="1782"/>
      <c r="L478" s="1782"/>
      <c r="M478" s="1782"/>
      <c r="N478" s="1782"/>
      <c r="O478" s="1782"/>
      <c r="P478" s="1782"/>
      <c r="Q478" s="1782"/>
      <c r="R478" s="1782"/>
      <c r="S478" s="1782"/>
      <c r="T478" s="1782"/>
      <c r="U478" s="1782"/>
      <c r="V478" s="1783"/>
      <c r="W478" s="1518">
        <v>0</v>
      </c>
      <c r="X478" s="1519"/>
      <c r="Y478" s="1520"/>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781" t="s">
        <v>1011</v>
      </c>
      <c r="E479" s="1782"/>
      <c r="F479" s="1782"/>
      <c r="G479" s="1782"/>
      <c r="H479" s="1782"/>
      <c r="I479" s="1782"/>
      <c r="J479" s="1782"/>
      <c r="K479" s="1782"/>
      <c r="L479" s="1782"/>
      <c r="M479" s="1782"/>
      <c r="N479" s="1782"/>
      <c r="O479" s="1782"/>
      <c r="P479" s="1782"/>
      <c r="Q479" s="1782"/>
      <c r="R479" s="1782"/>
      <c r="S479" s="1782"/>
      <c r="T479" s="1782"/>
      <c r="U479" s="1782"/>
      <c r="V479" s="1783"/>
      <c r="W479" s="1518">
        <v>0</v>
      </c>
      <c r="X479" s="1519"/>
      <c r="Y479" s="1520"/>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835" t="s">
        <v>2144</v>
      </c>
      <c r="E480" s="1852"/>
      <c r="F480" s="1852"/>
      <c r="G480" s="1852"/>
      <c r="H480" s="1852"/>
      <c r="I480" s="1852"/>
      <c r="J480" s="1852"/>
      <c r="K480" s="1852"/>
      <c r="L480" s="1852"/>
      <c r="M480" s="1852"/>
      <c r="N480" s="1852"/>
      <c r="O480" s="1852"/>
      <c r="P480" s="1852"/>
      <c r="Q480" s="1852"/>
      <c r="R480" s="1852"/>
      <c r="S480" s="1852"/>
      <c r="T480" s="1852"/>
      <c r="U480" s="1852"/>
      <c r="V480" s="1853"/>
      <c r="W480" s="1518">
        <v>0</v>
      </c>
      <c r="X480" s="1519"/>
      <c r="Y480" s="1520"/>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835" t="s">
        <v>1642</v>
      </c>
      <c r="E481" s="1782"/>
      <c r="F481" s="1782"/>
      <c r="G481" s="1782"/>
      <c r="H481" s="1782"/>
      <c r="I481" s="1782"/>
      <c r="J481" s="1782"/>
      <c r="K481" s="1782"/>
      <c r="L481" s="1782"/>
      <c r="M481" s="1782"/>
      <c r="N481" s="1782"/>
      <c r="O481" s="1782"/>
      <c r="P481" s="1782"/>
      <c r="Q481" s="1782"/>
      <c r="R481" s="1782"/>
      <c r="S481" s="1782"/>
      <c r="T481" s="1782"/>
      <c r="U481" s="1782"/>
      <c r="V481" s="1783"/>
      <c r="W481" s="1518">
        <v>10</v>
      </c>
      <c r="X481" s="1519"/>
      <c r="Y481" s="1520"/>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169</v>
      </c>
      <c r="E482" s="244"/>
      <c r="F482" s="245"/>
      <c r="G482" s="1489"/>
      <c r="H482" s="1490"/>
      <c r="I482" s="1490"/>
      <c r="J482" s="1490"/>
      <c r="K482" s="1490"/>
      <c r="L482" s="1490"/>
      <c r="M482" s="1490"/>
      <c r="N482" s="1490"/>
      <c r="O482" s="1490"/>
      <c r="P482" s="1490"/>
      <c r="Q482" s="1490"/>
      <c r="R482" s="1490"/>
      <c r="S482" s="1490"/>
      <c r="T482" s="1490"/>
      <c r="U482" s="1490"/>
      <c r="V482" s="1491"/>
      <c r="W482" s="1518">
        <v>0</v>
      </c>
      <c r="X482" s="1519"/>
      <c r="Y482" s="1520"/>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t="s">
        <v>2717</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t="s">
        <v>2718</v>
      </c>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Yes</v>
      </c>
      <c r="BB487" s="3"/>
      <c r="BC487" s="3"/>
    </row>
    <row r="488" spans="1:55" ht="13" customHeight="1">
      <c r="A488" s="1516" t="s">
        <v>809</v>
      </c>
      <c r="B488" s="1516"/>
      <c r="C488" s="1516"/>
      <c r="D488" s="1516"/>
      <c r="E488" s="1516"/>
      <c r="F488" s="1516"/>
      <c r="G488" s="1516"/>
      <c r="H488" s="1516"/>
      <c r="I488" s="1516"/>
      <c r="J488" s="1516"/>
      <c r="K488" s="1516"/>
      <c r="L488" s="1516"/>
      <c r="M488" s="1516"/>
      <c r="N488" s="1516"/>
      <c r="O488" s="1516"/>
      <c r="P488" s="1516"/>
      <c r="Q488" s="1516"/>
      <c r="R488" s="1516"/>
      <c r="S488" s="1516"/>
      <c r="T488" s="1516"/>
      <c r="U488" s="1516"/>
      <c r="V488" s="1516"/>
      <c r="W488" s="1516"/>
      <c r="X488" s="1516"/>
      <c r="Y488" s="1516"/>
      <c r="Z488" s="1516"/>
      <c r="AA488" s="1516"/>
      <c r="AB488" s="1516"/>
      <c r="AC488" s="1516"/>
      <c r="AD488" s="1516"/>
      <c r="AE488" s="1516"/>
      <c r="AF488" s="1516"/>
      <c r="AG488" s="1516"/>
      <c r="AH488" s="1516"/>
      <c r="AI488" s="1516"/>
      <c r="AJ488" s="1516"/>
      <c r="AK488" s="1516"/>
      <c r="AL488" s="1516"/>
      <c r="AM488" s="1516"/>
      <c r="AN488" s="1516"/>
      <c r="AO488" s="1516"/>
      <c r="AP488" s="1516"/>
      <c r="AQ488" s="1516"/>
      <c r="AR488" s="1516"/>
      <c r="AS488" s="1516"/>
      <c r="AT488" s="1516"/>
      <c r="AU488" s="95"/>
      <c r="AV488" s="95"/>
      <c r="AW488" s="95"/>
      <c r="AX488" s="95"/>
      <c r="AY488" s="95"/>
      <c r="AZ488" s="3"/>
      <c r="BB488" s="3"/>
      <c r="BC488" s="3"/>
    </row>
    <row r="489" spans="1:55" ht="13" customHeight="1">
      <c r="A489" s="1516"/>
      <c r="B489" s="1516"/>
      <c r="C489" s="1516"/>
      <c r="D489" s="1516"/>
      <c r="E489" s="1516"/>
      <c r="F489" s="1516"/>
      <c r="G489" s="1516"/>
      <c r="H489" s="1516"/>
      <c r="I489" s="1516"/>
      <c r="J489" s="1516"/>
      <c r="K489" s="1516"/>
      <c r="L489" s="1516"/>
      <c r="M489" s="1516"/>
      <c r="N489" s="1516"/>
      <c r="O489" s="1516"/>
      <c r="P489" s="1516"/>
      <c r="Q489" s="1516"/>
      <c r="R489" s="1516"/>
      <c r="S489" s="1516"/>
      <c r="T489" s="1516"/>
      <c r="U489" s="1516"/>
      <c r="V489" s="1516"/>
      <c r="W489" s="1516"/>
      <c r="X489" s="1516"/>
      <c r="Y489" s="1516"/>
      <c r="Z489" s="1516"/>
      <c r="AA489" s="1516"/>
      <c r="AB489" s="1516"/>
      <c r="AC489" s="1516"/>
      <c r="AD489" s="1516"/>
      <c r="AE489" s="1516"/>
      <c r="AF489" s="1516"/>
      <c r="AG489" s="1516"/>
      <c r="AH489" s="1516"/>
      <c r="AI489" s="1516"/>
      <c r="AJ489" s="1516"/>
      <c r="AK489" s="1516"/>
      <c r="AL489" s="1516"/>
      <c r="AM489" s="1516"/>
      <c r="AN489" s="1516"/>
      <c r="AO489" s="1516"/>
      <c r="AP489" s="1516"/>
      <c r="AQ489" s="1516"/>
      <c r="AR489" s="1516"/>
      <c r="AS489" s="1516"/>
      <c r="AT489" s="1516"/>
      <c r="AZ489" s="3"/>
      <c r="BB489" s="3"/>
      <c r="BC489" s="3"/>
    </row>
    <row r="490" spans="1:55" ht="13" customHeight="1">
      <c r="AZ490" s="3"/>
      <c r="BB490" s="3"/>
      <c r="BC490" s="3"/>
    </row>
    <row r="491" spans="1:55" ht="13" customHeight="1">
      <c r="A491" s="2" t="s">
        <v>318</v>
      </c>
      <c r="C491" s="2" t="s">
        <v>807</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770" t="s">
        <v>392</v>
      </c>
      <c r="R493" s="1771"/>
      <c r="S493" s="1771"/>
      <c r="T493" s="1771"/>
      <c r="U493" s="1771"/>
      <c r="V493" s="1771"/>
      <c r="W493" s="1771"/>
      <c r="X493" s="1771"/>
      <c r="Y493" s="1771"/>
      <c r="Z493" s="1771"/>
      <c r="AA493" s="1771"/>
      <c r="AB493" s="1771"/>
      <c r="AC493" s="1771"/>
      <c r="AD493" s="1771"/>
      <c r="AE493" s="1771"/>
      <c r="AF493" s="1771"/>
      <c r="AG493" s="1771"/>
      <c r="AH493" s="1771"/>
      <c r="AI493" s="1771"/>
      <c r="AJ493" s="1771"/>
      <c r="AK493" s="1772"/>
      <c r="AZ493" s="3"/>
      <c r="BB493" s="3"/>
      <c r="BC493" s="3"/>
    </row>
    <row r="494" spans="1:55" ht="13" customHeight="1">
      <c r="B494" s="45" t="s">
        <v>393</v>
      </c>
      <c r="C494" s="5"/>
      <c r="D494" s="5"/>
      <c r="E494" s="5"/>
      <c r="F494" s="5"/>
      <c r="G494" s="5"/>
      <c r="H494" s="5"/>
      <c r="I494" s="5"/>
      <c r="J494" s="5"/>
      <c r="K494" s="5"/>
      <c r="L494" s="5"/>
      <c r="M494" s="5"/>
      <c r="N494" s="5"/>
      <c r="O494" s="5"/>
      <c r="P494" s="5"/>
      <c r="Q494" s="1576" t="s">
        <v>2719</v>
      </c>
      <c r="R494" s="1457"/>
      <c r="S494" s="1457"/>
      <c r="T494" s="1457"/>
      <c r="U494" s="1457"/>
      <c r="V494" s="1457"/>
      <c r="W494" s="1457"/>
      <c r="X494" s="1457"/>
      <c r="Y494" s="1457"/>
      <c r="Z494" s="1457"/>
      <c r="AA494" s="1457"/>
      <c r="AB494" s="1457"/>
      <c r="AC494" s="1457"/>
      <c r="AD494" s="1457"/>
      <c r="AE494" s="1457"/>
      <c r="AF494" s="1457"/>
      <c r="AG494" s="1457"/>
      <c r="AH494" s="1457"/>
      <c r="AI494" s="1457"/>
      <c r="AJ494" s="1457"/>
      <c r="AK494" s="1577"/>
      <c r="AZ494" s="3"/>
      <c r="BB494" s="3"/>
      <c r="BC494" s="3"/>
    </row>
    <row r="495" spans="1:55" ht="13" customHeight="1">
      <c r="B495" s="45" t="s">
        <v>394</v>
      </c>
      <c r="C495" s="5"/>
      <c r="D495" s="5"/>
      <c r="E495" s="5"/>
      <c r="F495" s="5"/>
      <c r="G495" s="5"/>
      <c r="H495" s="5"/>
      <c r="I495" s="5"/>
      <c r="J495" s="5"/>
      <c r="K495" s="5"/>
      <c r="L495" s="5"/>
      <c r="M495" s="5"/>
      <c r="N495" s="5"/>
      <c r="O495" s="5"/>
      <c r="P495" s="5"/>
      <c r="Q495" s="1576" t="s">
        <v>2720</v>
      </c>
      <c r="R495" s="1457"/>
      <c r="S495" s="1457"/>
      <c r="T495" s="1457"/>
      <c r="U495" s="1457"/>
      <c r="V495" s="1457"/>
      <c r="W495" s="1457"/>
      <c r="X495" s="1457"/>
      <c r="Y495" s="1457"/>
      <c r="Z495" s="1457"/>
      <c r="AA495" s="1457"/>
      <c r="AB495" s="1457"/>
      <c r="AC495" s="1457"/>
      <c r="AD495" s="1457"/>
      <c r="AE495" s="1457"/>
      <c r="AF495" s="1457"/>
      <c r="AG495" s="1457"/>
      <c r="AH495" s="1457"/>
      <c r="AI495" s="1457"/>
      <c r="AJ495" s="1457"/>
      <c r="AK495" s="1577"/>
      <c r="AZ495" s="3"/>
      <c r="BB495" s="3"/>
      <c r="BC495" s="3"/>
    </row>
    <row r="496" spans="1:55" ht="13" customHeight="1">
      <c r="B496" s="45" t="s">
        <v>395</v>
      </c>
      <c r="C496" s="5"/>
      <c r="D496" s="5"/>
      <c r="E496" s="5"/>
      <c r="F496" s="5"/>
      <c r="G496" s="5"/>
      <c r="H496" s="5"/>
      <c r="I496" s="5"/>
      <c r="J496" s="5"/>
      <c r="K496" s="5"/>
      <c r="L496" s="5"/>
      <c r="M496" s="5"/>
      <c r="N496" s="5"/>
      <c r="O496" s="5"/>
      <c r="P496" s="5"/>
      <c r="Q496" s="1576" t="s">
        <v>2721</v>
      </c>
      <c r="R496" s="1457"/>
      <c r="S496" s="1457"/>
      <c r="T496" s="1457"/>
      <c r="U496" s="1457"/>
      <c r="V496" s="1457"/>
      <c r="W496" s="1457"/>
      <c r="X496" s="1457"/>
      <c r="Y496" s="1457"/>
      <c r="Z496" s="1457"/>
      <c r="AA496" s="1457"/>
      <c r="AB496" s="1457"/>
      <c r="AC496" s="1457"/>
      <c r="AD496" s="1457"/>
      <c r="AE496" s="1457"/>
      <c r="AF496" s="1457"/>
      <c r="AG496" s="1457"/>
      <c r="AH496" s="1457"/>
      <c r="AI496" s="1457"/>
      <c r="AJ496" s="1457"/>
      <c r="AK496" s="1577"/>
      <c r="AZ496" s="3"/>
      <c r="BA496" s="3"/>
      <c r="BB496" s="3"/>
      <c r="BC496" s="3"/>
    </row>
    <row r="497" spans="1:66" ht="13" customHeight="1">
      <c r="B497" s="1839" t="s">
        <v>396</v>
      </c>
      <c r="C497" s="1840"/>
      <c r="D497" s="1840"/>
      <c r="E497" s="1840"/>
      <c r="F497" s="1840"/>
      <c r="G497" s="1840"/>
      <c r="H497" s="1840"/>
      <c r="I497" s="1840"/>
      <c r="J497" s="1840"/>
      <c r="K497" s="1840"/>
      <c r="L497" s="1840"/>
      <c r="M497" s="1840"/>
      <c r="N497" s="1840"/>
      <c r="O497" s="1840"/>
      <c r="P497" s="1841"/>
      <c r="Q497" s="1845" t="s">
        <v>544</v>
      </c>
      <c r="R497" s="1846"/>
      <c r="S497" s="1752" t="s">
        <v>2722</v>
      </c>
      <c r="T497" s="1753"/>
      <c r="U497" s="1753"/>
      <c r="V497" s="1753"/>
      <c r="W497" s="1753"/>
      <c r="X497" s="1753"/>
      <c r="Y497" s="1753"/>
      <c r="Z497" s="1753"/>
      <c r="AA497" s="1753"/>
      <c r="AB497" s="1753"/>
      <c r="AC497" s="1753"/>
      <c r="AD497" s="1753"/>
      <c r="AE497" s="1753"/>
      <c r="AF497" s="1753"/>
      <c r="AG497" s="1753"/>
      <c r="AH497" s="1753"/>
      <c r="AI497" s="1753"/>
      <c r="AJ497" s="1753"/>
      <c r="AK497" s="1754"/>
      <c r="AZ497" s="3"/>
      <c r="BA497" s="3"/>
      <c r="BB497" s="3"/>
      <c r="BC497" s="3"/>
    </row>
    <row r="498" spans="1:66" ht="13" customHeight="1">
      <c r="B498" s="1842"/>
      <c r="C498" s="1843"/>
      <c r="D498" s="1843"/>
      <c r="E498" s="1843"/>
      <c r="F498" s="1843"/>
      <c r="G498" s="1843"/>
      <c r="H498" s="1843"/>
      <c r="I498" s="1843"/>
      <c r="J498" s="1843"/>
      <c r="K498" s="1843"/>
      <c r="L498" s="1843"/>
      <c r="M498" s="1843"/>
      <c r="N498" s="1843"/>
      <c r="O498" s="1843"/>
      <c r="P498" s="1844"/>
      <c r="Q498" s="1847"/>
      <c r="R498" s="1848"/>
      <c r="S498" s="1755"/>
      <c r="T498" s="1756"/>
      <c r="U498" s="1756"/>
      <c r="V498" s="1756"/>
      <c r="W498" s="1756"/>
      <c r="X498" s="1756"/>
      <c r="Y498" s="1756"/>
      <c r="Z498" s="1756"/>
      <c r="AA498" s="1756"/>
      <c r="AB498" s="1756"/>
      <c r="AC498" s="1756"/>
      <c r="AD498" s="1756"/>
      <c r="AE498" s="1756"/>
      <c r="AF498" s="1756"/>
      <c r="AG498" s="1756"/>
      <c r="AH498" s="1756"/>
      <c r="AI498" s="1756"/>
      <c r="AJ498" s="1756"/>
      <c r="AK498" s="1757"/>
      <c r="AZ498" s="3"/>
      <c r="BA498" s="3"/>
      <c r="BB498" s="3"/>
      <c r="BC498" s="3"/>
    </row>
    <row r="499" spans="1:66" ht="13" customHeight="1">
      <c r="B499" s="891" t="s">
        <v>1659</v>
      </c>
      <c r="C499" s="869"/>
      <c r="D499" s="869"/>
      <c r="E499" s="869"/>
      <c r="F499" s="869"/>
      <c r="G499" s="869"/>
      <c r="H499" s="869"/>
      <c r="I499" s="869"/>
      <c r="J499" s="869"/>
      <c r="K499" s="869"/>
      <c r="L499" s="869"/>
      <c r="M499" s="869"/>
      <c r="N499" s="869"/>
      <c r="O499" s="869"/>
      <c r="P499" s="869"/>
      <c r="Q499" s="1825" t="s">
        <v>2723</v>
      </c>
      <c r="R499" s="1826"/>
      <c r="S499" s="1826"/>
      <c r="T499" s="1826"/>
      <c r="U499" s="1826"/>
      <c r="V499" s="1826"/>
      <c r="W499" s="1826"/>
      <c r="X499" s="1826"/>
      <c r="Y499" s="1826"/>
      <c r="Z499" s="1826"/>
      <c r="AA499" s="1826"/>
      <c r="AB499" s="1826"/>
      <c r="AC499" s="1826"/>
      <c r="AD499" s="1826"/>
      <c r="AE499" s="1826"/>
      <c r="AF499" s="1826"/>
      <c r="AG499" s="1826"/>
      <c r="AH499" s="1826"/>
      <c r="AI499" s="1826"/>
      <c r="AJ499" s="1826"/>
      <c r="AK499" s="1827"/>
      <c r="AZ499" s="3"/>
      <c r="BA499" s="3"/>
      <c r="BB499" s="3"/>
      <c r="BC499" s="3"/>
    </row>
    <row r="500" spans="1:66" ht="13" customHeight="1">
      <c r="B500" s="45" t="s">
        <v>397</v>
      </c>
      <c r="C500" s="5"/>
      <c r="D500" s="5"/>
      <c r="E500" s="5"/>
      <c r="F500" s="5"/>
      <c r="G500" s="5"/>
      <c r="H500" s="5"/>
      <c r="I500" s="5"/>
      <c r="J500" s="5"/>
      <c r="K500" s="5"/>
      <c r="L500" s="5"/>
      <c r="M500" s="5"/>
      <c r="N500" s="5"/>
      <c r="O500" s="5"/>
      <c r="P500" s="5"/>
      <c r="Q500" s="1576" t="s">
        <v>2724</v>
      </c>
      <c r="R500" s="1457"/>
      <c r="S500" s="1457"/>
      <c r="T500" s="1457"/>
      <c r="U500" s="1457"/>
      <c r="V500" s="1457"/>
      <c r="W500" s="1457"/>
      <c r="X500" s="1457"/>
      <c r="Y500" s="1457"/>
      <c r="Z500" s="1457"/>
      <c r="AA500" s="1457"/>
      <c r="AB500" s="1457"/>
      <c r="AC500" s="1457"/>
      <c r="AD500" s="1457"/>
      <c r="AE500" s="1457"/>
      <c r="AF500" s="1457"/>
      <c r="AG500" s="1457"/>
      <c r="AH500" s="1457"/>
      <c r="AI500" s="1457"/>
      <c r="AJ500" s="1457"/>
      <c r="AK500" s="1577"/>
      <c r="AZ500" s="3"/>
      <c r="BA500" s="3"/>
      <c r="BB500" s="3"/>
      <c r="BC500" s="3"/>
    </row>
    <row r="501" spans="1:66" ht="13" customHeight="1">
      <c r="B501" s="45" t="s">
        <v>398</v>
      </c>
      <c r="C501" s="5"/>
      <c r="D501" s="5"/>
      <c r="E501" s="5"/>
      <c r="F501" s="5"/>
      <c r="G501" s="5"/>
      <c r="H501" s="5"/>
      <c r="I501" s="5"/>
      <c r="J501" s="5"/>
      <c r="K501" s="5"/>
      <c r="L501" s="5"/>
      <c r="M501" s="5"/>
      <c r="N501" s="5"/>
      <c r="O501" s="5"/>
      <c r="P501" s="5"/>
      <c r="Q501" s="1576" t="s">
        <v>2724</v>
      </c>
      <c r="R501" s="1457"/>
      <c r="S501" s="1457"/>
      <c r="T501" s="1457"/>
      <c r="U501" s="1457"/>
      <c r="V501" s="1457"/>
      <c r="W501" s="1457"/>
      <c r="X501" s="1457"/>
      <c r="Y501" s="1457"/>
      <c r="Z501" s="1457"/>
      <c r="AA501" s="1457"/>
      <c r="AB501" s="1457"/>
      <c r="AC501" s="1457"/>
      <c r="AD501" s="1457"/>
      <c r="AE501" s="1457"/>
      <c r="AF501" s="1457"/>
      <c r="AG501" s="1457"/>
      <c r="AH501" s="1457"/>
      <c r="AI501" s="1457"/>
      <c r="AJ501" s="1457"/>
      <c r="AK501" s="1577"/>
      <c r="AZ501" s="3"/>
      <c r="BA501" s="3"/>
      <c r="BB501" s="3"/>
      <c r="BC501" s="3"/>
    </row>
    <row r="502" spans="1:66" ht="13" customHeight="1">
      <c r="B502" s="121" t="s">
        <v>1656</v>
      </c>
      <c r="C502" s="5"/>
      <c r="D502" s="5"/>
      <c r="E502" s="5"/>
      <c r="F502" s="5"/>
      <c r="G502" s="5"/>
      <c r="H502" s="5"/>
      <c r="I502" s="5"/>
      <c r="J502" s="5"/>
      <c r="K502" s="5"/>
      <c r="L502" s="5"/>
      <c r="M502" s="5"/>
      <c r="N502" s="5"/>
      <c r="O502" s="5"/>
      <c r="P502" s="5"/>
      <c r="Q502" s="1576">
        <v>31</v>
      </c>
      <c r="R502" s="1457"/>
      <c r="S502" s="1457"/>
      <c r="T502" s="1457"/>
      <c r="U502" s="1457"/>
      <c r="V502" s="1457"/>
      <c r="W502" s="1457"/>
      <c r="X502" s="1457"/>
      <c r="Y502" s="1457"/>
      <c r="Z502" s="1457"/>
      <c r="AA502" s="1457"/>
      <c r="AB502" s="1457"/>
      <c r="AC502" s="1457"/>
      <c r="AD502" s="1457"/>
      <c r="AE502" s="1457"/>
      <c r="AF502" s="1457"/>
      <c r="AG502" s="1457"/>
      <c r="AH502" s="1457"/>
      <c r="AI502" s="1457"/>
      <c r="AJ502" s="1457"/>
      <c r="AK502" s="1577"/>
      <c r="AZ502" s="3"/>
      <c r="BA502" s="3"/>
      <c r="BB502" s="3"/>
      <c r="BC502" s="3"/>
    </row>
    <row r="503" spans="1:66" ht="13" customHeight="1">
      <c r="B503" s="121" t="s">
        <v>1657</v>
      </c>
      <c r="C503" s="5"/>
      <c r="D503" s="5"/>
      <c r="E503" s="5"/>
      <c r="F503" s="5"/>
      <c r="G503" s="5"/>
      <c r="H503" s="5"/>
      <c r="I503" s="5"/>
      <c r="J503" s="5"/>
      <c r="K503" s="5"/>
      <c r="L503" s="5"/>
      <c r="M503" s="1498"/>
      <c r="N503" s="1499"/>
      <c r="O503" s="1499"/>
      <c r="P503" s="1500"/>
      <c r="Q503" s="121" t="s">
        <v>1658</v>
      </c>
      <c r="R503" s="5"/>
      <c r="S503" s="5"/>
      <c r="T503" s="5"/>
      <c r="U503" s="5"/>
      <c r="V503" s="5"/>
      <c r="W503" s="5"/>
      <c r="X503" s="5"/>
      <c r="Y503" s="5"/>
      <c r="Z503" s="5"/>
      <c r="AA503" s="5"/>
      <c r="AB503" s="5"/>
      <c r="AC503" s="5"/>
      <c r="AD503" s="5"/>
      <c r="AE503" s="5"/>
      <c r="AF503" s="5"/>
      <c r="AG503" s="5"/>
      <c r="AH503" s="1498">
        <v>31</v>
      </c>
      <c r="AI503" s="1499"/>
      <c r="AJ503" s="1499"/>
      <c r="AK503" s="1500"/>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70" t="s">
        <v>400</v>
      </c>
      <c r="AD507" s="1771"/>
      <c r="AE507" s="1771"/>
      <c r="AF507" s="1771"/>
      <c r="AG507" s="1771"/>
      <c r="AH507" s="1771"/>
      <c r="AI507" s="1771"/>
      <c r="AJ507" s="1771"/>
      <c r="AK507" s="1772"/>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70" t="s">
        <v>401</v>
      </c>
      <c r="AD508" s="1771"/>
      <c r="AE508" s="1771"/>
      <c r="AF508" s="1771"/>
      <c r="AG508" s="50" t="s">
        <v>402</v>
      </c>
      <c r="AH508" s="1771" t="s">
        <v>403</v>
      </c>
      <c r="AI508" s="1771"/>
      <c r="AJ508" s="1771"/>
      <c r="AK508" s="1772"/>
      <c r="AZ508" s="3"/>
      <c r="BA508" s="3"/>
      <c r="BB508" s="3"/>
      <c r="BC508" s="3"/>
      <c r="BD508" s="3"/>
      <c r="BE508" s="3"/>
      <c r="BF508" s="3"/>
      <c r="BG508" s="3"/>
      <c r="BH508" s="3"/>
      <c r="BI508" s="3"/>
      <c r="BJ508" s="3"/>
      <c r="BK508" s="3"/>
      <c r="BL508" s="3"/>
      <c r="BM508" s="3"/>
      <c r="BN508" s="3"/>
    </row>
    <row r="509" spans="1:66" ht="13" customHeight="1">
      <c r="B509" s="1474" t="s">
        <v>404</v>
      </c>
      <c r="C509" s="1475"/>
      <c r="D509" s="1475"/>
      <c r="E509" s="1475"/>
      <c r="F509" s="1475"/>
      <c r="G509" s="1475"/>
      <c r="H509" s="1476"/>
      <c r="I509" s="42" t="s">
        <v>405</v>
      </c>
      <c r="J509" s="42"/>
      <c r="K509" s="42"/>
      <c r="L509" s="42"/>
      <c r="M509" s="42"/>
      <c r="N509" s="42"/>
      <c r="O509" s="42"/>
      <c r="P509" s="42"/>
      <c r="Q509" s="42"/>
      <c r="R509" s="42"/>
      <c r="S509" s="42"/>
      <c r="T509" s="42"/>
      <c r="U509" s="42"/>
      <c r="V509" s="42"/>
      <c r="W509" s="42"/>
      <c r="AC509" s="1484">
        <v>10</v>
      </c>
      <c r="AD509" s="1485"/>
      <c r="AE509" s="1485"/>
      <c r="AF509" s="1485"/>
      <c r="AG509" s="13" t="s">
        <v>402</v>
      </c>
      <c r="AH509" s="1376">
        <v>1998</v>
      </c>
      <c r="AI509" s="1376"/>
      <c r="AJ509" s="1376"/>
      <c r="AK509" s="1377"/>
      <c r="AZ509" s="3"/>
      <c r="BA509" s="3"/>
      <c r="BB509" s="3"/>
      <c r="BC509" s="3"/>
      <c r="BD509" s="3"/>
      <c r="BE509" s="3"/>
      <c r="BF509" s="3"/>
      <c r="BG509" s="3"/>
      <c r="BH509" s="3"/>
      <c r="BI509" s="3"/>
      <c r="BJ509" s="3"/>
      <c r="BK509" s="3"/>
      <c r="BL509" s="3"/>
      <c r="BM509" s="3"/>
      <c r="BN509" s="3"/>
    </row>
    <row r="510" spans="1:66" ht="13" customHeight="1">
      <c r="B510" s="1477"/>
      <c r="C510" s="1478"/>
      <c r="D510" s="1478"/>
      <c r="E510" s="1478"/>
      <c r="F510" s="1478"/>
      <c r="G510" s="1478"/>
      <c r="H510" s="1479"/>
      <c r="I510" s="48" t="s">
        <v>406</v>
      </c>
      <c r="J510" s="48"/>
      <c r="K510" s="48"/>
      <c r="L510" s="48"/>
      <c r="M510" s="48"/>
      <c r="N510" s="48"/>
      <c r="O510" s="48"/>
      <c r="P510" s="48"/>
      <c r="Q510" s="48"/>
      <c r="R510" s="48"/>
      <c r="S510" s="48"/>
      <c r="T510" s="48"/>
      <c r="U510" s="48"/>
      <c r="V510" s="48"/>
      <c r="W510" s="48"/>
      <c r="X510" s="48"/>
      <c r="Y510" s="48"/>
      <c r="Z510" s="48"/>
      <c r="AA510" s="48"/>
      <c r="AB510" s="48"/>
      <c r="AC510" s="1484" t="s">
        <v>590</v>
      </c>
      <c r="AD510" s="1485"/>
      <c r="AE510" s="1485"/>
      <c r="AF510" s="1485"/>
      <c r="AG510" s="38" t="s">
        <v>402</v>
      </c>
      <c r="AH510" s="1376"/>
      <c r="AI510" s="1376"/>
      <c r="AJ510" s="1376"/>
      <c r="AK510" s="1377"/>
      <c r="AZ510" s="3"/>
      <c r="BA510" s="3"/>
      <c r="BB510" s="3"/>
      <c r="BC510" s="3"/>
      <c r="BD510" s="3"/>
      <c r="BE510" s="3"/>
      <c r="BF510" s="3"/>
      <c r="BG510" s="3"/>
      <c r="BH510" s="3"/>
      <c r="BI510" s="3"/>
      <c r="BJ510" s="3"/>
      <c r="BK510" s="3"/>
      <c r="BL510" s="3"/>
      <c r="BM510" s="3"/>
      <c r="BN510" s="3"/>
    </row>
    <row r="511" spans="1:66" ht="13" customHeight="1">
      <c r="B511" s="1474" t="s">
        <v>407</v>
      </c>
      <c r="C511" s="1475"/>
      <c r="D511" s="1475"/>
      <c r="E511" s="1475"/>
      <c r="F511" s="1475"/>
      <c r="G511" s="1475"/>
      <c r="H511" s="1476"/>
      <c r="I511" s="42" t="s">
        <v>408</v>
      </c>
      <c r="J511" s="42"/>
      <c r="K511" s="42"/>
      <c r="L511" s="42"/>
      <c r="M511" s="42"/>
      <c r="N511" s="42"/>
      <c r="O511" s="42"/>
      <c r="P511" s="42"/>
      <c r="Q511" s="42"/>
      <c r="R511" s="42"/>
      <c r="S511" s="42"/>
      <c r="T511" s="42"/>
      <c r="U511" s="42"/>
      <c r="V511" s="42"/>
      <c r="W511" s="42"/>
      <c r="AC511" s="1484">
        <v>10</v>
      </c>
      <c r="AD511" s="1485"/>
      <c r="AE511" s="1485"/>
      <c r="AF511" s="1485"/>
      <c r="AG511" s="13" t="s">
        <v>402</v>
      </c>
      <c r="AH511" s="1376">
        <v>1998</v>
      </c>
      <c r="AI511" s="1376"/>
      <c r="AJ511" s="1376"/>
      <c r="AK511" s="1377"/>
      <c r="AZ511" s="3"/>
      <c r="BA511" s="3"/>
      <c r="BB511" s="3"/>
      <c r="BC511" s="3"/>
      <c r="BD511" s="3"/>
      <c r="BE511" s="3"/>
      <c r="BF511" s="3"/>
      <c r="BG511" s="3"/>
      <c r="BH511" s="3"/>
      <c r="BI511" s="3"/>
      <c r="BJ511" s="3"/>
      <c r="BK511" s="3"/>
      <c r="BL511" s="3"/>
      <c r="BM511" s="3"/>
      <c r="BN511" s="3"/>
    </row>
    <row r="512" spans="1:66" ht="13" customHeight="1">
      <c r="B512" s="1477"/>
      <c r="C512" s="1478"/>
      <c r="D512" s="1478"/>
      <c r="E512" s="1478"/>
      <c r="F512" s="1478"/>
      <c r="G512" s="1478"/>
      <c r="H512" s="1479"/>
      <c r="I512" t="s">
        <v>409</v>
      </c>
      <c r="AC512" s="1484">
        <v>10</v>
      </c>
      <c r="AD512" s="1485"/>
      <c r="AE512" s="1485"/>
      <c r="AF512" s="1485"/>
      <c r="AG512" s="13" t="s">
        <v>402</v>
      </c>
      <c r="AH512" s="1376">
        <v>1998</v>
      </c>
      <c r="AI512" s="1376"/>
      <c r="AJ512" s="1376"/>
      <c r="AK512" s="1377"/>
      <c r="AZ512" s="3"/>
      <c r="BA512" s="3"/>
      <c r="BB512" s="3"/>
      <c r="BC512" s="3"/>
      <c r="BD512" s="3"/>
      <c r="BE512" s="3"/>
      <c r="BF512" s="3"/>
      <c r="BG512" s="3"/>
      <c r="BH512" s="3"/>
      <c r="BI512" s="3"/>
      <c r="BJ512" s="3"/>
      <c r="BK512" s="3"/>
      <c r="BL512" s="3"/>
      <c r="BM512" s="3"/>
      <c r="BN512" s="3"/>
    </row>
    <row r="513" spans="2:66" ht="13" customHeight="1">
      <c r="B513" s="1477"/>
      <c r="C513" s="1478"/>
      <c r="D513" s="1478"/>
      <c r="E513" s="1478"/>
      <c r="F513" s="1478"/>
      <c r="G513" s="1478"/>
      <c r="H513" s="1479"/>
      <c r="I513" t="s">
        <v>410</v>
      </c>
      <c r="AC513" s="1484" t="s">
        <v>590</v>
      </c>
      <c r="AD513" s="1485"/>
      <c r="AE513" s="1485"/>
      <c r="AF513" s="1485"/>
      <c r="AG513" s="13" t="s">
        <v>402</v>
      </c>
      <c r="AH513" s="1376"/>
      <c r="AI513" s="1376"/>
      <c r="AJ513" s="1376"/>
      <c r="AK513" s="1377"/>
      <c r="AZ513" s="3"/>
      <c r="BA513" s="3"/>
      <c r="BB513" s="3"/>
      <c r="BC513" s="3"/>
      <c r="BD513" s="3"/>
      <c r="BE513" s="3"/>
      <c r="BF513" s="3"/>
      <c r="BG513" s="3"/>
      <c r="BH513" s="3"/>
      <c r="BI513" s="3"/>
      <c r="BJ513" s="3"/>
      <c r="BK513" s="3"/>
      <c r="BL513" s="3"/>
      <c r="BM513" s="3"/>
      <c r="BN513" s="3"/>
    </row>
    <row r="514" spans="2:66" ht="13" customHeight="1">
      <c r="B514" s="1477"/>
      <c r="C514" s="1478"/>
      <c r="D514" s="1478"/>
      <c r="E514" s="1478"/>
      <c r="F514" s="1478"/>
      <c r="G514" s="1478"/>
      <c r="H514" s="1479"/>
      <c r="I514" t="s">
        <v>411</v>
      </c>
      <c r="AC514" s="1484" t="s">
        <v>590</v>
      </c>
      <c r="AD514" s="1485"/>
      <c r="AE514" s="1485"/>
      <c r="AF514" s="1485"/>
      <c r="AG514" s="13" t="s">
        <v>402</v>
      </c>
      <c r="AH514" s="1376"/>
      <c r="AI514" s="1376"/>
      <c r="AJ514" s="1376"/>
      <c r="AK514" s="1377"/>
      <c r="AZ514" s="3"/>
      <c r="BA514" s="3"/>
      <c r="BB514" s="3"/>
      <c r="BC514" s="3"/>
      <c r="BD514" s="3"/>
      <c r="BE514" s="3"/>
      <c r="BF514" s="3"/>
      <c r="BG514" s="3"/>
      <c r="BH514" s="3"/>
      <c r="BI514" s="3"/>
      <c r="BJ514" s="3"/>
      <c r="BK514" s="3"/>
      <c r="BL514" s="3"/>
      <c r="BM514" s="3"/>
      <c r="BN514" s="3"/>
    </row>
    <row r="515" spans="2:66" ht="13" customHeight="1">
      <c r="B515" s="1477"/>
      <c r="C515" s="1478"/>
      <c r="D515" s="1478"/>
      <c r="E515" s="1478"/>
      <c r="F515" s="1478"/>
      <c r="G515" s="1478"/>
      <c r="H515" s="1479"/>
      <c r="I515" s="3" t="s">
        <v>412</v>
      </c>
      <c r="AC515" s="1363">
        <v>9</v>
      </c>
      <c r="AD515" s="1364"/>
      <c r="AE515" s="1364"/>
      <c r="AF515" s="1364"/>
      <c r="AG515" s="13" t="s">
        <v>402</v>
      </c>
      <c r="AH515" s="1376">
        <v>2026</v>
      </c>
      <c r="AI515" s="1376"/>
      <c r="AJ515" s="1376"/>
      <c r="AK515" s="1377"/>
      <c r="AZ515" s="3"/>
      <c r="BA515" s="3"/>
      <c r="BB515" s="3"/>
      <c r="BC515" s="3"/>
      <c r="BD515" s="3"/>
      <c r="BE515" s="3"/>
      <c r="BF515" s="3"/>
      <c r="BG515" s="3"/>
      <c r="BH515" s="3"/>
      <c r="BI515" s="3"/>
      <c r="BJ515" s="3"/>
      <c r="BK515" s="3"/>
      <c r="BL515" s="3"/>
      <c r="BM515" s="3"/>
      <c r="BN515" s="3"/>
    </row>
    <row r="516" spans="2:66" ht="13" customHeight="1">
      <c r="B516" s="1477"/>
      <c r="C516" s="1478"/>
      <c r="D516" s="1478"/>
      <c r="E516" s="1478"/>
      <c r="F516" s="1478"/>
      <c r="G516" s="1478"/>
      <c r="H516" s="1479"/>
      <c r="I516" s="892" t="s">
        <v>169</v>
      </c>
      <c r="J516" s="48"/>
      <c r="K516" s="48"/>
      <c r="L516" s="1766" t="s">
        <v>333</v>
      </c>
      <c r="M516" s="1767"/>
      <c r="N516" s="1767"/>
      <c r="O516" s="1767"/>
      <c r="P516" s="1767"/>
      <c r="Q516" s="1767"/>
      <c r="R516" s="1767"/>
      <c r="S516" s="1767"/>
      <c r="T516" s="1767"/>
      <c r="U516" s="1767"/>
      <c r="V516" s="1767"/>
      <c r="W516" s="1767"/>
      <c r="X516" s="1767"/>
      <c r="Y516" s="1767"/>
      <c r="Z516" s="1767"/>
      <c r="AA516" s="1767"/>
      <c r="AB516" s="1849"/>
      <c r="AC516" s="1484" t="s">
        <v>590</v>
      </c>
      <c r="AD516" s="1485"/>
      <c r="AE516" s="1485"/>
      <c r="AF516" s="1485"/>
      <c r="AG516" s="38" t="s">
        <v>402</v>
      </c>
      <c r="AH516" s="1376"/>
      <c r="AI516" s="1376"/>
      <c r="AJ516" s="1376"/>
      <c r="AK516" s="1377"/>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1663</v>
      </c>
      <c r="AC517" s="1779" t="s">
        <v>544</v>
      </c>
      <c r="AD517" s="1779"/>
      <c r="AE517" s="1779"/>
      <c r="AF517" s="1779"/>
      <c r="AG517" s="13"/>
      <c r="AH517" s="1341"/>
      <c r="AI517" s="1341"/>
      <c r="AJ517" s="1341"/>
      <c r="AK517" s="1829"/>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1660</v>
      </c>
      <c r="AC518" s="1363">
        <v>2</v>
      </c>
      <c r="AD518" s="1364"/>
      <c r="AE518" s="1364"/>
      <c r="AF518" s="1365"/>
      <c r="AG518" s="13"/>
      <c r="AH518" s="1341"/>
      <c r="AI518" s="1341"/>
      <c r="AJ518" s="1341"/>
      <c r="AK518" s="1829"/>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836">
        <v>0.5</v>
      </c>
      <c r="AD520" s="1837"/>
      <c r="AE520" s="1837"/>
      <c r="AF520" s="1838"/>
      <c r="AG520" s="38"/>
      <c r="AH520" s="1764"/>
      <c r="AI520" s="1764"/>
      <c r="AJ520" s="1764"/>
      <c r="AK520" s="1765"/>
      <c r="AZ520" s="3"/>
      <c r="BA520" s="3"/>
      <c r="BB520" s="3"/>
      <c r="BC520" s="3"/>
      <c r="BD520" s="3"/>
      <c r="BE520" s="3"/>
      <c r="BF520" s="3"/>
      <c r="BG520" s="3"/>
      <c r="BH520" s="3"/>
      <c r="BI520" s="3"/>
      <c r="BJ520" s="3"/>
      <c r="BK520" s="3"/>
      <c r="BL520" s="3"/>
      <c r="BM520" s="3"/>
      <c r="BN520" s="3" t="s">
        <v>1183</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3" t="s">
        <v>401</v>
      </c>
      <c r="AD521" s="1677"/>
      <c r="AE521" s="1677"/>
      <c r="AF521" s="1677"/>
      <c r="AG521" s="38" t="s">
        <v>402</v>
      </c>
      <c r="AH521" s="1677" t="s">
        <v>403</v>
      </c>
      <c r="AI521" s="1677"/>
      <c r="AJ521" s="1677"/>
      <c r="AK521" s="1850"/>
      <c r="AZ521" s="3"/>
      <c r="BA521" s="3"/>
      <c r="BB521" s="3"/>
      <c r="BC521" s="3"/>
      <c r="BD521" s="3"/>
      <c r="BE521" s="3"/>
      <c r="BF521" s="3"/>
      <c r="BG521" s="3"/>
      <c r="BH521" s="3"/>
      <c r="BI521" s="3"/>
      <c r="BJ521" s="3"/>
      <c r="BK521" s="3"/>
      <c r="BL521" s="3"/>
      <c r="BM521" s="3"/>
      <c r="BN521" s="3" t="s">
        <v>2059</v>
      </c>
    </row>
    <row r="522" spans="2:66" ht="13" customHeight="1">
      <c r="B522" s="1474" t="s">
        <v>413</v>
      </c>
      <c r="C522" s="1475"/>
      <c r="D522" s="1475"/>
      <c r="E522" s="1475"/>
      <c r="F522" s="1475"/>
      <c r="G522" s="1475"/>
      <c r="H522" s="1476"/>
      <c r="I522" s="42" t="s">
        <v>414</v>
      </c>
      <c r="J522" s="42"/>
      <c r="K522" s="42"/>
      <c r="L522" s="42"/>
      <c r="M522" s="42"/>
      <c r="N522" s="42"/>
      <c r="O522" s="42"/>
      <c r="P522" s="42"/>
      <c r="Q522" s="42"/>
      <c r="R522" s="42"/>
      <c r="S522" s="42"/>
      <c r="T522" s="42"/>
      <c r="U522" s="42"/>
      <c r="V522" s="42"/>
      <c r="W522" s="42"/>
      <c r="AC522" s="1484">
        <v>2</v>
      </c>
      <c r="AD522" s="1485"/>
      <c r="AE522" s="1485"/>
      <c r="AF522" s="1485"/>
      <c r="AG522" s="13" t="s">
        <v>402</v>
      </c>
      <c r="AH522" s="1376">
        <v>2026</v>
      </c>
      <c r="AI522" s="1376"/>
      <c r="AJ522" s="1376"/>
      <c r="AK522" s="1377"/>
      <c r="AZ522" s="3"/>
      <c r="BA522" s="3"/>
      <c r="BB522" s="3"/>
      <c r="BC522" s="3"/>
      <c r="BD522" s="3"/>
      <c r="BE522" s="3"/>
      <c r="BF522" s="3"/>
      <c r="BG522" s="3"/>
      <c r="BH522" s="3"/>
      <c r="BI522" s="3"/>
      <c r="BJ522" s="3"/>
      <c r="BK522" s="3"/>
      <c r="BL522" s="3"/>
      <c r="BM522" s="3"/>
      <c r="BN522" s="3" t="s">
        <v>2060</v>
      </c>
    </row>
    <row r="523" spans="2:66" ht="13" customHeight="1">
      <c r="B523" s="1477"/>
      <c r="C523" s="1478"/>
      <c r="D523" s="1478"/>
      <c r="E523" s="1478"/>
      <c r="F523" s="1478"/>
      <c r="G523" s="1478"/>
      <c r="H523" s="1479"/>
      <c r="I523" t="s">
        <v>415</v>
      </c>
      <c r="AC523" s="1484">
        <v>2</v>
      </c>
      <c r="AD523" s="1485"/>
      <c r="AE523" s="1485"/>
      <c r="AF523" s="1485"/>
      <c r="AG523" s="13" t="s">
        <v>402</v>
      </c>
      <c r="AH523" s="1376">
        <v>2026</v>
      </c>
      <c r="AI523" s="1376"/>
      <c r="AJ523" s="1376"/>
      <c r="AK523" s="1377"/>
      <c r="AZ523" s="3"/>
      <c r="BA523" s="3"/>
      <c r="BB523" s="3"/>
      <c r="BC523" s="3"/>
      <c r="BD523" s="3"/>
      <c r="BE523" s="3"/>
      <c r="BF523" s="3"/>
      <c r="BG523" s="3"/>
      <c r="BH523" s="3"/>
      <c r="BI523" s="3"/>
      <c r="BJ523" s="3"/>
      <c r="BK523" s="3"/>
      <c r="BL523" s="3"/>
      <c r="BM523" s="3"/>
      <c r="BN523" s="3" t="s">
        <v>2061</v>
      </c>
    </row>
    <row r="524" spans="2:66" ht="13" customHeight="1">
      <c r="B524" s="1477"/>
      <c r="C524" s="1478"/>
      <c r="D524" s="1478"/>
      <c r="E524" s="1478"/>
      <c r="F524" s="1478"/>
      <c r="G524" s="1478"/>
      <c r="H524" s="1479"/>
      <c r="I524" s="48" t="s">
        <v>416</v>
      </c>
      <c r="J524" s="48"/>
      <c r="K524" s="48"/>
      <c r="L524" s="48"/>
      <c r="M524" s="48"/>
      <c r="N524" s="48"/>
      <c r="O524" s="48"/>
      <c r="P524" s="48"/>
      <c r="Q524" s="48"/>
      <c r="R524" s="48"/>
      <c r="S524" s="48"/>
      <c r="T524" s="48"/>
      <c r="U524" s="48"/>
      <c r="V524" s="48"/>
      <c r="W524" s="48"/>
      <c r="X524" s="48"/>
      <c r="Y524" s="48"/>
      <c r="Z524" s="48"/>
      <c r="AA524" s="48"/>
      <c r="AB524" s="48"/>
      <c r="AC524" s="1484">
        <v>11</v>
      </c>
      <c r="AD524" s="1485"/>
      <c r="AE524" s="1485"/>
      <c r="AF524" s="1485"/>
      <c r="AG524" s="38" t="s">
        <v>402</v>
      </c>
      <c r="AH524" s="1376">
        <v>2026</v>
      </c>
      <c r="AI524" s="1376"/>
      <c r="AJ524" s="1376"/>
      <c r="AK524" s="1377"/>
      <c r="AZ524" s="3"/>
      <c r="BA524" s="3"/>
      <c r="BB524" s="3"/>
      <c r="BC524" s="3"/>
      <c r="BD524" s="3"/>
      <c r="BE524" s="3"/>
      <c r="BF524" s="3"/>
      <c r="BG524" s="3"/>
      <c r="BH524" s="3"/>
      <c r="BI524" s="3"/>
      <c r="BJ524" s="3"/>
      <c r="BK524" s="3"/>
      <c r="BL524" s="3"/>
      <c r="BM524" s="3"/>
      <c r="BN524" s="3" t="s">
        <v>2062</v>
      </c>
    </row>
    <row r="525" spans="2:66" ht="13" customHeight="1">
      <c r="B525" s="1474" t="s">
        <v>417</v>
      </c>
      <c r="C525" s="1475"/>
      <c r="D525" s="1475"/>
      <c r="E525" s="1475"/>
      <c r="F525" s="1475"/>
      <c r="G525" s="1475"/>
      <c r="H525" s="1476"/>
      <c r="I525" s="42" t="s">
        <v>414</v>
      </c>
      <c r="J525" s="42"/>
      <c r="K525" s="42"/>
      <c r="L525" s="42"/>
      <c r="M525" s="42"/>
      <c r="N525" s="42"/>
      <c r="O525" s="42"/>
      <c r="P525" s="42"/>
      <c r="Q525" s="42"/>
      <c r="R525" s="42"/>
      <c r="S525" s="42"/>
      <c r="T525" s="42"/>
      <c r="U525" s="42"/>
      <c r="V525" s="42"/>
      <c r="W525" s="42"/>
      <c r="X525" s="42"/>
      <c r="Y525" s="42"/>
      <c r="Z525" s="42"/>
      <c r="AA525" s="42"/>
      <c r="AB525" s="42"/>
      <c r="AC525" s="1363">
        <v>2</v>
      </c>
      <c r="AD525" s="1364"/>
      <c r="AE525" s="1364"/>
      <c r="AF525" s="1364"/>
      <c r="AG525" s="129" t="s">
        <v>402</v>
      </c>
      <c r="AH525" s="1376">
        <v>2026</v>
      </c>
      <c r="AI525" s="1376"/>
      <c r="AJ525" s="1376"/>
      <c r="AK525" s="1377"/>
      <c r="AZ525" s="3"/>
      <c r="BB525" s="3"/>
      <c r="BC525" s="3"/>
      <c r="BD525" s="3"/>
      <c r="BE525" s="3"/>
      <c r="BF525" s="3"/>
      <c r="BG525" s="3"/>
      <c r="BH525" s="3"/>
      <c r="BI525" s="3"/>
      <c r="BJ525" s="3"/>
      <c r="BK525" s="3"/>
      <c r="BL525" s="3"/>
      <c r="BM525" s="3"/>
      <c r="BN525" s="3" t="s">
        <v>2063</v>
      </c>
    </row>
    <row r="526" spans="2:66" ht="13" customHeight="1">
      <c r="B526" s="1477"/>
      <c r="C526" s="1478"/>
      <c r="D526" s="1478"/>
      <c r="E526" s="1478"/>
      <c r="F526" s="1478"/>
      <c r="G526" s="1478"/>
      <c r="H526" s="1479"/>
      <c r="I526" t="s">
        <v>415</v>
      </c>
      <c r="AC526" s="1484">
        <v>2</v>
      </c>
      <c r="AD526" s="1485"/>
      <c r="AE526" s="1485"/>
      <c r="AF526" s="1485"/>
      <c r="AG526" s="13" t="s">
        <v>402</v>
      </c>
      <c r="AH526" s="1376">
        <v>2026</v>
      </c>
      <c r="AI526" s="1376"/>
      <c r="AJ526" s="1376"/>
      <c r="AK526" s="1377"/>
      <c r="BB526" s="3"/>
      <c r="BC526" s="3"/>
      <c r="BD526" s="3"/>
      <c r="BE526" s="3"/>
      <c r="BF526" s="3"/>
      <c r="BG526" s="3"/>
      <c r="BH526" s="3"/>
      <c r="BI526" s="3"/>
      <c r="BJ526" s="3"/>
      <c r="BK526" s="3"/>
      <c r="BL526" s="3"/>
      <c r="BM526" s="3"/>
      <c r="BN526" s="3" t="s">
        <v>2064</v>
      </c>
    </row>
    <row r="527" spans="2:66" ht="13" customHeight="1">
      <c r="B527" s="1480"/>
      <c r="C527" s="1481"/>
      <c r="D527" s="1481"/>
      <c r="E527" s="1481"/>
      <c r="F527" s="1481"/>
      <c r="G527" s="1481"/>
      <c r="H527" s="1482"/>
      <c r="I527" s="48" t="s">
        <v>416</v>
      </c>
      <c r="J527" s="48"/>
      <c r="K527" s="48"/>
      <c r="L527" s="48"/>
      <c r="M527" s="48"/>
      <c r="N527" s="48"/>
      <c r="O527" s="48"/>
      <c r="P527" s="48"/>
      <c r="Q527" s="48"/>
      <c r="R527" s="48"/>
      <c r="S527" s="48"/>
      <c r="T527" s="48"/>
      <c r="U527" s="48"/>
      <c r="V527" s="48"/>
      <c r="W527" s="48"/>
      <c r="X527" s="48"/>
      <c r="Y527" s="48"/>
      <c r="Z527" s="48"/>
      <c r="AA527" s="48"/>
      <c r="AB527" s="48"/>
      <c r="AC527" s="1484">
        <v>5</v>
      </c>
      <c r="AD527" s="1485"/>
      <c r="AE527" s="1485"/>
      <c r="AF527" s="1485"/>
      <c r="AG527" s="38" t="s">
        <v>402</v>
      </c>
      <c r="AH527" s="1376">
        <v>2027</v>
      </c>
      <c r="AI527" s="1376"/>
      <c r="AJ527" s="1376"/>
      <c r="AK527" s="1377"/>
      <c r="BB527" s="3"/>
      <c r="BC527" s="3"/>
      <c r="BD527" s="3"/>
      <c r="BE527" s="3"/>
      <c r="BF527" s="3"/>
      <c r="BG527" s="3"/>
      <c r="BH527" s="3"/>
      <c r="BI527" s="3"/>
      <c r="BJ527" s="3"/>
      <c r="BK527" s="3"/>
      <c r="BL527" s="3"/>
      <c r="BM527" s="3"/>
      <c r="BN527" s="3" t="s">
        <v>2065</v>
      </c>
    </row>
    <row r="528" spans="2:66" ht="13" customHeight="1">
      <c r="B528" s="1474" t="s">
        <v>418</v>
      </c>
      <c r="C528" s="1475"/>
      <c r="D528" s="1475"/>
      <c r="E528" s="1475"/>
      <c r="F528" s="1475"/>
      <c r="G528" s="1475"/>
      <c r="H528" s="1476"/>
      <c r="I528" s="41" t="s">
        <v>419</v>
      </c>
      <c r="J528" s="42"/>
      <c r="K528" s="42"/>
      <c r="L528" s="42"/>
      <c r="M528" s="42"/>
      <c r="N528" s="42"/>
      <c r="O528" s="1766" t="s">
        <v>333</v>
      </c>
      <c r="P528" s="1767"/>
      <c r="Q528" s="1767"/>
      <c r="R528" s="1767"/>
      <c r="S528" s="1767"/>
      <c r="T528" s="1767"/>
      <c r="U528" s="1767"/>
      <c r="V528" s="1767"/>
      <c r="W528" s="1767"/>
      <c r="X528" s="1767"/>
      <c r="Y528" s="1767"/>
      <c r="Z528" s="1767"/>
      <c r="AA528" s="1767"/>
      <c r="AB528" s="58"/>
      <c r="AC528" s="1363" t="s">
        <v>590</v>
      </c>
      <c r="AD528" s="1364"/>
      <c r="AE528" s="1364"/>
      <c r="AF528" s="1364"/>
      <c r="AG528" s="129" t="s">
        <v>402</v>
      </c>
      <c r="AH528" s="1376"/>
      <c r="AI528" s="1376"/>
      <c r="AJ528" s="1376"/>
      <c r="AK528" s="1377"/>
      <c r="AZ528" s="3"/>
      <c r="BB528" s="3"/>
      <c r="BC528" s="3"/>
      <c r="BD528" s="3"/>
      <c r="BE528" s="3"/>
      <c r="BF528" s="3"/>
      <c r="BG528" s="3"/>
      <c r="BH528" s="3"/>
      <c r="BI528" s="3"/>
      <c r="BJ528" s="3"/>
      <c r="BK528" s="3"/>
      <c r="BL528" s="3"/>
      <c r="BM528" s="3"/>
      <c r="BN528" s="3" t="s">
        <v>2066</v>
      </c>
    </row>
    <row r="529" spans="2:66" ht="13" customHeight="1">
      <c r="B529" s="1477"/>
      <c r="C529" s="1478"/>
      <c r="D529" s="1478"/>
      <c r="E529" s="1478"/>
      <c r="F529" s="1478"/>
      <c r="G529" s="1478"/>
      <c r="H529" s="1479"/>
      <c r="I529" s="114" t="s">
        <v>420</v>
      </c>
      <c r="AB529" s="65"/>
      <c r="AC529" s="1484" t="s">
        <v>590</v>
      </c>
      <c r="AD529" s="1485"/>
      <c r="AE529" s="1485"/>
      <c r="AF529" s="1485"/>
      <c r="AG529" s="13" t="s">
        <v>402</v>
      </c>
      <c r="AH529" s="1376"/>
      <c r="AI529" s="1376"/>
      <c r="AJ529" s="1376"/>
      <c r="AK529" s="1377"/>
      <c r="AZ529" s="3"/>
      <c r="BB529" s="3"/>
      <c r="BC529" s="3"/>
      <c r="BD529" s="3"/>
      <c r="BE529" s="3"/>
      <c r="BF529" s="3"/>
      <c r="BG529" s="3"/>
      <c r="BH529" s="3"/>
      <c r="BI529" s="3"/>
      <c r="BJ529" s="3"/>
      <c r="BK529" s="3"/>
      <c r="BL529" s="3"/>
      <c r="BM529" s="3"/>
      <c r="BN529" s="3" t="s">
        <v>2067</v>
      </c>
    </row>
    <row r="530" spans="2:66" ht="13" customHeight="1">
      <c r="B530" s="1477"/>
      <c r="C530" s="1478"/>
      <c r="D530" s="1478"/>
      <c r="E530" s="1478"/>
      <c r="F530" s="1478"/>
      <c r="G530" s="1478"/>
      <c r="H530" s="1479"/>
      <c r="I530" s="47" t="s">
        <v>421</v>
      </c>
      <c r="J530" s="48"/>
      <c r="K530" s="48"/>
      <c r="L530" s="48"/>
      <c r="M530" s="48"/>
      <c r="N530" s="48"/>
      <c r="O530" s="48"/>
      <c r="P530" s="48"/>
      <c r="Q530" s="48"/>
      <c r="R530" s="48"/>
      <c r="S530" s="48"/>
      <c r="T530" s="48"/>
      <c r="U530" s="48"/>
      <c r="V530" s="48"/>
      <c r="W530" s="48"/>
      <c r="X530" s="48"/>
      <c r="Y530" s="48"/>
      <c r="Z530" s="48"/>
      <c r="AA530" s="48"/>
      <c r="AB530" s="49"/>
      <c r="AC530" s="1484" t="s">
        <v>590</v>
      </c>
      <c r="AD530" s="1485"/>
      <c r="AE530" s="1485"/>
      <c r="AF530" s="1485"/>
      <c r="AG530" s="38" t="s">
        <v>402</v>
      </c>
      <c r="AH530" s="1376"/>
      <c r="AI530" s="1376"/>
      <c r="AJ530" s="1376"/>
      <c r="AK530" s="1377"/>
      <c r="AZ530" s="3"/>
      <c r="BA530" s="3"/>
      <c r="BB530" s="3"/>
      <c r="BC530" s="3"/>
      <c r="BD530" s="3"/>
      <c r="BE530" s="3"/>
      <c r="BF530" s="3"/>
      <c r="BG530" s="3"/>
      <c r="BH530" s="3"/>
      <c r="BI530" s="3"/>
      <c r="BJ530" s="3"/>
      <c r="BK530" s="3"/>
      <c r="BL530" s="3"/>
      <c r="BM530" s="3"/>
      <c r="BN530" s="3" t="s">
        <v>2068</v>
      </c>
    </row>
    <row r="531" spans="2:66" ht="13" customHeight="1">
      <c r="B531" s="1477"/>
      <c r="C531" s="1478"/>
      <c r="D531" s="1478"/>
      <c r="E531" s="1478"/>
      <c r="F531" s="1478"/>
      <c r="G531" s="1478"/>
      <c r="H531" s="1479"/>
      <c r="I531" s="42" t="s">
        <v>422</v>
      </c>
      <c r="J531" s="42"/>
      <c r="K531" s="42"/>
      <c r="L531" s="42"/>
      <c r="M531" s="42"/>
      <c r="N531" s="42"/>
      <c r="O531" s="1766" t="s">
        <v>333</v>
      </c>
      <c r="P531" s="1767"/>
      <c r="Q531" s="1767"/>
      <c r="R531" s="1767"/>
      <c r="S531" s="1767"/>
      <c r="T531" s="1767"/>
      <c r="U531" s="1767"/>
      <c r="V531" s="1767"/>
      <c r="W531" s="1767"/>
      <c r="X531" s="1767"/>
      <c r="Y531" s="1767"/>
      <c r="Z531" s="1767"/>
      <c r="AA531" s="1767"/>
      <c r="AC531" s="1484" t="s">
        <v>590</v>
      </c>
      <c r="AD531" s="1485"/>
      <c r="AE531" s="1485"/>
      <c r="AF531" s="1485"/>
      <c r="AG531" s="13" t="s">
        <v>402</v>
      </c>
      <c r="AH531" s="1376"/>
      <c r="AI531" s="1376"/>
      <c r="AJ531" s="1376"/>
      <c r="AK531" s="1377"/>
      <c r="AZ531" s="3"/>
      <c r="BA531" s="3"/>
      <c r="BB531" s="3"/>
      <c r="BC531" s="3"/>
      <c r="BD531" s="3"/>
      <c r="BE531" s="3"/>
      <c r="BF531" s="3"/>
      <c r="BG531" s="3"/>
      <c r="BH531" s="3"/>
      <c r="BI531" s="3"/>
      <c r="BJ531" s="3"/>
      <c r="BK531" s="3"/>
      <c r="BL531" s="3"/>
      <c r="BM531" s="3"/>
      <c r="BN531" s="3" t="s">
        <v>2069</v>
      </c>
    </row>
    <row r="532" spans="2:66" ht="13" customHeight="1">
      <c r="B532" s="1477"/>
      <c r="C532" s="1478"/>
      <c r="D532" s="1478"/>
      <c r="E532" s="1478"/>
      <c r="F532" s="1478"/>
      <c r="G532" s="1478"/>
      <c r="H532" s="1479"/>
      <c r="I532" t="s">
        <v>420</v>
      </c>
      <c r="AC532" s="1484" t="s">
        <v>590</v>
      </c>
      <c r="AD532" s="1485"/>
      <c r="AE532" s="1485"/>
      <c r="AF532" s="1485"/>
      <c r="AG532" s="13" t="s">
        <v>402</v>
      </c>
      <c r="AH532" s="1376"/>
      <c r="AI532" s="1376"/>
      <c r="AJ532" s="1376"/>
      <c r="AK532" s="1377"/>
      <c r="AZ532" s="3"/>
      <c r="BA532" s="3"/>
      <c r="BB532" s="3"/>
      <c r="BC532" s="3"/>
      <c r="BD532" s="3"/>
      <c r="BE532" s="3"/>
      <c r="BF532" s="3"/>
      <c r="BG532" s="3"/>
      <c r="BH532" s="3"/>
      <c r="BI532" s="3"/>
      <c r="BJ532" s="3"/>
      <c r="BK532" s="3"/>
      <c r="BL532" s="3"/>
      <c r="BM532" s="3"/>
      <c r="BN532" s="3" t="s">
        <v>2070</v>
      </c>
    </row>
    <row r="533" spans="2:66" ht="13" customHeight="1">
      <c r="B533" s="1477"/>
      <c r="C533" s="1478"/>
      <c r="D533" s="1478"/>
      <c r="E533" s="1478"/>
      <c r="F533" s="1478"/>
      <c r="G533" s="1478"/>
      <c r="H533" s="1479"/>
      <c r="I533" s="48" t="s">
        <v>421</v>
      </c>
      <c r="J533" s="48"/>
      <c r="K533" s="48"/>
      <c r="L533" s="48"/>
      <c r="M533" s="48"/>
      <c r="N533" s="48"/>
      <c r="O533" s="48"/>
      <c r="P533" s="48"/>
      <c r="Q533" s="48"/>
      <c r="R533" s="48"/>
      <c r="S533" s="48"/>
      <c r="T533" s="48"/>
      <c r="U533" s="48"/>
      <c r="V533" s="48"/>
      <c r="W533" s="48"/>
      <c r="X533" s="48"/>
      <c r="Y533" s="48"/>
      <c r="Z533" s="48"/>
      <c r="AA533" s="48"/>
      <c r="AB533" s="48"/>
      <c r="AC533" s="1484" t="s">
        <v>590</v>
      </c>
      <c r="AD533" s="1485"/>
      <c r="AE533" s="1485"/>
      <c r="AF533" s="1485"/>
      <c r="AG533" s="38" t="s">
        <v>402</v>
      </c>
      <c r="AH533" s="1376"/>
      <c r="AI533" s="1376"/>
      <c r="AJ533" s="1376"/>
      <c r="AK533" s="1377"/>
      <c r="AZ533" s="3"/>
      <c r="BA533" s="3"/>
      <c r="BB533" s="3"/>
      <c r="BC533" s="3"/>
      <c r="BD533" s="3"/>
      <c r="BE533" s="3"/>
      <c r="BF533" s="3"/>
      <c r="BG533" s="3"/>
      <c r="BH533" s="3"/>
      <c r="BI533" s="3"/>
      <c r="BJ533" s="3"/>
      <c r="BK533" s="3"/>
      <c r="BL533" s="3"/>
      <c r="BM533" s="3"/>
      <c r="BN533" s="3" t="s">
        <v>2071</v>
      </c>
    </row>
    <row r="534" spans="2:66" ht="13" customHeight="1">
      <c r="B534" s="1477"/>
      <c r="C534" s="1478"/>
      <c r="D534" s="1478"/>
      <c r="E534" s="1478"/>
      <c r="F534" s="1478"/>
      <c r="G534" s="1478"/>
      <c r="H534" s="1479"/>
      <c r="I534" s="42" t="s">
        <v>422</v>
      </c>
      <c r="J534" s="42"/>
      <c r="K534" s="42"/>
      <c r="L534" s="42"/>
      <c r="M534" s="42"/>
      <c r="N534" s="42"/>
      <c r="O534" s="1766" t="s">
        <v>333</v>
      </c>
      <c r="P534" s="1767"/>
      <c r="Q534" s="1767"/>
      <c r="R534" s="1767"/>
      <c r="S534" s="1767"/>
      <c r="T534" s="1767"/>
      <c r="U534" s="1767"/>
      <c r="V534" s="1767"/>
      <c r="W534" s="1767"/>
      <c r="X534" s="1767"/>
      <c r="Y534" s="1767"/>
      <c r="Z534" s="1767"/>
      <c r="AA534" s="1767"/>
      <c r="AC534" s="1484" t="s">
        <v>590</v>
      </c>
      <c r="AD534" s="1485"/>
      <c r="AE534" s="1485"/>
      <c r="AF534" s="1485"/>
      <c r="AG534" s="13" t="s">
        <v>402</v>
      </c>
      <c r="AH534" s="1376"/>
      <c r="AI534" s="1376"/>
      <c r="AJ534" s="1376"/>
      <c r="AK534" s="1377"/>
      <c r="AZ534" s="3"/>
      <c r="BA534" s="3"/>
      <c r="BB534" s="3"/>
      <c r="BC534" s="3"/>
      <c r="BD534" s="3"/>
      <c r="BE534" s="3"/>
      <c r="BF534" s="3"/>
      <c r="BG534" s="3"/>
      <c r="BH534" s="3"/>
      <c r="BI534" s="3"/>
      <c r="BJ534" s="3"/>
      <c r="BK534" s="3"/>
      <c r="BL534" s="3"/>
      <c r="BM534" s="3"/>
      <c r="BN534" s="3" t="s">
        <v>2072</v>
      </c>
    </row>
    <row r="535" spans="2:66" ht="13" customHeight="1">
      <c r="B535" s="1477"/>
      <c r="C535" s="1478"/>
      <c r="D535" s="1478"/>
      <c r="E535" s="1478"/>
      <c r="F535" s="1478"/>
      <c r="G535" s="1478"/>
      <c r="H535" s="1479"/>
      <c r="I535" t="s">
        <v>420</v>
      </c>
      <c r="AC535" s="1484" t="s">
        <v>590</v>
      </c>
      <c r="AD535" s="1485"/>
      <c r="AE535" s="1485"/>
      <c r="AF535" s="1485"/>
      <c r="AG535" s="13" t="s">
        <v>402</v>
      </c>
      <c r="AH535" s="1376"/>
      <c r="AI535" s="1376"/>
      <c r="AJ535" s="1376"/>
      <c r="AK535" s="1377"/>
      <c r="AZ535" s="3"/>
      <c r="BA535" s="3"/>
      <c r="BB535" s="3"/>
      <c r="BC535" s="3"/>
      <c r="BD535" s="3"/>
      <c r="BE535" s="3"/>
      <c r="BF535" s="3"/>
      <c r="BG535" s="3"/>
      <c r="BH535" s="3"/>
      <c r="BI535" s="3"/>
      <c r="BJ535" s="3"/>
      <c r="BK535" s="3"/>
      <c r="BL535" s="3"/>
      <c r="BM535" s="3"/>
      <c r="BN535" s="3" t="s">
        <v>2073</v>
      </c>
    </row>
    <row r="536" spans="2:66" ht="13" customHeight="1">
      <c r="B536" s="1477"/>
      <c r="C536" s="1478"/>
      <c r="D536" s="1478"/>
      <c r="E536" s="1478"/>
      <c r="F536" s="1478"/>
      <c r="G536" s="1478"/>
      <c r="H536" s="1479"/>
      <c r="I536" s="48" t="s">
        <v>421</v>
      </c>
      <c r="J536" s="48"/>
      <c r="K536" s="48"/>
      <c r="L536" s="48"/>
      <c r="M536" s="48"/>
      <c r="N536" s="48"/>
      <c r="O536" s="48"/>
      <c r="P536" s="48"/>
      <c r="Q536" s="48"/>
      <c r="R536" s="48"/>
      <c r="S536" s="48"/>
      <c r="T536" s="48"/>
      <c r="U536" s="48"/>
      <c r="V536" s="48"/>
      <c r="W536" s="48"/>
      <c r="X536" s="48"/>
      <c r="Y536" s="48"/>
      <c r="Z536" s="48"/>
      <c r="AA536" s="48"/>
      <c r="AB536" s="48"/>
      <c r="AC536" s="1484" t="s">
        <v>590</v>
      </c>
      <c r="AD536" s="1485"/>
      <c r="AE536" s="1485"/>
      <c r="AF536" s="1485"/>
      <c r="AG536" s="38" t="s">
        <v>402</v>
      </c>
      <c r="AH536" s="1376"/>
      <c r="AI536" s="1376"/>
      <c r="AJ536" s="1376"/>
      <c r="AK536" s="1377"/>
      <c r="AZ536" s="3"/>
      <c r="BA536" s="3"/>
      <c r="BB536" s="3"/>
      <c r="BC536" s="3"/>
      <c r="BD536" s="3"/>
      <c r="BE536" s="3"/>
      <c r="BF536" s="3"/>
      <c r="BG536" s="3"/>
      <c r="BH536" s="3"/>
      <c r="BI536" s="3"/>
      <c r="BJ536" s="3"/>
      <c r="BK536" s="3"/>
      <c r="BL536" s="3"/>
      <c r="BM536" s="3"/>
      <c r="BN536" s="3" t="s">
        <v>2074</v>
      </c>
    </row>
    <row r="537" spans="2:66" ht="13" customHeight="1">
      <c r="B537" s="1477"/>
      <c r="C537" s="1478"/>
      <c r="D537" s="1478"/>
      <c r="E537" s="1478"/>
      <c r="F537" s="1478"/>
      <c r="G537" s="1478"/>
      <c r="H537" s="1479"/>
      <c r="I537" s="42" t="s">
        <v>422</v>
      </c>
      <c r="J537" s="42"/>
      <c r="K537" s="42"/>
      <c r="L537" s="42"/>
      <c r="M537" s="42"/>
      <c r="N537" s="42"/>
      <c r="O537" s="1766" t="s">
        <v>333</v>
      </c>
      <c r="P537" s="1767"/>
      <c r="Q537" s="1767"/>
      <c r="R537" s="1767"/>
      <c r="S537" s="1767"/>
      <c r="T537" s="1767"/>
      <c r="U537" s="1767"/>
      <c r="V537" s="1767"/>
      <c r="W537" s="1767"/>
      <c r="X537" s="1767"/>
      <c r="Y537" s="1767"/>
      <c r="Z537" s="1767"/>
      <c r="AA537" s="1767"/>
      <c r="AC537" s="1484" t="s">
        <v>590</v>
      </c>
      <c r="AD537" s="1485"/>
      <c r="AE537" s="1485"/>
      <c r="AF537" s="1485"/>
      <c r="AG537" s="13" t="s">
        <v>402</v>
      </c>
      <c r="AH537" s="1376"/>
      <c r="AI537" s="1376"/>
      <c r="AJ537" s="1376"/>
      <c r="AK537" s="1377"/>
      <c r="AZ537" s="3"/>
      <c r="BA537" s="3"/>
      <c r="BB537" s="3"/>
      <c r="BC537" s="3"/>
      <c r="BD537" s="3"/>
      <c r="BE537" s="3"/>
      <c r="BF537" s="3"/>
      <c r="BG537" s="3"/>
      <c r="BH537" s="3"/>
      <c r="BI537" s="3"/>
      <c r="BJ537" s="3"/>
      <c r="BK537" s="3"/>
      <c r="BL537" s="3"/>
      <c r="BM537" s="3"/>
      <c r="BN537" s="3" t="s">
        <v>2075</v>
      </c>
    </row>
    <row r="538" spans="2:66" ht="13" customHeight="1">
      <c r="B538" s="1477"/>
      <c r="C538" s="1478"/>
      <c r="D538" s="1478"/>
      <c r="E538" s="1478"/>
      <c r="F538" s="1478"/>
      <c r="G538" s="1478"/>
      <c r="H538" s="1479"/>
      <c r="I538" t="s">
        <v>420</v>
      </c>
      <c r="AC538" s="1484" t="s">
        <v>590</v>
      </c>
      <c r="AD538" s="1485"/>
      <c r="AE538" s="1485"/>
      <c r="AF538" s="1485"/>
      <c r="AG538" s="13" t="s">
        <v>402</v>
      </c>
      <c r="AH538" s="1376"/>
      <c r="AI538" s="1376"/>
      <c r="AJ538" s="1376"/>
      <c r="AK538" s="1377"/>
      <c r="AZ538" s="3"/>
      <c r="BA538" s="3"/>
      <c r="BB538" s="3"/>
      <c r="BC538" s="3"/>
      <c r="BD538" s="3"/>
      <c r="BE538" s="3"/>
      <c r="BF538" s="3"/>
      <c r="BG538" s="3"/>
      <c r="BH538" s="3"/>
      <c r="BI538" s="3"/>
      <c r="BJ538" s="3"/>
      <c r="BK538" s="3"/>
      <c r="BL538" s="3"/>
      <c r="BM538" s="3"/>
      <c r="BN538" s="3" t="s">
        <v>2076</v>
      </c>
    </row>
    <row r="539" spans="2:66" ht="13" customHeight="1">
      <c r="B539" s="1477"/>
      <c r="C539" s="1478"/>
      <c r="D539" s="1478"/>
      <c r="E539" s="1478"/>
      <c r="F539" s="1478"/>
      <c r="G539" s="1478"/>
      <c r="H539" s="1479"/>
      <c r="I539" s="48" t="s">
        <v>421</v>
      </c>
      <c r="J539" s="48"/>
      <c r="K539" s="48"/>
      <c r="L539" s="48"/>
      <c r="M539" s="48"/>
      <c r="N539" s="48"/>
      <c r="O539" s="48"/>
      <c r="P539" s="48"/>
      <c r="Q539" s="48"/>
      <c r="R539" s="48"/>
      <c r="S539" s="48"/>
      <c r="T539" s="48"/>
      <c r="U539" s="48"/>
      <c r="V539" s="48"/>
      <c r="W539" s="48"/>
      <c r="X539" s="48"/>
      <c r="Y539" s="48"/>
      <c r="Z539" s="48"/>
      <c r="AA539" s="48"/>
      <c r="AB539" s="48"/>
      <c r="AC539" s="1484" t="s">
        <v>590</v>
      </c>
      <c r="AD539" s="1485"/>
      <c r="AE539" s="1485"/>
      <c r="AF539" s="1485"/>
      <c r="AG539" s="38" t="s">
        <v>402</v>
      </c>
      <c r="AH539" s="1376"/>
      <c r="AI539" s="1376"/>
      <c r="AJ539" s="1376"/>
      <c r="AK539" s="1377"/>
      <c r="AZ539" s="3"/>
      <c r="BA539" s="3"/>
      <c r="BB539" s="3"/>
      <c r="BC539" s="3"/>
      <c r="BD539" s="3"/>
      <c r="BE539" s="3"/>
      <c r="BF539" s="3"/>
      <c r="BG539" s="3"/>
      <c r="BH539" s="3"/>
      <c r="BI539" s="3"/>
      <c r="BJ539" s="3"/>
      <c r="BK539" s="3"/>
      <c r="BL539" s="3"/>
      <c r="BM539" s="3"/>
      <c r="BN539" s="3" t="s">
        <v>2077</v>
      </c>
    </row>
    <row r="540" spans="2:66" ht="13" customHeight="1">
      <c r="B540" s="1477"/>
      <c r="C540" s="1478"/>
      <c r="D540" s="1478"/>
      <c r="E540" s="1478"/>
      <c r="F540" s="1478"/>
      <c r="G540" s="1478"/>
      <c r="H540" s="1479"/>
      <c r="I540" s="42" t="s">
        <v>422</v>
      </c>
      <c r="J540" s="42"/>
      <c r="K540" s="42"/>
      <c r="L540" s="42"/>
      <c r="M540" s="42"/>
      <c r="N540" s="42"/>
      <c r="O540" s="1766" t="s">
        <v>333</v>
      </c>
      <c r="P540" s="1767"/>
      <c r="Q540" s="1767"/>
      <c r="R540" s="1767"/>
      <c r="S540" s="1767"/>
      <c r="T540" s="1767"/>
      <c r="U540" s="1767"/>
      <c r="V540" s="1767"/>
      <c r="W540" s="1767"/>
      <c r="X540" s="1767"/>
      <c r="Y540" s="1767"/>
      <c r="Z540" s="1767"/>
      <c r="AA540" s="1767"/>
      <c r="AC540" s="1484" t="s">
        <v>590</v>
      </c>
      <c r="AD540" s="1485"/>
      <c r="AE540" s="1485"/>
      <c r="AF540" s="1485"/>
      <c r="AG540" s="13" t="s">
        <v>402</v>
      </c>
      <c r="AH540" s="1376"/>
      <c r="AI540" s="1376"/>
      <c r="AJ540" s="1376"/>
      <c r="AK540" s="1377"/>
      <c r="AZ540" s="3"/>
      <c r="BA540" s="3"/>
      <c r="BB540" s="3"/>
      <c r="BC540" s="3"/>
      <c r="BD540" s="3"/>
      <c r="BE540" s="3"/>
      <c r="BF540" s="3"/>
      <c r="BG540" s="3"/>
      <c r="BH540" s="3"/>
      <c r="BI540" s="3"/>
      <c r="BJ540" s="3"/>
      <c r="BK540" s="3"/>
      <c r="BL540" s="3"/>
      <c r="BM540" s="3"/>
      <c r="BN540" s="3" t="s">
        <v>2078</v>
      </c>
    </row>
    <row r="541" spans="2:66" ht="13" customHeight="1">
      <c r="B541" s="1477"/>
      <c r="C541" s="1478"/>
      <c r="D541" s="1478"/>
      <c r="E541" s="1478"/>
      <c r="F541" s="1478"/>
      <c r="G541" s="1478"/>
      <c r="H541" s="1479"/>
      <c r="I541" t="s">
        <v>420</v>
      </c>
      <c r="AC541" s="1484" t="s">
        <v>590</v>
      </c>
      <c r="AD541" s="1485"/>
      <c r="AE541" s="1485"/>
      <c r="AF541" s="1485"/>
      <c r="AG541" s="38" t="s">
        <v>402</v>
      </c>
      <c r="AH541" s="1376"/>
      <c r="AI541" s="1376"/>
      <c r="AJ541" s="1376"/>
      <c r="AK541" s="1377"/>
      <c r="AZ541" s="3"/>
      <c r="BA541" s="3"/>
      <c r="BB541" s="3"/>
      <c r="BC541" s="3"/>
      <c r="BD541" s="3"/>
      <c r="BE541" s="3"/>
      <c r="BF541" s="3"/>
      <c r="BG541" s="3"/>
      <c r="BH541" s="3"/>
      <c r="BI541" s="3"/>
      <c r="BJ541" s="3"/>
      <c r="BK541" s="3"/>
      <c r="BL541" s="3"/>
      <c r="BM541" s="3"/>
      <c r="BN541" s="3" t="s">
        <v>2079</v>
      </c>
    </row>
    <row r="542" spans="2:66" ht="13" customHeight="1">
      <c r="B542" s="1477"/>
      <c r="C542" s="1478"/>
      <c r="D542" s="1478"/>
      <c r="E542" s="1478"/>
      <c r="F542" s="1478"/>
      <c r="G542" s="1478"/>
      <c r="H542" s="1479"/>
      <c r="I542" s="48" t="s">
        <v>421</v>
      </c>
      <c r="J542" s="48"/>
      <c r="K542" s="48"/>
      <c r="L542" s="48"/>
      <c r="M542" s="48"/>
      <c r="N542" s="48"/>
      <c r="O542" s="48"/>
      <c r="P542" s="48"/>
      <c r="Q542" s="48"/>
      <c r="R542" s="48"/>
      <c r="S542" s="48"/>
      <c r="T542" s="48"/>
      <c r="U542" s="48"/>
      <c r="V542" s="48"/>
      <c r="W542" s="48"/>
      <c r="X542" s="48"/>
      <c r="Y542" s="48"/>
      <c r="Z542" s="48"/>
      <c r="AA542" s="48"/>
      <c r="AB542" s="48"/>
      <c r="AC542" s="1484" t="s">
        <v>590</v>
      </c>
      <c r="AD542" s="1485"/>
      <c r="AE542" s="1485"/>
      <c r="AF542" s="1485"/>
      <c r="AG542" s="13" t="s">
        <v>402</v>
      </c>
      <c r="AH542" s="1376"/>
      <c r="AI542" s="1376"/>
      <c r="AJ542" s="1376"/>
      <c r="AK542" s="1377"/>
      <c r="AZ542" s="3"/>
      <c r="BA542" s="3"/>
      <c r="BB542" s="3"/>
      <c r="BC542" s="3"/>
      <c r="BD542" s="3"/>
      <c r="BE542" s="3"/>
      <c r="BF542" s="3"/>
      <c r="BG542" s="3"/>
      <c r="BH542" s="3"/>
      <c r="BI542" s="3"/>
      <c r="BJ542" s="3"/>
      <c r="BK542" s="3"/>
      <c r="BL542" s="3"/>
      <c r="BM542" s="3"/>
      <c r="BN542" s="3" t="s">
        <v>2080</v>
      </c>
    </row>
    <row r="543" spans="2:66" ht="13" customHeight="1">
      <c r="B543" s="1477"/>
      <c r="C543" s="1478"/>
      <c r="D543" s="1478"/>
      <c r="E543" s="1478"/>
      <c r="F543" s="1478"/>
      <c r="G543" s="1478"/>
      <c r="H543" s="1479"/>
      <c r="I543" s="42" t="s">
        <v>422</v>
      </c>
      <c r="J543" s="42"/>
      <c r="K543" s="42"/>
      <c r="L543" s="42"/>
      <c r="M543" s="42"/>
      <c r="N543" s="42"/>
      <c r="O543" s="1766" t="s">
        <v>333</v>
      </c>
      <c r="P543" s="1767"/>
      <c r="Q543" s="1767"/>
      <c r="R543" s="1767"/>
      <c r="S543" s="1767"/>
      <c r="T543" s="1767"/>
      <c r="U543" s="1767"/>
      <c r="V543" s="1767"/>
      <c r="W543" s="1767"/>
      <c r="X543" s="1767"/>
      <c r="Y543" s="1767"/>
      <c r="Z543" s="1767"/>
      <c r="AA543" s="1767"/>
      <c r="AC543" s="1484" t="s">
        <v>590</v>
      </c>
      <c r="AD543" s="1485"/>
      <c r="AE543" s="1485"/>
      <c r="AF543" s="1485"/>
      <c r="AG543" s="38" t="s">
        <v>402</v>
      </c>
      <c r="AH543" s="1376"/>
      <c r="AI543" s="1376"/>
      <c r="AJ543" s="1376"/>
      <c r="AK543" s="1377"/>
      <c r="AZ543" s="3"/>
      <c r="BA543" s="3"/>
      <c r="BB543" s="3"/>
      <c r="BC543" s="3"/>
      <c r="BD543" s="3"/>
      <c r="BE543" s="3"/>
      <c r="BF543" s="3"/>
      <c r="BG543" s="3"/>
      <c r="BH543" s="3"/>
      <c r="BI543" s="3"/>
      <c r="BJ543" s="3"/>
      <c r="BK543" s="3"/>
      <c r="BL543" s="3"/>
      <c r="BM543" s="3"/>
      <c r="BN543" s="3" t="s">
        <v>2081</v>
      </c>
    </row>
    <row r="544" spans="2:66" ht="13" customHeight="1">
      <c r="B544" s="1477"/>
      <c r="C544" s="1478"/>
      <c r="D544" s="1478"/>
      <c r="E544" s="1478"/>
      <c r="F544" s="1478"/>
      <c r="G544" s="1478"/>
      <c r="H544" s="1479"/>
      <c r="I544" t="s">
        <v>420</v>
      </c>
      <c r="AC544" s="1484" t="s">
        <v>590</v>
      </c>
      <c r="AD544" s="1485"/>
      <c r="AE544" s="1485"/>
      <c r="AF544" s="1485"/>
      <c r="AG544" s="13" t="s">
        <v>402</v>
      </c>
      <c r="AH544" s="1376"/>
      <c r="AI544" s="1376"/>
      <c r="AJ544" s="1376"/>
      <c r="AK544" s="1377"/>
      <c r="AZ544" s="3"/>
      <c r="BA544" s="3"/>
      <c r="BB544" s="3"/>
      <c r="BC544" s="3"/>
      <c r="BD544" s="3"/>
      <c r="BE544" s="3"/>
      <c r="BF544" s="3"/>
      <c r="BG544" s="3"/>
      <c r="BH544" s="3"/>
      <c r="BI544" s="3"/>
      <c r="BJ544" s="3"/>
      <c r="BK544" s="3"/>
      <c r="BL544" s="3"/>
      <c r="BM544" s="3"/>
      <c r="BN544" s="3" t="s">
        <v>2082</v>
      </c>
    </row>
    <row r="545" spans="1:66" ht="13" customHeight="1">
      <c r="B545" s="1477"/>
      <c r="C545" s="1478"/>
      <c r="D545" s="1478"/>
      <c r="E545" s="1478"/>
      <c r="F545" s="1478"/>
      <c r="G545" s="1478"/>
      <c r="H545" s="1479"/>
      <c r="I545" s="48" t="s">
        <v>421</v>
      </c>
      <c r="J545" s="48"/>
      <c r="K545" s="48"/>
      <c r="L545" s="48"/>
      <c r="M545" s="48"/>
      <c r="N545" s="48"/>
      <c r="O545" s="48"/>
      <c r="P545" s="48"/>
      <c r="Q545" s="48"/>
      <c r="R545" s="48"/>
      <c r="S545" s="48"/>
      <c r="T545" s="48"/>
      <c r="U545" s="48"/>
      <c r="V545" s="48"/>
      <c r="W545" s="48"/>
      <c r="X545" s="48"/>
      <c r="Y545" s="48"/>
      <c r="Z545" s="48"/>
      <c r="AA545" s="48"/>
      <c r="AB545" s="48"/>
      <c r="AC545" s="1484" t="s">
        <v>590</v>
      </c>
      <c r="AD545" s="1485"/>
      <c r="AE545" s="1485"/>
      <c r="AF545" s="1485"/>
      <c r="AG545" s="38" t="s">
        <v>402</v>
      </c>
      <c r="AH545" s="1376"/>
      <c r="AI545" s="1376"/>
      <c r="AJ545" s="1376"/>
      <c r="AK545" s="1377"/>
      <c r="AZ545" s="3"/>
      <c r="BA545" s="3"/>
      <c r="BB545" s="3"/>
      <c r="BC545" s="3"/>
      <c r="BD545" s="3"/>
      <c r="BE545" s="3"/>
      <c r="BF545" s="3"/>
      <c r="BG545" s="3"/>
      <c r="BH545" s="3"/>
      <c r="BI545" s="3"/>
      <c r="BJ545" s="3"/>
      <c r="BK545" s="3"/>
      <c r="BL545" s="3"/>
      <c r="BM545" s="3"/>
      <c r="BN545" s="3" t="s">
        <v>2083</v>
      </c>
    </row>
    <row r="546" spans="1:66" ht="13" customHeight="1">
      <c r="B546" s="1477"/>
      <c r="C546" s="1478"/>
      <c r="D546" s="1478"/>
      <c r="E546" s="1478"/>
      <c r="F546" s="1478"/>
      <c r="G546" s="1478"/>
      <c r="H546" s="1479"/>
      <c r="I546" s="42" t="s">
        <v>561</v>
      </c>
      <c r="J546" s="42"/>
      <c r="K546" s="42"/>
      <c r="L546" s="42"/>
      <c r="M546" s="42"/>
      <c r="N546" s="42"/>
      <c r="O546" s="42"/>
      <c r="P546" s="42"/>
      <c r="Q546" s="42"/>
      <c r="R546" s="42"/>
      <c r="S546" s="42"/>
      <c r="T546" s="42"/>
      <c r="U546" s="42"/>
      <c r="V546" s="42"/>
      <c r="W546" s="42"/>
      <c r="AC546" s="1484" t="s">
        <v>590</v>
      </c>
      <c r="AD546" s="1485"/>
      <c r="AE546" s="1485"/>
      <c r="AF546" s="1485"/>
      <c r="AG546" s="38" t="s">
        <v>402</v>
      </c>
      <c r="AH546" s="1376"/>
      <c r="AI546" s="1376"/>
      <c r="AJ546" s="1376"/>
      <c r="AK546" s="1377"/>
      <c r="AZ546" s="3"/>
      <c r="BA546" s="3"/>
      <c r="BB546" s="3"/>
      <c r="BC546" s="3"/>
      <c r="BD546" s="3"/>
      <c r="BE546" s="3"/>
      <c r="BF546" s="3"/>
      <c r="BG546" s="3"/>
      <c r="BH546" s="3"/>
      <c r="BI546" s="3"/>
      <c r="BJ546" s="3"/>
      <c r="BK546" s="3"/>
      <c r="BL546" s="3"/>
      <c r="BM546" s="3"/>
      <c r="BN546" s="3"/>
    </row>
    <row r="547" spans="1:66" ht="13" customHeight="1">
      <c r="B547" s="1477"/>
      <c r="C547" s="1478"/>
      <c r="D547" s="1478"/>
      <c r="E547" s="1478"/>
      <c r="F547" s="1478"/>
      <c r="G547" s="1478"/>
      <c r="H547" s="1479"/>
      <c r="I547" t="s">
        <v>562</v>
      </c>
      <c r="AC547" s="1484">
        <v>11</v>
      </c>
      <c r="AD547" s="1485"/>
      <c r="AE547" s="1485"/>
      <c r="AF547" s="1485"/>
      <c r="AG547" s="13" t="s">
        <v>402</v>
      </c>
      <c r="AH547" s="1376">
        <v>2026</v>
      </c>
      <c r="AI547" s="1376"/>
      <c r="AJ547" s="1376"/>
      <c r="AK547" s="1377"/>
      <c r="AZ547" s="3"/>
      <c r="BA547" s="3"/>
      <c r="BB547" s="3"/>
      <c r="BC547" s="3"/>
      <c r="BD547" s="3"/>
      <c r="BE547" s="3"/>
      <c r="BF547" s="3"/>
      <c r="BG547" s="3"/>
      <c r="BH547" s="3"/>
      <c r="BI547" s="3"/>
      <c r="BJ547" s="3"/>
      <c r="BK547" s="3"/>
      <c r="BL547" s="3"/>
      <c r="BM547" s="3"/>
      <c r="BN547" s="3"/>
    </row>
    <row r="548" spans="1:66" ht="13" customHeight="1">
      <c r="B548" s="1477"/>
      <c r="C548" s="1478"/>
      <c r="D548" s="1478"/>
      <c r="E548" s="1478"/>
      <c r="F548" s="1478"/>
      <c r="G548" s="1478"/>
      <c r="H548" s="1479"/>
      <c r="I548" t="s">
        <v>563</v>
      </c>
      <c r="AC548" s="1484">
        <v>1</v>
      </c>
      <c r="AD548" s="1485"/>
      <c r="AE548" s="1485"/>
      <c r="AF548" s="1485"/>
      <c r="AG548" s="38" t="s">
        <v>402</v>
      </c>
      <c r="AH548" s="1376">
        <v>2028</v>
      </c>
      <c r="AI548" s="1376"/>
      <c r="AJ548" s="1376"/>
      <c r="AK548" s="1377"/>
      <c r="AZ548" s="3"/>
      <c r="BA548" s="3"/>
      <c r="BB548" s="3"/>
      <c r="BC548" s="3"/>
      <c r="BD548" s="3"/>
      <c r="BE548" s="3"/>
      <c r="BF548" s="3"/>
      <c r="BG548" s="3"/>
      <c r="BH548" s="3"/>
      <c r="BI548" s="3"/>
      <c r="BJ548" s="3"/>
      <c r="BK548" s="3"/>
      <c r="BL548" s="3"/>
      <c r="BM548" s="3"/>
      <c r="BN548" s="3"/>
    </row>
    <row r="549" spans="1:66" ht="13" customHeight="1">
      <c r="B549" s="1477"/>
      <c r="C549" s="1478"/>
      <c r="D549" s="1478"/>
      <c r="E549" s="1478"/>
      <c r="F549" s="1478"/>
      <c r="G549" s="1478"/>
      <c r="H549" s="1479"/>
      <c r="I549" t="s">
        <v>564</v>
      </c>
      <c r="AC549" s="1484">
        <v>1</v>
      </c>
      <c r="AD549" s="1485"/>
      <c r="AE549" s="1485"/>
      <c r="AF549" s="1485"/>
      <c r="AG549" s="38" t="s">
        <v>402</v>
      </c>
      <c r="AH549" s="1376">
        <v>2028</v>
      </c>
      <c r="AI549" s="1376"/>
      <c r="AJ549" s="1376"/>
      <c r="AK549" s="1377"/>
      <c r="AZ549" s="3"/>
      <c r="BA549" s="3"/>
      <c r="BB549" s="3"/>
      <c r="BC549" s="3"/>
      <c r="BD549" s="3"/>
      <c r="BE549" s="3"/>
      <c r="BF549" s="3"/>
      <c r="BG549" s="3"/>
      <c r="BH549" s="3"/>
      <c r="BI549" s="3"/>
      <c r="BJ549" s="3"/>
      <c r="BK549" s="3"/>
      <c r="BL549" s="3"/>
      <c r="BM549" s="3"/>
      <c r="BN549" s="3"/>
    </row>
    <row r="550" spans="1:66" ht="13" customHeight="1">
      <c r="B550" s="1480"/>
      <c r="C550" s="1481"/>
      <c r="D550" s="1481"/>
      <c r="E550" s="1481"/>
      <c r="F550" s="1481"/>
      <c r="G550" s="1481"/>
      <c r="H550" s="1482"/>
      <c r="I550" s="48" t="s">
        <v>450</v>
      </c>
      <c r="J550" s="48"/>
      <c r="K550" s="48"/>
      <c r="L550" s="48"/>
      <c r="M550" s="48"/>
      <c r="N550" s="48"/>
      <c r="O550" s="48"/>
      <c r="P550" s="48"/>
      <c r="Q550" s="48"/>
      <c r="R550" s="48"/>
      <c r="S550" s="48"/>
      <c r="T550" s="48"/>
      <c r="U550" s="48"/>
      <c r="V550" s="48"/>
      <c r="W550" s="48"/>
      <c r="X550" s="48"/>
      <c r="Y550" s="48"/>
      <c r="Z550" s="48"/>
      <c r="AA550" s="48"/>
      <c r="AB550" s="48"/>
      <c r="AC550" s="1484">
        <v>11</v>
      </c>
      <c r="AD550" s="1485"/>
      <c r="AE550" s="1485"/>
      <c r="AF550" s="1485"/>
      <c r="AG550" s="38" t="s">
        <v>402</v>
      </c>
      <c r="AH550" s="1376">
        <v>2026</v>
      </c>
      <c r="AI550" s="1376"/>
      <c r="AJ550" s="1376"/>
      <c r="AK550" s="1377"/>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66" t="s">
        <v>542</v>
      </c>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895"/>
      <c r="AV552" s="895"/>
      <c r="AW552" s="895"/>
      <c r="AX552" s="895"/>
      <c r="AY552" s="895"/>
      <c r="BB552" s="3"/>
      <c r="BC552" s="3"/>
      <c r="BD552" s="3"/>
      <c r="BE552" s="3"/>
      <c r="BF552" s="3"/>
      <c r="BG552" s="3"/>
      <c r="BH552" s="3"/>
      <c r="BI552" s="3"/>
      <c r="BJ552" s="3"/>
      <c r="BK552" s="3"/>
      <c r="BL552" s="3"/>
      <c r="BM552" s="3"/>
      <c r="BN552" s="3"/>
    </row>
    <row r="553" spans="1:66" ht="13" customHeight="1">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318</v>
      </c>
      <c r="B555" s="2"/>
      <c r="C555" s="2" t="s">
        <v>451</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2055</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474" t="s">
        <v>2057</v>
      </c>
      <c r="C559" s="1475"/>
      <c r="D559" s="1475"/>
      <c r="E559" s="1475"/>
      <c r="F559" s="1475"/>
      <c r="G559" s="1475"/>
      <c r="H559" s="1475"/>
      <c r="I559" s="1475"/>
      <c r="J559" s="1475"/>
      <c r="K559" s="1475"/>
      <c r="L559" s="1476"/>
      <c r="M559" s="1474" t="s">
        <v>2058</v>
      </c>
      <c r="N559" s="1475"/>
      <c r="O559" s="1475"/>
      <c r="P559" s="1476"/>
      <c r="Q559" s="1474" t="s">
        <v>2084</v>
      </c>
      <c r="R559" s="1475"/>
      <c r="S559" s="1476"/>
      <c r="T559" s="1474" t="s">
        <v>2085</v>
      </c>
      <c r="U559" s="1475"/>
      <c r="V559" s="1476"/>
      <c r="W559" s="1474" t="s">
        <v>452</v>
      </c>
      <c r="X559" s="1475"/>
      <c r="Y559" s="1476"/>
      <c r="Z559" s="1474" t="s">
        <v>1827</v>
      </c>
      <c r="AA559" s="1475"/>
      <c r="AB559" s="1475"/>
      <c r="AC559" s="1475"/>
      <c r="AD559" s="1476"/>
      <c r="AE559" s="1474" t="s">
        <v>1664</v>
      </c>
      <c r="AF559" s="1475"/>
      <c r="AG559" s="1475"/>
      <c r="AH559" s="1476"/>
      <c r="AI559" s="1474" t="s">
        <v>1665</v>
      </c>
      <c r="AJ559" s="1475"/>
      <c r="AK559" s="1475"/>
      <c r="AL559" s="1476"/>
      <c r="AM559" s="1474" t="s">
        <v>453</v>
      </c>
      <c r="AN559" s="1475"/>
      <c r="AO559" s="1475"/>
      <c r="AP559" s="1475"/>
      <c r="AQ559" s="1475"/>
      <c r="AR559" s="1475"/>
      <c r="AS559" s="1476"/>
      <c r="BB559" s="3"/>
      <c r="BC559" s="3"/>
      <c r="BD559" s="3"/>
      <c r="BE559" s="3"/>
      <c r="BF559" s="3"/>
      <c r="BG559" s="3"/>
      <c r="BH559" s="3" t="s">
        <v>580</v>
      </c>
      <c r="BI559" s="3" t="str">
        <f>AG665</f>
        <v>Yes</v>
      </c>
    </row>
    <row r="560" spans="1:66" ht="13" customHeight="1">
      <c r="B560" s="1477"/>
      <c r="C560" s="1478"/>
      <c r="D560" s="1478"/>
      <c r="E560" s="1478"/>
      <c r="F560" s="1478"/>
      <c r="G560" s="1478"/>
      <c r="H560" s="1478"/>
      <c r="I560" s="1478"/>
      <c r="J560" s="1478"/>
      <c r="K560" s="1478"/>
      <c r="L560" s="1479"/>
      <c r="M560" s="1477"/>
      <c r="N560" s="1478"/>
      <c r="O560" s="1478"/>
      <c r="P560" s="1479"/>
      <c r="Q560" s="1477"/>
      <c r="R560" s="1478"/>
      <c r="S560" s="1479"/>
      <c r="T560" s="1477"/>
      <c r="U560" s="1478"/>
      <c r="V560" s="1479"/>
      <c r="W560" s="1477"/>
      <c r="X560" s="1478"/>
      <c r="Y560" s="1479"/>
      <c r="Z560" s="1477"/>
      <c r="AA560" s="1478"/>
      <c r="AB560" s="1478"/>
      <c r="AC560" s="1478"/>
      <c r="AD560" s="1479"/>
      <c r="AE560" s="1477"/>
      <c r="AF560" s="1478"/>
      <c r="AG560" s="1478"/>
      <c r="AH560" s="1479"/>
      <c r="AI560" s="1477"/>
      <c r="AJ560" s="1478"/>
      <c r="AK560" s="1478"/>
      <c r="AL560" s="1479"/>
      <c r="AM560" s="1477"/>
      <c r="AN560" s="1478"/>
      <c r="AO560" s="1478"/>
      <c r="AP560" s="1478"/>
      <c r="AQ560" s="1478"/>
      <c r="AR560" s="1478"/>
      <c r="AS560" s="1479"/>
      <c r="AU560" s="1141"/>
      <c r="BB560" s="3"/>
      <c r="BC560" s="3"/>
      <c r="BD560" s="3"/>
      <c r="BE560" s="3"/>
      <c r="BF560" s="3"/>
      <c r="BG560" s="3"/>
      <c r="BH560" s="3"/>
      <c r="BI560" s="3"/>
    </row>
    <row r="561" spans="1:61" ht="13" customHeight="1">
      <c r="B561" s="1480"/>
      <c r="C561" s="1481"/>
      <c r="D561" s="1481"/>
      <c r="E561" s="1481"/>
      <c r="F561" s="1481"/>
      <c r="G561" s="1481"/>
      <c r="H561" s="1481"/>
      <c r="I561" s="1481"/>
      <c r="J561" s="1481"/>
      <c r="K561" s="1481"/>
      <c r="L561" s="1482"/>
      <c r="M561" s="1480"/>
      <c r="N561" s="1481"/>
      <c r="O561" s="1481"/>
      <c r="P561" s="1482"/>
      <c r="Q561" s="1480"/>
      <c r="R561" s="1481"/>
      <c r="S561" s="1482"/>
      <c r="T561" s="1480"/>
      <c r="U561" s="1481"/>
      <c r="V561" s="1482"/>
      <c r="W561" s="1480"/>
      <c r="X561" s="1481"/>
      <c r="Y561" s="1482"/>
      <c r="Z561" s="1480"/>
      <c r="AA561" s="1481"/>
      <c r="AB561" s="1481"/>
      <c r="AC561" s="1481"/>
      <c r="AD561" s="1482"/>
      <c r="AE561" s="1480"/>
      <c r="AF561" s="1481"/>
      <c r="AG561" s="1481"/>
      <c r="AH561" s="1482"/>
      <c r="AI561" s="1480"/>
      <c r="AJ561" s="1481"/>
      <c r="AK561" s="1481"/>
      <c r="AL561" s="1482"/>
      <c r="AM561" s="1480"/>
      <c r="AN561" s="1481"/>
      <c r="AO561" s="1481"/>
      <c r="AP561" s="1481"/>
      <c r="AQ561" s="1481"/>
      <c r="AR561" s="1481"/>
      <c r="AS561" s="1482"/>
      <c r="AU561" s="1141"/>
      <c r="BB561" s="3"/>
      <c r="BC561" s="3"/>
      <c r="BD561" s="3"/>
      <c r="BE561" s="3"/>
      <c r="BF561" s="3"/>
      <c r="BG561" s="3"/>
      <c r="BH561" s="3"/>
      <c r="BI561" s="3"/>
    </row>
    <row r="562" spans="1:61" ht="13" customHeight="1">
      <c r="B562" s="51" t="s">
        <v>112</v>
      </c>
      <c r="C562" s="1448" t="s">
        <v>2725</v>
      </c>
      <c r="D562" s="1448"/>
      <c r="E562" s="1448"/>
      <c r="F562" s="1448"/>
      <c r="G562" s="1448"/>
      <c r="H562" s="1448"/>
      <c r="I562" s="1448"/>
      <c r="J562" s="1448"/>
      <c r="K562" s="1448"/>
      <c r="L562" s="1448"/>
      <c r="M562" s="1448" t="s">
        <v>2074</v>
      </c>
      <c r="N562" s="1448"/>
      <c r="O562" s="1448"/>
      <c r="P562" s="1448"/>
      <c r="Q562" s="1525">
        <v>24</v>
      </c>
      <c r="R562" s="1525"/>
      <c r="S562" s="1526"/>
      <c r="T562" s="1524"/>
      <c r="U562" s="1525"/>
      <c r="V562" s="1526"/>
      <c r="W562" s="1493">
        <v>6.3500000000000001E-2</v>
      </c>
      <c r="X562" s="1494"/>
      <c r="Y562" s="1495"/>
      <c r="Z562" s="1701" t="s">
        <v>2758</v>
      </c>
      <c r="AA562" s="1701"/>
      <c r="AB562" s="1701"/>
      <c r="AC562" s="1701"/>
      <c r="AD562" s="1701"/>
      <c r="AE562" s="1486">
        <v>1</v>
      </c>
      <c r="AF562" s="1487"/>
      <c r="AG562" s="1487"/>
      <c r="AH562" s="1488"/>
      <c r="AI562" s="1521"/>
      <c r="AJ562" s="1522"/>
      <c r="AK562" s="1522"/>
      <c r="AL562" s="1523"/>
      <c r="AM562" s="1458">
        <v>8942000</v>
      </c>
      <c r="AN562" s="1459"/>
      <c r="AO562" s="1459"/>
      <c r="AP562" s="1459"/>
      <c r="AQ562" s="1459"/>
      <c r="AR562" s="1459"/>
      <c r="AS562" s="1460"/>
      <c r="AT562" s="1142"/>
      <c r="AU562" s="1141"/>
      <c r="BB562" s="3"/>
      <c r="BC562" s="3"/>
      <c r="BD562" s="3"/>
      <c r="BE562" s="3"/>
      <c r="BF562" s="3"/>
      <c r="BG562" s="3"/>
      <c r="BH562" s="3"/>
      <c r="BI562" s="3"/>
    </row>
    <row r="563" spans="1:61" ht="13" customHeight="1">
      <c r="B563" s="52" t="s">
        <v>113</v>
      </c>
      <c r="C563" s="1492" t="s">
        <v>2725</v>
      </c>
      <c r="D563" s="1492"/>
      <c r="E563" s="1492"/>
      <c r="F563" s="1492"/>
      <c r="G563" s="1492"/>
      <c r="H563" s="1492"/>
      <c r="I563" s="1492"/>
      <c r="J563" s="1492"/>
      <c r="K563" s="1492"/>
      <c r="L563" s="1492"/>
      <c r="M563" s="1448" t="s">
        <v>2073</v>
      </c>
      <c r="N563" s="1448"/>
      <c r="O563" s="1448"/>
      <c r="P563" s="1448"/>
      <c r="Q563" s="1524">
        <v>24</v>
      </c>
      <c r="R563" s="1525"/>
      <c r="S563" s="1526"/>
      <c r="T563" s="1524"/>
      <c r="U563" s="1525"/>
      <c r="V563" s="1526"/>
      <c r="W563" s="1493">
        <v>7.0000000000000007E-2</v>
      </c>
      <c r="X563" s="1494"/>
      <c r="Y563" s="1495"/>
      <c r="Z563" s="1701" t="s">
        <v>2758</v>
      </c>
      <c r="AA563" s="1701"/>
      <c r="AB563" s="1701"/>
      <c r="AC563" s="1701"/>
      <c r="AD563" s="1701"/>
      <c r="AE563" s="1486">
        <v>2</v>
      </c>
      <c r="AF563" s="1487"/>
      <c r="AG563" s="1487"/>
      <c r="AH563" s="1488"/>
      <c r="AI563" s="1521"/>
      <c r="AJ563" s="1522"/>
      <c r="AK563" s="1522"/>
      <c r="AL563" s="1523"/>
      <c r="AM563" s="1458">
        <v>5926752</v>
      </c>
      <c r="AN563" s="1459"/>
      <c r="AO563" s="1459"/>
      <c r="AP563" s="1459"/>
      <c r="AQ563" s="1459"/>
      <c r="AR563" s="1459"/>
      <c r="AS563" s="1460"/>
      <c r="AT563" s="1142" t="str">
        <f>IF(AND(NOT(C562=""),C563="",NOT(C564="")),"!","")</f>
        <v/>
      </c>
      <c r="AU563" s="1141"/>
      <c r="BB563" s="3"/>
      <c r="BC563" s="3"/>
      <c r="BD563" s="3"/>
      <c r="BE563" s="3"/>
      <c r="BF563" s="3"/>
      <c r="BG563" s="3"/>
      <c r="BH563" s="3"/>
      <c r="BI563" s="3"/>
    </row>
    <row r="564" spans="1:61" ht="13" customHeight="1">
      <c r="B564" s="52" t="s">
        <v>119</v>
      </c>
      <c r="C564" s="1492" t="s">
        <v>2726</v>
      </c>
      <c r="D564" s="1492"/>
      <c r="E564" s="1492"/>
      <c r="F564" s="1492"/>
      <c r="G564" s="1492"/>
      <c r="H564" s="1492"/>
      <c r="I564" s="1492"/>
      <c r="J564" s="1492"/>
      <c r="K564" s="1492"/>
      <c r="L564" s="1492"/>
      <c r="M564" s="1448" t="s">
        <v>2065</v>
      </c>
      <c r="N564" s="1448"/>
      <c r="O564" s="1448"/>
      <c r="P564" s="1448"/>
      <c r="Q564" s="1524"/>
      <c r="R564" s="1525"/>
      <c r="S564" s="1526"/>
      <c r="T564" s="1524"/>
      <c r="U564" s="1525"/>
      <c r="V564" s="1526"/>
      <c r="W564" s="1493"/>
      <c r="X564" s="1494"/>
      <c r="Y564" s="1495"/>
      <c r="Z564" s="1701" t="s">
        <v>1183</v>
      </c>
      <c r="AA564" s="1701"/>
      <c r="AB564" s="1701"/>
      <c r="AC564" s="1701"/>
      <c r="AD564" s="1701"/>
      <c r="AE564" s="1486"/>
      <c r="AF564" s="1487"/>
      <c r="AG564" s="1487"/>
      <c r="AH564" s="1488"/>
      <c r="AI564" s="1521"/>
      <c r="AJ564" s="1522"/>
      <c r="AK564" s="1522"/>
      <c r="AL564" s="1523"/>
      <c r="AM564" s="1458">
        <f>1059846-180000</f>
        <v>879846</v>
      </c>
      <c r="AN564" s="1459"/>
      <c r="AO564" s="1459"/>
      <c r="AP564" s="1459"/>
      <c r="AQ564" s="1459"/>
      <c r="AR564" s="1459"/>
      <c r="AS564" s="1460"/>
      <c r="AT564" s="1142" t="str">
        <f>IF(AND(NOT(C563=""),C564="",NOT(C565="")),"!","")</f>
        <v/>
      </c>
      <c r="AU564" s="1141"/>
      <c r="BB564" s="3"/>
      <c r="BC564" s="3"/>
      <c r="BD564" s="3"/>
      <c r="BE564" s="3"/>
      <c r="BF564" s="3"/>
      <c r="BG564" s="3"/>
      <c r="BH564" s="3"/>
      <c r="BI564" s="3"/>
    </row>
    <row r="565" spans="1:61" ht="13" customHeight="1">
      <c r="B565" s="52" t="s">
        <v>580</v>
      </c>
      <c r="C565" s="1492" t="s">
        <v>2727</v>
      </c>
      <c r="D565" s="1492"/>
      <c r="E565" s="1492"/>
      <c r="F565" s="1492"/>
      <c r="G565" s="1492"/>
      <c r="H565" s="1492"/>
      <c r="I565" s="1492"/>
      <c r="J565" s="1492"/>
      <c r="K565" s="1492"/>
      <c r="L565" s="1492"/>
      <c r="M565" s="1448" t="s">
        <v>2071</v>
      </c>
      <c r="N565" s="1448"/>
      <c r="O565" s="1448"/>
      <c r="P565" s="1448"/>
      <c r="Q565" s="1524">
        <v>660</v>
      </c>
      <c r="R565" s="1525"/>
      <c r="S565" s="1526"/>
      <c r="T565" s="1524"/>
      <c r="U565" s="1525"/>
      <c r="V565" s="1526"/>
      <c r="W565" s="1493">
        <v>4.6300000000000001E-2</v>
      </c>
      <c r="X565" s="1494"/>
      <c r="Y565" s="1495"/>
      <c r="Z565" s="1701" t="s">
        <v>1183</v>
      </c>
      <c r="AA565" s="1701"/>
      <c r="AB565" s="1701"/>
      <c r="AC565" s="1701"/>
      <c r="AD565" s="1701"/>
      <c r="AE565" s="1486">
        <v>3</v>
      </c>
      <c r="AF565" s="1487"/>
      <c r="AG565" s="1487"/>
      <c r="AH565" s="1488"/>
      <c r="AI565" s="1521"/>
      <c r="AJ565" s="1522"/>
      <c r="AK565" s="1522"/>
      <c r="AL565" s="1523"/>
      <c r="AM565" s="1458">
        <v>13101000</v>
      </c>
      <c r="AN565" s="1459"/>
      <c r="AO565" s="1459"/>
      <c r="AP565" s="1459"/>
      <c r="AQ565" s="1459"/>
      <c r="AR565" s="1459"/>
      <c r="AS565" s="1460"/>
      <c r="AT565" s="1142" t="str">
        <f>IF(AND(NOT(C564=""),C565="",NOT(C566="")),"!","")</f>
        <v/>
      </c>
      <c r="AU565" s="1141"/>
      <c r="BB565" s="3"/>
      <c r="BC565" s="3"/>
      <c r="BD565" s="3"/>
      <c r="BE565" s="3"/>
      <c r="BF565" s="3"/>
      <c r="BG565" s="3"/>
      <c r="BH565" s="3"/>
      <c r="BI565" s="3"/>
    </row>
    <row r="566" spans="1:61" ht="13" customHeight="1">
      <c r="B566" s="52" t="s">
        <v>762</v>
      </c>
      <c r="C566" s="1492" t="s">
        <v>2728</v>
      </c>
      <c r="D566" s="1492"/>
      <c r="E566" s="1492"/>
      <c r="F566" s="1492"/>
      <c r="G566" s="1492"/>
      <c r="H566" s="1492"/>
      <c r="I566" s="1492"/>
      <c r="J566" s="1492"/>
      <c r="K566" s="1492"/>
      <c r="L566" s="1492"/>
      <c r="M566" s="1448" t="s">
        <v>2059</v>
      </c>
      <c r="N566" s="1448"/>
      <c r="O566" s="1448"/>
      <c r="P566" s="1448"/>
      <c r="Q566" s="1524"/>
      <c r="R566" s="1525"/>
      <c r="S566" s="1526"/>
      <c r="T566" s="1524"/>
      <c r="U566" s="1525"/>
      <c r="V566" s="1526"/>
      <c r="W566" s="1493"/>
      <c r="X566" s="1494"/>
      <c r="Y566" s="1495"/>
      <c r="Z566" s="1701" t="s">
        <v>1183</v>
      </c>
      <c r="AA566" s="1701"/>
      <c r="AB566" s="1701"/>
      <c r="AC566" s="1701"/>
      <c r="AD566" s="1701"/>
      <c r="AE566" s="1486"/>
      <c r="AF566" s="1487"/>
      <c r="AG566" s="1487"/>
      <c r="AH566" s="1488"/>
      <c r="AI566" s="1521"/>
      <c r="AJ566" s="1522"/>
      <c r="AK566" s="1522"/>
      <c r="AL566" s="1523"/>
      <c r="AM566" s="1458">
        <v>1268536</v>
      </c>
      <c r="AN566" s="1459"/>
      <c r="AO566" s="1459"/>
      <c r="AP566" s="1459"/>
      <c r="AQ566" s="1459"/>
      <c r="AR566" s="1459"/>
      <c r="AS566" s="1460"/>
      <c r="AT566" s="1142" t="str">
        <f t="shared" ref="AT566:AT573" si="2">IF(AND(NOT(C565=""),C566="",NOT(C567="")),"!","")</f>
        <v/>
      </c>
      <c r="AU566" s="1141"/>
      <c r="BB566" s="3"/>
      <c r="BC566" s="3"/>
      <c r="BD566" s="3"/>
      <c r="BE566" s="3"/>
      <c r="BF566" s="3"/>
      <c r="BG566" s="3"/>
      <c r="BH566" s="3" t="s">
        <v>762</v>
      </c>
      <c r="BI566" s="3" t="str">
        <f>N673</f>
        <v>Yes</v>
      </c>
    </row>
    <row r="567" spans="1:61" ht="13" customHeight="1">
      <c r="B567" s="52" t="s">
        <v>583</v>
      </c>
      <c r="C567" s="1492" t="s">
        <v>2757</v>
      </c>
      <c r="D567" s="1492"/>
      <c r="E567" s="1492"/>
      <c r="F567" s="1492"/>
      <c r="G567" s="1492"/>
      <c r="H567" s="1492"/>
      <c r="I567" s="1492"/>
      <c r="J567" s="1492"/>
      <c r="K567" s="1492"/>
      <c r="L567" s="1492"/>
      <c r="M567" s="1448" t="s">
        <v>2061</v>
      </c>
      <c r="N567" s="1448"/>
      <c r="O567" s="1448"/>
      <c r="P567" s="1448"/>
      <c r="Q567" s="1524"/>
      <c r="R567" s="1525"/>
      <c r="S567" s="1526"/>
      <c r="T567" s="1524"/>
      <c r="U567" s="1525"/>
      <c r="V567" s="1526"/>
      <c r="W567" s="1493"/>
      <c r="X567" s="1494"/>
      <c r="Y567" s="1495"/>
      <c r="Z567" s="1701" t="s">
        <v>1183</v>
      </c>
      <c r="AA567" s="1701"/>
      <c r="AB567" s="1701"/>
      <c r="AC567" s="1701"/>
      <c r="AD567" s="1701"/>
      <c r="AE567" s="1486"/>
      <c r="AF567" s="1487"/>
      <c r="AG567" s="1487"/>
      <c r="AH567" s="1488"/>
      <c r="AI567" s="1521"/>
      <c r="AJ567" s="1522"/>
      <c r="AK567" s="1522"/>
      <c r="AL567" s="1523"/>
      <c r="AM567" s="1458">
        <v>1636942</v>
      </c>
      <c r="AN567" s="1459"/>
      <c r="AO567" s="1459"/>
      <c r="AP567" s="1459"/>
      <c r="AQ567" s="1459"/>
      <c r="AR567" s="1459"/>
      <c r="AS567" s="1460"/>
      <c r="AT567" s="1142" t="str">
        <f t="shared" si="2"/>
        <v/>
      </c>
      <c r="AU567" s="1141"/>
      <c r="BB567" s="3"/>
      <c r="BC567" s="3"/>
      <c r="BD567" s="3"/>
      <c r="BE567" s="3"/>
      <c r="BF567" s="3"/>
      <c r="BG567" s="3"/>
      <c r="BH567" s="3" t="s">
        <v>583</v>
      </c>
      <c r="BI567" s="3" t="str">
        <f>AG673</f>
        <v>Yes</v>
      </c>
    </row>
    <row r="568" spans="1:61" ht="13" customHeight="1">
      <c r="B568" s="52" t="s">
        <v>454</v>
      </c>
      <c r="C568" s="1492" t="s">
        <v>2256</v>
      </c>
      <c r="D568" s="1492"/>
      <c r="E568" s="1492"/>
      <c r="F568" s="1492"/>
      <c r="G568" s="1492"/>
      <c r="H568" s="1492"/>
      <c r="I568" s="1492"/>
      <c r="J568" s="1492"/>
      <c r="K568" s="1492"/>
      <c r="L568" s="1492"/>
      <c r="M568" s="1448" t="s">
        <v>2064</v>
      </c>
      <c r="N568" s="1448"/>
      <c r="O568" s="1448"/>
      <c r="P568" s="1448"/>
      <c r="Q568" s="1524"/>
      <c r="R568" s="1525"/>
      <c r="S568" s="1526"/>
      <c r="T568" s="1524"/>
      <c r="U568" s="1525"/>
      <c r="V568" s="1526"/>
      <c r="W568" s="1493"/>
      <c r="X568" s="1494"/>
      <c r="Y568" s="1495"/>
      <c r="Z568" s="1701" t="s">
        <v>1183</v>
      </c>
      <c r="AA568" s="1701"/>
      <c r="AB568" s="1701"/>
      <c r="AC568" s="1701"/>
      <c r="AD568" s="1701"/>
      <c r="AE568" s="1486"/>
      <c r="AF568" s="1487"/>
      <c r="AG568" s="1487"/>
      <c r="AH568" s="1488"/>
      <c r="AI568" s="1521"/>
      <c r="AJ568" s="1522"/>
      <c r="AK568" s="1522"/>
      <c r="AL568" s="1523"/>
      <c r="AM568" s="1458">
        <v>100</v>
      </c>
      <c r="AN568" s="1459"/>
      <c r="AO568" s="1459"/>
      <c r="AP568" s="1459"/>
      <c r="AQ568" s="1459"/>
      <c r="AR568" s="1459"/>
      <c r="AS568" s="1460"/>
      <c r="AT568" s="1142" t="str">
        <f t="shared" si="2"/>
        <v/>
      </c>
      <c r="AU568" s="1141"/>
      <c r="BB568" s="3"/>
      <c r="BC568" s="3"/>
      <c r="BD568" s="3"/>
      <c r="BE568" s="3"/>
      <c r="BF568" s="3"/>
      <c r="BG568" s="3"/>
      <c r="BH568" s="3"/>
      <c r="BI568" s="3"/>
    </row>
    <row r="569" spans="1:61" ht="13" customHeight="1">
      <c r="B569" s="52" t="s">
        <v>455</v>
      </c>
      <c r="C569" s="1492" t="s">
        <v>2729</v>
      </c>
      <c r="D569" s="1492"/>
      <c r="E569" s="1492"/>
      <c r="F569" s="1492"/>
      <c r="G569" s="1492"/>
      <c r="H569" s="1492"/>
      <c r="I569" s="1492"/>
      <c r="J569" s="1492"/>
      <c r="K569" s="1492"/>
      <c r="L569" s="1492"/>
      <c r="M569" s="1448" t="s">
        <v>2078</v>
      </c>
      <c r="N569" s="1448"/>
      <c r="O569" s="1448"/>
      <c r="P569" s="1448"/>
      <c r="Q569" s="1524"/>
      <c r="R569" s="1525"/>
      <c r="S569" s="1526"/>
      <c r="T569" s="1524"/>
      <c r="U569" s="1525"/>
      <c r="V569" s="1526"/>
      <c r="W569" s="1493"/>
      <c r="X569" s="1494"/>
      <c r="Y569" s="1495"/>
      <c r="Z569" s="1701" t="s">
        <v>1183</v>
      </c>
      <c r="AA569" s="1701"/>
      <c r="AB569" s="1701"/>
      <c r="AC569" s="1701"/>
      <c r="AD569" s="1701"/>
      <c r="AE569" s="1486"/>
      <c r="AF569" s="1487"/>
      <c r="AG569" s="1487"/>
      <c r="AH569" s="1488"/>
      <c r="AI569" s="1521"/>
      <c r="AJ569" s="1522"/>
      <c r="AK569" s="1522"/>
      <c r="AL569" s="1523"/>
      <c r="AM569" s="1458">
        <v>1563271</v>
      </c>
      <c r="AN569" s="1459"/>
      <c r="AO569" s="1459"/>
      <c r="AP569" s="1459"/>
      <c r="AQ569" s="1459"/>
      <c r="AR569" s="1459"/>
      <c r="AS569" s="1460"/>
      <c r="AT569" s="1142" t="str">
        <f t="shared" si="2"/>
        <v/>
      </c>
      <c r="AU569" s="1141"/>
      <c r="BB569" s="3"/>
      <c r="BC569" s="3"/>
      <c r="BD569" s="3"/>
      <c r="BE569" s="3"/>
      <c r="BF569" s="3"/>
      <c r="BG569" s="3"/>
      <c r="BH569" s="3"/>
      <c r="BI569" s="3"/>
    </row>
    <row r="570" spans="1:61" ht="13" customHeight="1">
      <c r="B570" s="52" t="s">
        <v>460</v>
      </c>
      <c r="C570" s="1492" t="s">
        <v>2730</v>
      </c>
      <c r="D570" s="1492"/>
      <c r="E570" s="1492"/>
      <c r="F570" s="1492"/>
      <c r="G570" s="1492"/>
      <c r="H570" s="1492"/>
      <c r="I570" s="1492"/>
      <c r="J570" s="1492"/>
      <c r="K570" s="1492"/>
      <c r="L570" s="1492"/>
      <c r="M570" s="1448" t="s">
        <v>2060</v>
      </c>
      <c r="N570" s="1448"/>
      <c r="O570" s="1448"/>
      <c r="P570" s="1448"/>
      <c r="Q570" s="1524"/>
      <c r="R570" s="1525"/>
      <c r="S570" s="1526"/>
      <c r="T570" s="1524"/>
      <c r="U570" s="1525"/>
      <c r="V570" s="1526"/>
      <c r="W570" s="1493"/>
      <c r="X570" s="1494"/>
      <c r="Y570" s="1495"/>
      <c r="Z570" s="1701" t="s">
        <v>1183</v>
      </c>
      <c r="AA570" s="1701"/>
      <c r="AB570" s="1701"/>
      <c r="AC570" s="1701"/>
      <c r="AD570" s="1701"/>
      <c r="AE570" s="1486"/>
      <c r="AF570" s="1487"/>
      <c r="AG570" s="1487"/>
      <c r="AH570" s="1488"/>
      <c r="AI570" s="1521"/>
      <c r="AJ570" s="1522"/>
      <c r="AK570" s="1522"/>
      <c r="AL570" s="1523"/>
      <c r="AM570" s="1458">
        <v>1777878</v>
      </c>
      <c r="AN570" s="1459"/>
      <c r="AO570" s="1459"/>
      <c r="AP570" s="1459"/>
      <c r="AQ570" s="1459"/>
      <c r="AR570" s="1459"/>
      <c r="AS570" s="1460"/>
      <c r="AT570" s="1142" t="str">
        <f t="shared" si="2"/>
        <v/>
      </c>
      <c r="AU570" s="1141"/>
      <c r="BB570" s="3"/>
      <c r="BC570" s="3"/>
      <c r="BD570" s="3"/>
      <c r="BE570" s="3"/>
      <c r="BF570" s="3"/>
      <c r="BG570" s="3"/>
      <c r="BH570" s="3"/>
      <c r="BI570" s="3"/>
    </row>
    <row r="571" spans="1:61" ht="13" customHeight="1">
      <c r="B571" s="52" t="s">
        <v>645</v>
      </c>
      <c r="C571" s="1492"/>
      <c r="D571" s="1492"/>
      <c r="E571" s="1492"/>
      <c r="F571" s="1492"/>
      <c r="G571" s="1492"/>
      <c r="H571" s="1492"/>
      <c r="I571" s="1492"/>
      <c r="J571" s="1492"/>
      <c r="K571" s="1492"/>
      <c r="L571" s="1492"/>
      <c r="M571" s="1448" t="s">
        <v>1183</v>
      </c>
      <c r="N571" s="1448"/>
      <c r="O571" s="1448"/>
      <c r="P571" s="1448"/>
      <c r="Q571" s="1524"/>
      <c r="R571" s="1525"/>
      <c r="S571" s="1526"/>
      <c r="T571" s="1524"/>
      <c r="U571" s="1525"/>
      <c r="V571" s="1526"/>
      <c r="W571" s="1493"/>
      <c r="X571" s="1494"/>
      <c r="Y571" s="1495"/>
      <c r="Z571" s="1701" t="s">
        <v>1183</v>
      </c>
      <c r="AA571" s="1701"/>
      <c r="AB571" s="1701"/>
      <c r="AC571" s="1701"/>
      <c r="AD571" s="1701"/>
      <c r="AE571" s="1486"/>
      <c r="AF571" s="1487"/>
      <c r="AG571" s="1487"/>
      <c r="AH571" s="1488"/>
      <c r="AI571" s="1521"/>
      <c r="AJ571" s="1522"/>
      <c r="AK571" s="1522"/>
      <c r="AL571" s="1523"/>
      <c r="AM571" s="1458"/>
      <c r="AN571" s="1459"/>
      <c r="AO571" s="1459"/>
      <c r="AP571" s="1459"/>
      <c r="AQ571" s="1459"/>
      <c r="AR571" s="1459"/>
      <c r="AS571" s="1460"/>
      <c r="AT571" s="1142" t="str">
        <f t="shared" si="2"/>
        <v/>
      </c>
      <c r="BB571" s="3"/>
      <c r="BC571" s="3"/>
      <c r="BD571" s="3"/>
      <c r="BE571" s="3"/>
      <c r="BF571" s="3"/>
      <c r="BG571" s="3"/>
      <c r="BH571" s="3"/>
      <c r="BI571" s="3"/>
    </row>
    <row r="572" spans="1:61" ht="13" customHeight="1">
      <c r="B572" s="52" t="s">
        <v>361</v>
      </c>
      <c r="C572" s="1492"/>
      <c r="D572" s="1492"/>
      <c r="E572" s="1492"/>
      <c r="F572" s="1492"/>
      <c r="G572" s="1492"/>
      <c r="H572" s="1492"/>
      <c r="I572" s="1492"/>
      <c r="J572" s="1492"/>
      <c r="K572" s="1492"/>
      <c r="L572" s="1492"/>
      <c r="M572" s="1448" t="s">
        <v>1183</v>
      </c>
      <c r="N572" s="1448"/>
      <c r="O572" s="1448"/>
      <c r="P572" s="1448"/>
      <c r="Q572" s="1524"/>
      <c r="R572" s="1525"/>
      <c r="S572" s="1526"/>
      <c r="T572" s="1524"/>
      <c r="U572" s="1525"/>
      <c r="V572" s="1526"/>
      <c r="W572" s="1493"/>
      <c r="X572" s="1494"/>
      <c r="Y572" s="1495"/>
      <c r="Z572" s="1701" t="s">
        <v>1183</v>
      </c>
      <c r="AA572" s="1701"/>
      <c r="AB572" s="1701"/>
      <c r="AC572" s="1701"/>
      <c r="AD572" s="1701"/>
      <c r="AE572" s="1486"/>
      <c r="AF572" s="1487"/>
      <c r="AG572" s="1487"/>
      <c r="AH572" s="1488"/>
      <c r="AI572" s="1521"/>
      <c r="AJ572" s="1522"/>
      <c r="AK572" s="1522"/>
      <c r="AL572" s="1523"/>
      <c r="AM572" s="1458"/>
      <c r="AN572" s="1459"/>
      <c r="AO572" s="1459"/>
      <c r="AP572" s="1459"/>
      <c r="AQ572" s="1459"/>
      <c r="AR572" s="1459"/>
      <c r="AS572" s="1460"/>
      <c r="AT572" s="1142" t="str">
        <f t="shared" si="2"/>
        <v/>
      </c>
      <c r="BB572" s="3"/>
      <c r="BC572" s="3"/>
      <c r="BD572" s="3"/>
      <c r="BE572" s="3"/>
      <c r="BF572" s="3"/>
      <c r="BG572" s="3"/>
      <c r="BH572" s="3"/>
      <c r="BI572" s="3"/>
    </row>
    <row r="573" spans="1:61" ht="13" customHeight="1">
      <c r="B573" s="52" t="s">
        <v>362</v>
      </c>
      <c r="C573" s="1492"/>
      <c r="D573" s="1492"/>
      <c r="E573" s="1492"/>
      <c r="F573" s="1492"/>
      <c r="G573" s="1492"/>
      <c r="H573" s="1492"/>
      <c r="I573" s="1492"/>
      <c r="J573" s="1492"/>
      <c r="K573" s="1492"/>
      <c r="L573" s="1492"/>
      <c r="M573" s="1448" t="s">
        <v>1183</v>
      </c>
      <c r="N573" s="1448"/>
      <c r="O573" s="1448"/>
      <c r="P573" s="1448"/>
      <c r="Q573" s="1524"/>
      <c r="R573" s="1525"/>
      <c r="S573" s="1526"/>
      <c r="T573" s="1524"/>
      <c r="U573" s="1525"/>
      <c r="V573" s="1526"/>
      <c r="W573" s="1493"/>
      <c r="X573" s="1494"/>
      <c r="Y573" s="1495"/>
      <c r="Z573" s="1701" t="s">
        <v>1183</v>
      </c>
      <c r="AA573" s="1701"/>
      <c r="AB573" s="1701"/>
      <c r="AC573" s="1701"/>
      <c r="AD573" s="1701"/>
      <c r="AE573" s="1486"/>
      <c r="AF573" s="1487"/>
      <c r="AG573" s="1487"/>
      <c r="AH573" s="1488"/>
      <c r="AI573" s="1521"/>
      <c r="AJ573" s="1522"/>
      <c r="AK573" s="1522"/>
      <c r="AL573" s="1523"/>
      <c r="AM573" s="1458"/>
      <c r="AN573" s="1459"/>
      <c r="AO573" s="1459"/>
      <c r="AP573" s="1459"/>
      <c r="AQ573" s="1459"/>
      <c r="AR573" s="1459"/>
      <c r="AS573" s="1460"/>
      <c r="AT573" s="1142" t="str">
        <f t="shared" si="2"/>
        <v/>
      </c>
      <c r="BB573" s="3"/>
      <c r="BC573" s="3"/>
      <c r="BD573" s="3"/>
      <c r="BE573" s="3"/>
      <c r="BF573" s="3"/>
      <c r="BG573" s="3"/>
      <c r="BH573" s="3"/>
      <c r="BI573" s="3"/>
    </row>
    <row r="574" spans="1:61" ht="13" customHeight="1">
      <c r="B574" s="1528" t="s">
        <v>127</v>
      </c>
      <c r="C574" s="1529"/>
      <c r="D574" s="1529"/>
      <c r="E574" s="1529"/>
      <c r="F574" s="1529"/>
      <c r="G574" s="1529"/>
      <c r="H574" s="1529"/>
      <c r="I574" s="1529"/>
      <c r="J574" s="1529"/>
      <c r="K574" s="1529"/>
      <c r="L574" s="1529"/>
      <c r="M574" s="1529"/>
      <c r="N574" s="1529"/>
      <c r="O574" s="1529"/>
      <c r="P574" s="1529"/>
      <c r="Q574" s="1529"/>
      <c r="R574" s="1529"/>
      <c r="S574" s="1529"/>
      <c r="T574" s="1529"/>
      <c r="U574" s="1696"/>
      <c r="V574" s="1529"/>
      <c r="W574" s="1529"/>
      <c r="X574" s="1529"/>
      <c r="Y574" s="1529"/>
      <c r="Z574" s="1529"/>
      <c r="AA574" s="1529"/>
      <c r="AB574" s="1529"/>
      <c r="AC574" s="1529"/>
      <c r="AD574" s="1529"/>
      <c r="AE574" s="1529"/>
      <c r="AF574" s="1529"/>
      <c r="AG574" s="1529"/>
      <c r="AH574" s="1529"/>
      <c r="AI574" s="1529"/>
      <c r="AJ574" s="1529"/>
      <c r="AK574" s="1529"/>
      <c r="AL574" s="1530"/>
      <c r="AM574" s="1533">
        <f>SUM(AM562:AS573)</f>
        <v>35096325</v>
      </c>
      <c r="AN574" s="1534"/>
      <c r="AO574" s="1534"/>
      <c r="AP574" s="1534"/>
      <c r="AQ574" s="1534"/>
      <c r="AR574" s="1534"/>
      <c r="AS574" s="1535"/>
      <c r="BB574" s="3"/>
      <c r="BC574" s="3"/>
      <c r="BD574" s="3"/>
      <c r="BE574" s="3"/>
      <c r="BF574" s="3"/>
      <c r="BG574" s="3"/>
      <c r="BH574" s="3" t="s">
        <v>454</v>
      </c>
      <c r="BI574" s="3" t="str">
        <f>N681</f>
        <v>Yes</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 customHeight="1">
      <c r="A576" s="55" t="s">
        <v>112</v>
      </c>
      <c r="B576" t="s">
        <v>462</v>
      </c>
      <c r="G576" s="1452" t="str">
        <f>C562</f>
        <v>Citibank</v>
      </c>
      <c r="H576" s="1452"/>
      <c r="I576" s="1452"/>
      <c r="J576" s="1452"/>
      <c r="K576" s="1452"/>
      <c r="L576" s="1452"/>
      <c r="M576" s="1452"/>
      <c r="N576" s="1452"/>
      <c r="O576" s="1452"/>
      <c r="P576" s="1452"/>
      <c r="Q576" s="1452"/>
      <c r="R576" s="1452"/>
      <c r="S576" s="8"/>
      <c r="T576" s="55" t="s">
        <v>113</v>
      </c>
      <c r="U576" t="s">
        <v>462</v>
      </c>
      <c r="Z576" s="1452" t="str">
        <f>C563</f>
        <v>Citibank</v>
      </c>
      <c r="AA576" s="1452"/>
      <c r="AB576" s="1452"/>
      <c r="AC576" s="1452"/>
      <c r="AD576" s="1452"/>
      <c r="AE576" s="1452"/>
      <c r="AF576" s="1452"/>
      <c r="AG576" s="1452"/>
      <c r="AH576" s="1452"/>
      <c r="AI576" s="1452"/>
      <c r="AJ576" s="1452"/>
      <c r="AK576" s="1452"/>
      <c r="BB576" s="3"/>
      <c r="BC576" s="3"/>
      <c r="BD576" s="3"/>
      <c r="BE576" s="3"/>
      <c r="BF576" s="3"/>
      <c r="BG576" s="3"/>
      <c r="BH576" s="3"/>
      <c r="BI576" s="3"/>
    </row>
    <row r="577" spans="1:61" ht="13" customHeight="1">
      <c r="A577" s="22"/>
      <c r="B577" t="s">
        <v>85</v>
      </c>
      <c r="G577" s="1442" t="s">
        <v>2731</v>
      </c>
      <c r="H577" s="1442"/>
      <c r="I577" s="1442"/>
      <c r="J577" s="1442"/>
      <c r="K577" s="1442"/>
      <c r="L577" s="1442"/>
      <c r="M577" s="1442"/>
      <c r="N577" s="1442"/>
      <c r="O577" s="1442"/>
      <c r="P577" s="1442"/>
      <c r="Q577" s="1442"/>
      <c r="R577" s="1442"/>
      <c r="S577" s="8"/>
      <c r="T577" s="22"/>
      <c r="U577" t="s">
        <v>85</v>
      </c>
      <c r="Z577" s="1442" t="s">
        <v>2731</v>
      </c>
      <c r="AA577" s="1442"/>
      <c r="AB577" s="1442"/>
      <c r="AC577" s="1442"/>
      <c r="AD577" s="1442"/>
      <c r="AE577" s="1442"/>
      <c r="AF577" s="1442"/>
      <c r="AG577" s="1442"/>
      <c r="AH577" s="1442"/>
      <c r="AI577" s="1442"/>
      <c r="AJ577" s="1442"/>
      <c r="AK577" s="1442"/>
      <c r="BB577" s="3"/>
      <c r="BC577" s="3"/>
      <c r="BD577" s="3"/>
      <c r="BE577" s="3"/>
      <c r="BF577" s="3"/>
      <c r="BG577" s="3"/>
      <c r="BH577" s="3"/>
      <c r="BI577" s="3"/>
    </row>
    <row r="578" spans="1:61" ht="13" customHeight="1">
      <c r="A578" s="22"/>
      <c r="B578" t="s">
        <v>579</v>
      </c>
      <c r="G578" s="1442" t="s">
        <v>2732</v>
      </c>
      <c r="H578" s="1442"/>
      <c r="I578" s="1442"/>
      <c r="J578" s="1442"/>
      <c r="K578" s="1442"/>
      <c r="L578" s="1442"/>
      <c r="M578" s="1442"/>
      <c r="N578" s="1442"/>
      <c r="O578" s="1442"/>
      <c r="P578" s="1442"/>
      <c r="Q578" s="1442"/>
      <c r="R578" s="1442"/>
      <c r="T578" s="22"/>
      <c r="U578" t="s">
        <v>579</v>
      </c>
      <c r="Z578" s="1457" t="s">
        <v>2732</v>
      </c>
      <c r="AA578" s="1457"/>
      <c r="AB578" s="1457"/>
      <c r="AC578" s="1457"/>
      <c r="AD578" s="1457"/>
      <c r="AE578" s="1457"/>
      <c r="AF578" s="1457"/>
      <c r="AG578" s="1457"/>
      <c r="AH578" s="1457"/>
      <c r="AI578" s="1457"/>
      <c r="AJ578" s="1457"/>
      <c r="AK578" s="1457"/>
      <c r="BB578" s="3"/>
      <c r="BC578" s="3"/>
      <c r="BD578" s="3"/>
      <c r="BE578" s="3"/>
      <c r="BF578" s="3"/>
      <c r="BG578" s="3"/>
      <c r="BH578" s="3"/>
      <c r="BI578" s="3"/>
    </row>
    <row r="579" spans="1:61" ht="13" customHeight="1">
      <c r="A579" s="22"/>
      <c r="B579" t="s">
        <v>17</v>
      </c>
      <c r="G579" s="1442" t="s">
        <v>2733</v>
      </c>
      <c r="H579" s="1442"/>
      <c r="I579" s="1442"/>
      <c r="J579" s="1442"/>
      <c r="K579" s="1442"/>
      <c r="L579" s="1442"/>
      <c r="M579" s="1442"/>
      <c r="N579" s="1442"/>
      <c r="O579" s="1442"/>
      <c r="P579" s="1442"/>
      <c r="Q579" s="1442"/>
      <c r="R579" s="1442"/>
      <c r="S579" s="8"/>
      <c r="T579" s="22"/>
      <c r="U579" t="s">
        <v>17</v>
      </c>
      <c r="Z579" s="1457" t="s">
        <v>2733</v>
      </c>
      <c r="AA579" s="1457"/>
      <c r="AB579" s="1457"/>
      <c r="AC579" s="1457"/>
      <c r="AD579" s="1457"/>
      <c r="AE579" s="1457"/>
      <c r="AF579" s="1457"/>
      <c r="AG579" s="1457"/>
      <c r="AH579" s="1457"/>
      <c r="AI579" s="1457"/>
      <c r="AJ579" s="1457"/>
      <c r="AK579" s="1457"/>
      <c r="BB579" s="3"/>
      <c r="BC579" s="3"/>
      <c r="BD579" s="3"/>
      <c r="BE579" s="3"/>
      <c r="BF579" s="3"/>
      <c r="BG579" s="3"/>
      <c r="BH579" s="3"/>
      <c r="BI579" s="3"/>
    </row>
    <row r="580" spans="1:61" ht="13" customHeight="1">
      <c r="A580" s="22"/>
      <c r="B580" t="s">
        <v>315</v>
      </c>
      <c r="G580" s="1441">
        <v>6503031847</v>
      </c>
      <c r="H580" s="1441"/>
      <c r="I580" s="1441"/>
      <c r="J580" s="1441"/>
      <c r="K580" s="1441"/>
      <c r="L580" s="1441"/>
      <c r="O580" s="33" t="s">
        <v>205</v>
      </c>
      <c r="P580" s="1453"/>
      <c r="Q580" s="1453"/>
      <c r="R580" s="1453"/>
      <c r="S580" s="10"/>
      <c r="T580" s="22"/>
      <c r="U580" t="s">
        <v>315</v>
      </c>
      <c r="Z580" s="1441">
        <v>6503031847</v>
      </c>
      <c r="AA580" s="1441"/>
      <c r="AB580" s="1441"/>
      <c r="AC580" s="1441"/>
      <c r="AD580" s="1441"/>
      <c r="AE580" s="1441"/>
      <c r="AH580" s="33" t="s">
        <v>205</v>
      </c>
      <c r="AI580" s="1453"/>
      <c r="AJ580" s="1453"/>
      <c r="AK580" s="1453"/>
      <c r="BB580" s="3"/>
      <c r="BC580" s="3"/>
      <c r="BD580" s="3"/>
      <c r="BE580" s="3"/>
      <c r="BF580" s="3"/>
      <c r="BG580" s="3"/>
      <c r="BH580" s="3"/>
      <c r="BI580" s="3"/>
    </row>
    <row r="581" spans="1:61" ht="13" customHeight="1">
      <c r="A581" s="22"/>
      <c r="B581" t="s">
        <v>18</v>
      </c>
      <c r="H581" s="1442" t="s">
        <v>2734</v>
      </c>
      <c r="I581" s="1442"/>
      <c r="J581" s="1442"/>
      <c r="K581" s="1442"/>
      <c r="L581" s="1442"/>
      <c r="M581" s="1442"/>
      <c r="N581" s="1442"/>
      <c r="O581" s="1442"/>
      <c r="P581" s="1442"/>
      <c r="Q581" s="1442"/>
      <c r="R581" s="1442"/>
      <c r="S581" s="8"/>
      <c r="T581" s="22"/>
      <c r="U581" t="s">
        <v>18</v>
      </c>
      <c r="AA581" s="1442" t="s">
        <v>2735</v>
      </c>
      <c r="AB581" s="1442"/>
      <c r="AC581" s="1442"/>
      <c r="AD581" s="1442"/>
      <c r="AE581" s="1442"/>
      <c r="AF581" s="1442"/>
      <c r="AG581" s="1442"/>
      <c r="AH581" s="1442"/>
      <c r="AI581" s="1442"/>
      <c r="AJ581" s="1442"/>
      <c r="AK581" s="1442"/>
      <c r="BB581" s="3"/>
      <c r="BC581" s="3"/>
      <c r="BD581" s="3"/>
      <c r="BE581" s="3"/>
      <c r="BF581" s="3"/>
      <c r="BG581" s="3"/>
      <c r="BH581" s="3"/>
      <c r="BI581" s="3"/>
    </row>
    <row r="582" spans="1:61" ht="13" customHeight="1">
      <c r="A582" s="22"/>
      <c r="B582" s="320" t="s">
        <v>1184</v>
      </c>
      <c r="H582" s="8"/>
      <c r="I582" s="8"/>
      <c r="J582" s="8"/>
      <c r="K582" s="8"/>
      <c r="L582" s="8"/>
      <c r="M582" s="1699"/>
      <c r="N582" s="1699"/>
      <c r="O582" s="1699"/>
      <c r="P582" s="1699"/>
      <c r="Q582" s="1699"/>
      <c r="R582" s="1699"/>
      <c r="S582" s="8"/>
      <c r="T582" s="22"/>
      <c r="U582" s="320" t="s">
        <v>1184</v>
      </c>
      <c r="AA582" s="8"/>
      <c r="AB582" s="8"/>
      <c r="AC582" s="8"/>
      <c r="AD582" s="8"/>
      <c r="AE582" s="8"/>
      <c r="AF582" s="1699"/>
      <c r="AG582" s="1699"/>
      <c r="AH582" s="1699"/>
      <c r="AI582" s="1699"/>
      <c r="AJ582" s="1699"/>
      <c r="AK582" s="1699"/>
      <c r="BB582" s="3"/>
      <c r="BC582" s="3"/>
      <c r="BD582" s="3"/>
      <c r="BE582" s="3"/>
      <c r="BF582" s="3"/>
      <c r="BG582" s="3"/>
      <c r="BH582" s="3"/>
      <c r="BI582" s="3"/>
    </row>
    <row r="583" spans="1:61" ht="13" customHeight="1">
      <c r="A583" s="22"/>
      <c r="B583" t="s">
        <v>20</v>
      </c>
      <c r="N583" s="1339" t="s">
        <v>544</v>
      </c>
      <c r="O583" s="1339"/>
      <c r="T583" s="22"/>
      <c r="U583" t="s">
        <v>20</v>
      </c>
      <c r="AG583" s="1339" t="s">
        <v>544</v>
      </c>
      <c r="AH583" s="1339"/>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462</v>
      </c>
      <c r="G585" s="1452" t="str">
        <f>C564</f>
        <v>Tax Credit Equity</v>
      </c>
      <c r="H585" s="1452"/>
      <c r="I585" s="1452"/>
      <c r="J585" s="1452"/>
      <c r="K585" s="1452"/>
      <c r="L585" s="1452"/>
      <c r="M585" s="1452"/>
      <c r="N585" s="1452"/>
      <c r="O585" s="1452"/>
      <c r="P585" s="1452"/>
      <c r="Q585" s="1452"/>
      <c r="R585" s="1452"/>
      <c r="T585" s="55" t="s">
        <v>580</v>
      </c>
      <c r="U585" t="s">
        <v>462</v>
      </c>
      <c r="Z585" s="1452" t="str">
        <f>C565</f>
        <v>Seller Note</v>
      </c>
      <c r="AA585" s="1452"/>
      <c r="AB585" s="1452"/>
      <c r="AC585" s="1452"/>
      <c r="AD585" s="1452"/>
      <c r="AE585" s="1452"/>
      <c r="AF585" s="1452"/>
      <c r="AG585" s="1452"/>
      <c r="AH585" s="1452"/>
      <c r="AI585" s="1452"/>
      <c r="AJ585" s="1452"/>
      <c r="AK585" s="1452"/>
      <c r="BB585" s="3"/>
      <c r="BC585" s="3"/>
    </row>
    <row r="586" spans="1:61" ht="13" customHeight="1">
      <c r="A586" s="22"/>
      <c r="B586" t="s">
        <v>85</v>
      </c>
      <c r="G586" s="1442" t="s">
        <v>2701</v>
      </c>
      <c r="H586" s="1442"/>
      <c r="I586" s="1442"/>
      <c r="J586" s="1442"/>
      <c r="K586" s="1442"/>
      <c r="L586" s="1442"/>
      <c r="M586" s="1442"/>
      <c r="N586" s="1442"/>
      <c r="O586" s="1442"/>
      <c r="P586" s="1442"/>
      <c r="Q586" s="1442"/>
      <c r="R586" s="1442"/>
      <c r="T586" s="22"/>
      <c r="U586" t="s">
        <v>85</v>
      </c>
      <c r="Z586" s="1442" t="s">
        <v>2651</v>
      </c>
      <c r="AA586" s="1442"/>
      <c r="AB586" s="1442"/>
      <c r="AC586" s="1442"/>
      <c r="AD586" s="1442"/>
      <c r="AE586" s="1442"/>
      <c r="AF586" s="1442"/>
      <c r="AG586" s="1442"/>
      <c r="AH586" s="1442"/>
      <c r="AI586" s="1442"/>
      <c r="AJ586" s="1442"/>
      <c r="AK586" s="1442"/>
      <c r="BB586" s="3"/>
      <c r="BC586" s="3"/>
    </row>
    <row r="587" spans="1:61" ht="13" customHeight="1">
      <c r="A587" s="22"/>
      <c r="B587" t="s">
        <v>579</v>
      </c>
      <c r="G587" s="1457"/>
      <c r="H587" s="1457"/>
      <c r="I587" s="1457"/>
      <c r="J587" s="1457"/>
      <c r="K587" s="1457"/>
      <c r="L587" s="1457"/>
      <c r="M587" s="1457"/>
      <c r="N587" s="1457"/>
      <c r="O587" s="1457"/>
      <c r="P587" s="1457"/>
      <c r="Q587" s="1457"/>
      <c r="R587" s="1457"/>
      <c r="T587" s="22"/>
      <c r="U587" t="s">
        <v>579</v>
      </c>
      <c r="Z587" s="1457" t="s">
        <v>2736</v>
      </c>
      <c r="AA587" s="1457"/>
      <c r="AB587" s="1457"/>
      <c r="AC587" s="1457"/>
      <c r="AD587" s="1457"/>
      <c r="AE587" s="1457"/>
      <c r="AF587" s="1457"/>
      <c r="AG587" s="1457"/>
      <c r="AH587" s="1457"/>
      <c r="AI587" s="1457"/>
      <c r="AJ587" s="1457"/>
      <c r="AK587" s="1457"/>
      <c r="BB587" s="3"/>
      <c r="BC587" s="3"/>
    </row>
    <row r="588" spans="1:61" ht="13" customHeight="1">
      <c r="A588" s="22"/>
      <c r="B588" t="s">
        <v>17</v>
      </c>
      <c r="G588" s="1457"/>
      <c r="H588" s="1457"/>
      <c r="I588" s="1457"/>
      <c r="J588" s="1457"/>
      <c r="K588" s="1457"/>
      <c r="L588" s="1457"/>
      <c r="M588" s="1457"/>
      <c r="N588" s="1457"/>
      <c r="O588" s="1457"/>
      <c r="P588" s="1457"/>
      <c r="Q588" s="1457"/>
      <c r="R588" s="1457"/>
      <c r="T588" s="22"/>
      <c r="U588" t="s">
        <v>17</v>
      </c>
      <c r="Z588" s="1457" t="s">
        <v>2737</v>
      </c>
      <c r="AA588" s="1457"/>
      <c r="AB588" s="1457"/>
      <c r="AC588" s="1457"/>
      <c r="AD588" s="1457"/>
      <c r="AE588" s="1457"/>
      <c r="AF588" s="1457"/>
      <c r="AG588" s="1457"/>
      <c r="AH588" s="1457"/>
      <c r="AI588" s="1457"/>
      <c r="AJ588" s="1457"/>
      <c r="AK588" s="1457"/>
      <c r="BB588" s="3"/>
      <c r="BC588" s="3"/>
    </row>
    <row r="589" spans="1:61" ht="13" customHeight="1">
      <c r="A589" s="22"/>
      <c r="B589" t="s">
        <v>315</v>
      </c>
      <c r="G589" s="1441"/>
      <c r="H589" s="1441"/>
      <c r="I589" s="1441"/>
      <c r="J589" s="1441"/>
      <c r="K589" s="1441"/>
      <c r="L589" s="1441"/>
      <c r="O589" s="33" t="s">
        <v>205</v>
      </c>
      <c r="P589" s="1453"/>
      <c r="Q589" s="1453"/>
      <c r="R589" s="1453"/>
      <c r="T589" s="22"/>
      <c r="U589" t="s">
        <v>315</v>
      </c>
      <c r="Z589" s="1441">
        <v>8182470420</v>
      </c>
      <c r="AA589" s="1441"/>
      <c r="AB589" s="1441"/>
      <c r="AC589" s="1441"/>
      <c r="AD589" s="1441"/>
      <c r="AE589" s="1441"/>
      <c r="AH589" s="33" t="s">
        <v>205</v>
      </c>
      <c r="AI589" s="1453"/>
      <c r="AJ589" s="1453"/>
      <c r="AK589" s="1453"/>
      <c r="BB589" s="3"/>
      <c r="BC589" s="3"/>
    </row>
    <row r="590" spans="1:61" ht="13" customHeight="1">
      <c r="A590" s="22"/>
      <c r="B590" t="s">
        <v>18</v>
      </c>
      <c r="H590" s="1442" t="s">
        <v>2726</v>
      </c>
      <c r="I590" s="1442"/>
      <c r="J590" s="1442"/>
      <c r="K590" s="1442"/>
      <c r="L590" s="1442"/>
      <c r="M590" s="1442"/>
      <c r="N590" s="1442"/>
      <c r="O590" s="1442"/>
      <c r="P590" s="1442"/>
      <c r="Q590" s="1442"/>
      <c r="R590" s="1442"/>
      <c r="T590" s="22"/>
      <c r="U590" t="s">
        <v>18</v>
      </c>
      <c r="AA590" s="1442" t="s">
        <v>2738</v>
      </c>
      <c r="AB590" s="1442"/>
      <c r="AC590" s="1442"/>
      <c r="AD590" s="1442"/>
      <c r="AE590" s="1442"/>
      <c r="AF590" s="1442"/>
      <c r="AG590" s="1442"/>
      <c r="AH590" s="1442"/>
      <c r="AI590" s="1442"/>
      <c r="AJ590" s="1442"/>
      <c r="AK590" s="1442"/>
      <c r="BB590" s="3"/>
      <c r="BC590" s="3"/>
    </row>
    <row r="591" spans="1:61" ht="13" customHeight="1">
      <c r="A591" s="22"/>
      <c r="B591" t="s">
        <v>20</v>
      </c>
      <c r="N591" s="1339" t="s">
        <v>668</v>
      </c>
      <c r="O591" s="1339"/>
      <c r="T591" s="22"/>
      <c r="U591" t="s">
        <v>20</v>
      </c>
      <c r="AG591" s="1339" t="s">
        <v>544</v>
      </c>
      <c r="AH591" s="1339"/>
      <c r="BB591" s="3"/>
      <c r="BC591" s="3"/>
    </row>
    <row r="592" spans="1:61" ht="13" customHeight="1">
      <c r="A592" s="22"/>
      <c r="T592" s="22"/>
      <c r="BB592" s="3"/>
      <c r="BC592" s="3"/>
    </row>
    <row r="593" spans="1:55" ht="13" customHeight="1">
      <c r="A593" s="55" t="s">
        <v>762</v>
      </c>
      <c r="B593" t="s">
        <v>462</v>
      </c>
      <c r="G593" s="1452" t="str">
        <f>C566</f>
        <v>Seller Note Accrued Interest</v>
      </c>
      <c r="H593" s="1452"/>
      <c r="I593" s="1452"/>
      <c r="J593" s="1452"/>
      <c r="K593" s="1452"/>
      <c r="L593" s="1452"/>
      <c r="M593" s="1452"/>
      <c r="N593" s="1452"/>
      <c r="O593" s="1452"/>
      <c r="P593" s="1452"/>
      <c r="Q593" s="1452"/>
      <c r="R593" s="1452"/>
      <c r="T593" s="55" t="s">
        <v>583</v>
      </c>
      <c r="U593" t="s">
        <v>462</v>
      </c>
      <c r="Z593" s="1452" t="str">
        <f>C567</f>
        <v>Defered Developer Fee</v>
      </c>
      <c r="AA593" s="1452"/>
      <c r="AB593" s="1452"/>
      <c r="AC593" s="1452"/>
      <c r="AD593" s="1452"/>
      <c r="AE593" s="1452"/>
      <c r="AF593" s="1452"/>
      <c r="AG593" s="1452"/>
      <c r="AH593" s="1452"/>
      <c r="AI593" s="1452"/>
      <c r="AJ593" s="1452"/>
      <c r="AK593" s="1452"/>
      <c r="BB593" s="3"/>
      <c r="BC593" s="3"/>
    </row>
    <row r="594" spans="1:55" ht="13" customHeight="1">
      <c r="A594" s="22"/>
      <c r="B594" t="s">
        <v>85</v>
      </c>
      <c r="G594" s="1442" t="s">
        <v>2651</v>
      </c>
      <c r="H594" s="1442"/>
      <c r="I594" s="1442"/>
      <c r="J594" s="1442"/>
      <c r="K594" s="1442"/>
      <c r="L594" s="1442"/>
      <c r="M594" s="1442"/>
      <c r="N594" s="1442"/>
      <c r="O594" s="1442"/>
      <c r="P594" s="1442"/>
      <c r="Q594" s="1442"/>
      <c r="R594" s="1442"/>
      <c r="T594" s="22"/>
      <c r="U594" t="s">
        <v>85</v>
      </c>
      <c r="Z594" s="1442" t="s">
        <v>2651</v>
      </c>
      <c r="AA594" s="1442"/>
      <c r="AB594" s="1442"/>
      <c r="AC594" s="1442"/>
      <c r="AD594" s="1442"/>
      <c r="AE594" s="1442"/>
      <c r="AF594" s="1442"/>
      <c r="AG594" s="1442"/>
      <c r="AH594" s="1442"/>
      <c r="AI594" s="1442"/>
      <c r="AJ594" s="1442"/>
      <c r="AK594" s="1442"/>
      <c r="BB594" s="3"/>
      <c r="BC594" s="3"/>
    </row>
    <row r="595" spans="1:55" ht="13" customHeight="1">
      <c r="A595" s="22"/>
      <c r="B595" t="s">
        <v>579</v>
      </c>
      <c r="G595" s="1442" t="s">
        <v>2736</v>
      </c>
      <c r="H595" s="1442"/>
      <c r="I595" s="1442"/>
      <c r="J595" s="1442"/>
      <c r="K595" s="1442"/>
      <c r="L595" s="1442"/>
      <c r="M595" s="1442"/>
      <c r="N595" s="1442"/>
      <c r="O595" s="1442"/>
      <c r="P595" s="1442"/>
      <c r="Q595" s="1442"/>
      <c r="R595" s="1442"/>
      <c r="T595" s="22"/>
      <c r="U595" t="s">
        <v>579</v>
      </c>
      <c r="Z595" s="1457" t="s">
        <v>2736</v>
      </c>
      <c r="AA595" s="1457"/>
      <c r="AB595" s="1457"/>
      <c r="AC595" s="1457"/>
      <c r="AD595" s="1457"/>
      <c r="AE595" s="1457"/>
      <c r="AF595" s="1457"/>
      <c r="AG595" s="1457"/>
      <c r="AH595" s="1457"/>
      <c r="AI595" s="1457"/>
      <c r="AJ595" s="1457"/>
      <c r="AK595" s="1457"/>
      <c r="BB595" s="3"/>
      <c r="BC595" s="3"/>
    </row>
    <row r="596" spans="1:55" ht="13" customHeight="1">
      <c r="A596" s="22"/>
      <c r="B596" t="s">
        <v>17</v>
      </c>
      <c r="G596" s="1442" t="s">
        <v>2737</v>
      </c>
      <c r="H596" s="1442"/>
      <c r="I596" s="1442"/>
      <c r="J596" s="1442"/>
      <c r="K596" s="1442"/>
      <c r="L596" s="1442"/>
      <c r="M596" s="1442"/>
      <c r="N596" s="1442"/>
      <c r="O596" s="1442"/>
      <c r="P596" s="1442"/>
      <c r="Q596" s="1442"/>
      <c r="R596" s="1442"/>
      <c r="T596" s="22"/>
      <c r="U596" t="s">
        <v>17</v>
      </c>
      <c r="Z596" s="1457" t="s">
        <v>2737</v>
      </c>
      <c r="AA596" s="1457"/>
      <c r="AB596" s="1457"/>
      <c r="AC596" s="1457"/>
      <c r="AD596" s="1457"/>
      <c r="AE596" s="1457"/>
      <c r="AF596" s="1457"/>
      <c r="AG596" s="1457"/>
      <c r="AH596" s="1457"/>
      <c r="AI596" s="1457"/>
      <c r="AJ596" s="1457"/>
      <c r="AK596" s="1457"/>
    </row>
    <row r="597" spans="1:55" ht="13" customHeight="1">
      <c r="A597" s="22"/>
      <c r="B597" t="s">
        <v>315</v>
      </c>
      <c r="G597" s="1441">
        <v>8182470420</v>
      </c>
      <c r="H597" s="1441"/>
      <c r="I597" s="1441"/>
      <c r="J597" s="1441"/>
      <c r="K597" s="1441"/>
      <c r="L597" s="1441"/>
      <c r="O597" s="33" t="s">
        <v>205</v>
      </c>
      <c r="P597" s="1453"/>
      <c r="Q597" s="1453"/>
      <c r="R597" s="1453"/>
      <c r="T597" s="22"/>
      <c r="U597" t="s">
        <v>315</v>
      </c>
      <c r="Z597" s="1441">
        <v>8182470420</v>
      </c>
      <c r="AA597" s="1441"/>
      <c r="AB597" s="1441"/>
      <c r="AC597" s="1441"/>
      <c r="AD597" s="1441"/>
      <c r="AE597" s="1441"/>
      <c r="AH597" s="33" t="s">
        <v>205</v>
      </c>
      <c r="AI597" s="1453"/>
      <c r="AJ597" s="1453"/>
      <c r="AK597" s="1453"/>
      <c r="AZ597" s="3"/>
      <c r="BA597" s="3"/>
      <c r="BB597" s="3"/>
      <c r="BC597" s="3"/>
    </row>
    <row r="598" spans="1:55" ht="13" customHeight="1">
      <c r="A598" s="22"/>
      <c r="B598" t="s">
        <v>18</v>
      </c>
      <c r="H598" s="1483" t="s">
        <v>2059</v>
      </c>
      <c r="I598" s="1483"/>
      <c r="J598" s="1483"/>
      <c r="K598" s="1483"/>
      <c r="L598" s="1483"/>
      <c r="M598" s="1483"/>
      <c r="N598" s="1483"/>
      <c r="O598" s="1483"/>
      <c r="P598" s="1483"/>
      <c r="Q598" s="1483"/>
      <c r="R598" s="1483"/>
      <c r="T598" s="22"/>
      <c r="U598" t="s">
        <v>18</v>
      </c>
      <c r="AA598" s="1442" t="s">
        <v>2739</v>
      </c>
      <c r="AB598" s="1442"/>
      <c r="AC598" s="1442"/>
      <c r="AD598" s="1442"/>
      <c r="AE598" s="1442"/>
      <c r="AF598" s="1442"/>
      <c r="AG598" s="1442"/>
      <c r="AH598" s="1442"/>
      <c r="AI598" s="1442"/>
      <c r="AJ598" s="1442"/>
      <c r="AK598" s="1442"/>
      <c r="AZ598" s="3"/>
      <c r="BA598" s="3"/>
      <c r="BB598" s="3"/>
      <c r="BC598" s="3"/>
    </row>
    <row r="599" spans="1:55" ht="13" customHeight="1">
      <c r="A599" s="22"/>
      <c r="B599" t="s">
        <v>20</v>
      </c>
      <c r="N599" s="1339" t="s">
        <v>544</v>
      </c>
      <c r="O599" s="1339"/>
      <c r="T599" s="22"/>
      <c r="U599" t="s">
        <v>20</v>
      </c>
      <c r="AG599" s="1339" t="s">
        <v>544</v>
      </c>
      <c r="AH599" s="1339"/>
      <c r="AZ599" s="3"/>
      <c r="BA599" s="3"/>
      <c r="BB599" s="3"/>
      <c r="BC599" s="3"/>
    </row>
    <row r="600" spans="1:55" ht="13" customHeight="1">
      <c r="A600" s="22"/>
      <c r="T600" s="22"/>
      <c r="AZ600" s="3"/>
      <c r="BA600" s="3"/>
      <c r="BB600" s="3"/>
      <c r="BC600" s="3"/>
    </row>
    <row r="601" spans="1:55" ht="13" customHeight="1">
      <c r="A601" s="55" t="s">
        <v>454</v>
      </c>
      <c r="B601" t="s">
        <v>462</v>
      </c>
      <c r="G601" s="1452" t="str">
        <f>C568</f>
        <v>GP Contribution</v>
      </c>
      <c r="H601" s="1452"/>
      <c r="I601" s="1452"/>
      <c r="J601" s="1452"/>
      <c r="K601" s="1452"/>
      <c r="L601" s="1452"/>
      <c r="M601" s="1452"/>
      <c r="N601" s="1452"/>
      <c r="O601" s="1452"/>
      <c r="P601" s="1452"/>
      <c r="Q601" s="1452"/>
      <c r="R601" s="1452"/>
      <c r="T601" s="55" t="s">
        <v>455</v>
      </c>
      <c r="U601" t="s">
        <v>462</v>
      </c>
      <c r="Z601" s="1452" t="str">
        <f>C569</f>
        <v>Contribution - Existing Reserves</v>
      </c>
      <c r="AA601" s="1452"/>
      <c r="AB601" s="1452"/>
      <c r="AC601" s="1452"/>
      <c r="AD601" s="1452"/>
      <c r="AE601" s="1452"/>
      <c r="AF601" s="1452"/>
      <c r="AG601" s="1452"/>
      <c r="AH601" s="1452"/>
      <c r="AI601" s="1452"/>
      <c r="AJ601" s="1452"/>
      <c r="AK601" s="1452"/>
      <c r="AZ601" s="3"/>
      <c r="BA601" s="3"/>
      <c r="BB601" s="3"/>
      <c r="BC601" s="3"/>
    </row>
    <row r="602" spans="1:55" s="4" customFormat="1" ht="13" customHeight="1">
      <c r="A602" s="22"/>
      <c r="B602" t="s">
        <v>85</v>
      </c>
      <c r="C602"/>
      <c r="D602"/>
      <c r="E602"/>
      <c r="F602"/>
      <c r="G602" s="1442" t="s">
        <v>2651</v>
      </c>
      <c r="H602" s="1442"/>
      <c r="I602" s="1442"/>
      <c r="J602" s="1442"/>
      <c r="K602" s="1442"/>
      <c r="L602" s="1442"/>
      <c r="M602" s="1442"/>
      <c r="N602" s="1442"/>
      <c r="O602" s="1442"/>
      <c r="P602" s="1442"/>
      <c r="Q602" s="1442"/>
      <c r="R602" s="1442"/>
      <c r="S602"/>
      <c r="T602" s="22"/>
      <c r="U602" t="s">
        <v>85</v>
      </c>
      <c r="V602"/>
      <c r="W602"/>
      <c r="X602"/>
      <c r="Y602"/>
      <c r="Z602" s="1442" t="s">
        <v>2651</v>
      </c>
      <c r="AA602" s="1442"/>
      <c r="AB602" s="1442"/>
      <c r="AC602" s="1442"/>
      <c r="AD602" s="1442"/>
      <c r="AE602" s="1442"/>
      <c r="AF602" s="1442"/>
      <c r="AG602" s="1442"/>
      <c r="AH602" s="1442"/>
      <c r="AI602" s="1442"/>
      <c r="AJ602" s="1442"/>
      <c r="AK602" s="1442"/>
      <c r="AL602"/>
      <c r="AM602"/>
      <c r="AN602"/>
      <c r="AO602"/>
      <c r="AP602"/>
      <c r="AQ602"/>
      <c r="AR602"/>
      <c r="AS602"/>
      <c r="AT602"/>
      <c r="AU602"/>
      <c r="AV602"/>
      <c r="AW602"/>
      <c r="AX602"/>
      <c r="AY602"/>
      <c r="AZ602" s="3"/>
      <c r="BA602" s="3"/>
      <c r="BB602" s="3"/>
      <c r="BC602" s="3"/>
    </row>
    <row r="603" spans="1:55" s="4" customFormat="1" ht="13" customHeight="1">
      <c r="A603" s="22"/>
      <c r="B603" t="s">
        <v>579</v>
      </c>
      <c r="C603"/>
      <c r="D603"/>
      <c r="E603"/>
      <c r="F603"/>
      <c r="G603" s="1442" t="s">
        <v>2736</v>
      </c>
      <c r="H603" s="1442"/>
      <c r="I603" s="1442"/>
      <c r="J603" s="1442"/>
      <c r="K603" s="1442"/>
      <c r="L603" s="1442"/>
      <c r="M603" s="1442"/>
      <c r="N603" s="1442"/>
      <c r="O603" s="1442"/>
      <c r="P603" s="1442"/>
      <c r="Q603" s="1442"/>
      <c r="R603" s="1442"/>
      <c r="S603"/>
      <c r="T603" s="22"/>
      <c r="U603" t="s">
        <v>579</v>
      </c>
      <c r="V603"/>
      <c r="W603"/>
      <c r="X603"/>
      <c r="Y603"/>
      <c r="Z603" s="1457" t="s">
        <v>2736</v>
      </c>
      <c r="AA603" s="1457"/>
      <c r="AB603" s="1457"/>
      <c r="AC603" s="1457"/>
      <c r="AD603" s="1457"/>
      <c r="AE603" s="1457"/>
      <c r="AF603" s="1457"/>
      <c r="AG603" s="1457"/>
      <c r="AH603" s="1457"/>
      <c r="AI603" s="1457"/>
      <c r="AJ603" s="1457"/>
      <c r="AK603" s="1457"/>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42" t="s">
        <v>2737</v>
      </c>
      <c r="H604" s="1442"/>
      <c r="I604" s="1442"/>
      <c r="J604" s="1442"/>
      <c r="K604" s="1442"/>
      <c r="L604" s="1442"/>
      <c r="M604" s="1442"/>
      <c r="N604" s="1442"/>
      <c r="O604" s="1442"/>
      <c r="P604" s="1442"/>
      <c r="Q604" s="1442"/>
      <c r="R604" s="1442"/>
      <c r="S604"/>
      <c r="T604" s="22"/>
      <c r="U604" t="s">
        <v>17</v>
      </c>
      <c r="V604"/>
      <c r="W604"/>
      <c r="X604"/>
      <c r="Y604"/>
      <c r="Z604" s="1457" t="s">
        <v>2737</v>
      </c>
      <c r="AA604" s="1457"/>
      <c r="AB604" s="1457"/>
      <c r="AC604" s="1457"/>
      <c r="AD604" s="1457"/>
      <c r="AE604" s="1457"/>
      <c r="AF604" s="1457"/>
      <c r="AG604" s="1457"/>
      <c r="AH604" s="1457"/>
      <c r="AI604" s="1457"/>
      <c r="AJ604" s="1457"/>
      <c r="AK604" s="1457"/>
      <c r="AL604"/>
      <c r="AM604"/>
      <c r="AN604"/>
      <c r="AO604"/>
      <c r="AP604"/>
      <c r="AQ604"/>
      <c r="AR604"/>
      <c r="AS604"/>
      <c r="AT604"/>
      <c r="AU604"/>
      <c r="AV604"/>
      <c r="AW604"/>
      <c r="AX604"/>
      <c r="AY604"/>
      <c r="BB604" s="3"/>
      <c r="BC604" s="3"/>
    </row>
    <row r="605" spans="1:55" s="4" customFormat="1" ht="13" customHeight="1">
      <c r="A605" s="22"/>
      <c r="B605" t="s">
        <v>315</v>
      </c>
      <c r="C605"/>
      <c r="D605"/>
      <c r="E605"/>
      <c r="F605"/>
      <c r="G605" s="1441">
        <v>8182470420</v>
      </c>
      <c r="H605" s="1441"/>
      <c r="I605" s="1441"/>
      <c r="J605" s="1441"/>
      <c r="K605" s="1441"/>
      <c r="L605" s="1441"/>
      <c r="M605"/>
      <c r="N605"/>
      <c r="O605" s="33" t="s">
        <v>205</v>
      </c>
      <c r="P605" s="1453"/>
      <c r="Q605" s="1453"/>
      <c r="R605" s="1453"/>
      <c r="S605"/>
      <c r="T605" s="22"/>
      <c r="U605" t="s">
        <v>315</v>
      </c>
      <c r="V605"/>
      <c r="W605"/>
      <c r="X605"/>
      <c r="Y605"/>
      <c r="Z605" s="1441">
        <v>8182470420</v>
      </c>
      <c r="AA605" s="1441"/>
      <c r="AB605" s="1441"/>
      <c r="AC605" s="1441"/>
      <c r="AD605" s="1441"/>
      <c r="AE605" s="1441"/>
      <c r="AF605"/>
      <c r="AG605"/>
      <c r="AH605" s="33" t="s">
        <v>205</v>
      </c>
      <c r="AI605" s="1453"/>
      <c r="AJ605" s="1453"/>
      <c r="AK605" s="1453"/>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42" t="s">
        <v>2256</v>
      </c>
      <c r="I606" s="1442"/>
      <c r="J606" s="1442"/>
      <c r="K606" s="1442"/>
      <c r="L606" s="1442"/>
      <c r="M606" s="1442"/>
      <c r="N606" s="1442"/>
      <c r="O606" s="1442"/>
      <c r="P606" s="1442"/>
      <c r="Q606" s="1442"/>
      <c r="R606" s="1442"/>
      <c r="S606"/>
      <c r="T606" s="22"/>
      <c r="U606" t="s">
        <v>18</v>
      </c>
      <c r="V606"/>
      <c r="W606"/>
      <c r="X606"/>
      <c r="Y606"/>
      <c r="Z606"/>
      <c r="AA606" s="1442" t="s">
        <v>2740</v>
      </c>
      <c r="AB606" s="1442"/>
      <c r="AC606" s="1442"/>
      <c r="AD606" s="1442"/>
      <c r="AE606" s="1442"/>
      <c r="AF606" s="1442"/>
      <c r="AG606" s="1442"/>
      <c r="AH606" s="1442"/>
      <c r="AI606" s="1442"/>
      <c r="AJ606" s="1442"/>
      <c r="AK606" s="1442"/>
      <c r="AL606"/>
      <c r="AM606"/>
      <c r="AN606"/>
      <c r="AO606"/>
      <c r="AP606"/>
      <c r="AQ606"/>
      <c r="AR606"/>
      <c r="AS606"/>
      <c r="AT606"/>
      <c r="AU606"/>
      <c r="AV606"/>
      <c r="AW606"/>
      <c r="AX606"/>
      <c r="AY606"/>
      <c r="BB606" s="3"/>
      <c r="BC606" s="3"/>
    </row>
    <row r="607" spans="1:55" ht="13" customHeight="1">
      <c r="A607" s="22"/>
      <c r="B607" t="s">
        <v>20</v>
      </c>
      <c r="N607" s="1339" t="s">
        <v>544</v>
      </c>
      <c r="O607" s="1339"/>
      <c r="T607" s="22"/>
      <c r="U607" t="s">
        <v>20</v>
      </c>
      <c r="AG607" s="1339" t="s">
        <v>544</v>
      </c>
      <c r="AH607" s="1339"/>
      <c r="BB607" s="3"/>
      <c r="BC607" s="3"/>
    </row>
    <row r="608" spans="1:55" ht="13" customHeight="1">
      <c r="A608" s="22"/>
      <c r="T608" s="22"/>
      <c r="BB608" s="3"/>
      <c r="BC608" s="3"/>
    </row>
    <row r="609" spans="1:55" ht="13" customHeight="1">
      <c r="A609" s="55" t="s">
        <v>460</v>
      </c>
      <c r="B609" t="s">
        <v>462</v>
      </c>
      <c r="G609" s="1452" t="str">
        <f>C570</f>
        <v>Costs Deferred Until Conversion</v>
      </c>
      <c r="H609" s="1452"/>
      <c r="I609" s="1452"/>
      <c r="J609" s="1452"/>
      <c r="K609" s="1452"/>
      <c r="L609" s="1452"/>
      <c r="M609" s="1452"/>
      <c r="N609" s="1452"/>
      <c r="O609" s="1452"/>
      <c r="P609" s="1452"/>
      <c r="Q609" s="1452"/>
      <c r="R609" s="1452"/>
      <c r="T609" s="55" t="s">
        <v>645</v>
      </c>
      <c r="U609" t="s">
        <v>462</v>
      </c>
      <c r="Z609" s="1452">
        <f>C571</f>
        <v>0</v>
      </c>
      <c r="AA609" s="1452"/>
      <c r="AB609" s="1452"/>
      <c r="AC609" s="1452"/>
      <c r="AD609" s="1452"/>
      <c r="AE609" s="1452"/>
      <c r="AF609" s="1452"/>
      <c r="AG609" s="1452"/>
      <c r="AH609" s="1452"/>
      <c r="AI609" s="1452"/>
      <c r="AJ609" s="1452"/>
      <c r="AK609" s="1452"/>
      <c r="BB609" s="3"/>
      <c r="BC609" s="3"/>
    </row>
    <row r="610" spans="1:55" ht="13" customHeight="1">
      <c r="A610" s="22"/>
      <c r="B610" t="s">
        <v>85</v>
      </c>
      <c r="G610" s="1442" t="s">
        <v>2651</v>
      </c>
      <c r="H610" s="1442"/>
      <c r="I610" s="1442"/>
      <c r="J610" s="1442"/>
      <c r="K610" s="1442"/>
      <c r="L610" s="1442"/>
      <c r="M610" s="1442"/>
      <c r="N610" s="1442"/>
      <c r="O610" s="1442"/>
      <c r="P610" s="1442"/>
      <c r="Q610" s="1442"/>
      <c r="R610" s="1442"/>
      <c r="T610" s="22"/>
      <c r="U610" t="s">
        <v>85</v>
      </c>
      <c r="Z610" s="1442"/>
      <c r="AA610" s="1442"/>
      <c r="AB610" s="1442"/>
      <c r="AC610" s="1442"/>
      <c r="AD610" s="1442"/>
      <c r="AE610" s="1442"/>
      <c r="AF610" s="1442"/>
      <c r="AG610" s="1442"/>
      <c r="AH610" s="1442"/>
      <c r="AI610" s="1442"/>
      <c r="AJ610" s="1442"/>
      <c r="AK610" s="1442"/>
      <c r="AZ610" s="3"/>
      <c r="BA610" s="3"/>
      <c r="BB610" s="3"/>
      <c r="BC610" s="3"/>
    </row>
    <row r="611" spans="1:55" ht="13" customHeight="1">
      <c r="A611" s="22"/>
      <c r="B611" t="s">
        <v>579</v>
      </c>
      <c r="G611" s="1442" t="s">
        <v>2736</v>
      </c>
      <c r="H611" s="1442"/>
      <c r="I611" s="1442"/>
      <c r="J611" s="1442"/>
      <c r="K611" s="1442"/>
      <c r="L611" s="1442"/>
      <c r="M611" s="1442"/>
      <c r="N611" s="1442"/>
      <c r="O611" s="1442"/>
      <c r="P611" s="1442"/>
      <c r="Q611" s="1442"/>
      <c r="R611" s="1442"/>
      <c r="T611" s="22"/>
      <c r="U611" t="s">
        <v>579</v>
      </c>
      <c r="Z611" s="1457"/>
      <c r="AA611" s="1457"/>
      <c r="AB611" s="1457"/>
      <c r="AC611" s="1457"/>
      <c r="AD611" s="1457"/>
      <c r="AE611" s="1457"/>
      <c r="AF611" s="1457"/>
      <c r="AG611" s="1457"/>
      <c r="AH611" s="1457"/>
      <c r="AI611" s="1457"/>
      <c r="AJ611" s="1457"/>
      <c r="AK611" s="1457"/>
      <c r="AZ611" s="3"/>
      <c r="BA611" s="3"/>
      <c r="BB611" s="3"/>
      <c r="BC611" s="3"/>
    </row>
    <row r="612" spans="1:55" ht="13" customHeight="1">
      <c r="A612" s="22"/>
      <c r="B612" t="s">
        <v>17</v>
      </c>
      <c r="G612" s="1442" t="s">
        <v>2737</v>
      </c>
      <c r="H612" s="1442"/>
      <c r="I612" s="1442"/>
      <c r="J612" s="1442"/>
      <c r="K612" s="1442"/>
      <c r="L612" s="1442"/>
      <c r="M612" s="1442"/>
      <c r="N612" s="1442"/>
      <c r="O612" s="1442"/>
      <c r="P612" s="1442"/>
      <c r="Q612" s="1442"/>
      <c r="R612" s="1442"/>
      <c r="T612" s="22"/>
      <c r="U612" t="s">
        <v>17</v>
      </c>
      <c r="Z612" s="1457"/>
      <c r="AA612" s="1457"/>
      <c r="AB612" s="1457"/>
      <c r="AC612" s="1457"/>
      <c r="AD612" s="1457"/>
      <c r="AE612" s="1457"/>
      <c r="AF612" s="1457"/>
      <c r="AG612" s="1457"/>
      <c r="AH612" s="1457"/>
      <c r="AI612" s="1457"/>
      <c r="AJ612" s="1457"/>
      <c r="AK612" s="1457"/>
      <c r="AZ612" s="3"/>
      <c r="BA612" s="3"/>
      <c r="BB612" s="3"/>
      <c r="BC612" s="3"/>
    </row>
    <row r="613" spans="1:55" s="4" customFormat="1" ht="13" customHeight="1">
      <c r="A613" s="22"/>
      <c r="B613" t="s">
        <v>315</v>
      </c>
      <c r="C613"/>
      <c r="D613"/>
      <c r="E613"/>
      <c r="F613"/>
      <c r="G613" s="1441">
        <v>8182470420</v>
      </c>
      <c r="H613" s="1441"/>
      <c r="I613" s="1441"/>
      <c r="J613" s="1441"/>
      <c r="K613" s="1441"/>
      <c r="L613" s="1441"/>
      <c r="M613"/>
      <c r="N613"/>
      <c r="O613" s="33" t="s">
        <v>205</v>
      </c>
      <c r="P613" s="1453"/>
      <c r="Q613" s="1453"/>
      <c r="R613" s="1453"/>
      <c r="S613"/>
      <c r="T613" s="22"/>
      <c r="U613" t="s">
        <v>315</v>
      </c>
      <c r="V613"/>
      <c r="W613"/>
      <c r="X613"/>
      <c r="Y613"/>
      <c r="Z613" s="1441"/>
      <c r="AA613" s="1441"/>
      <c r="AB613" s="1441"/>
      <c r="AC613" s="1441"/>
      <c r="AD613" s="1441"/>
      <c r="AE613" s="1441"/>
      <c r="AF613"/>
      <c r="AG613"/>
      <c r="AH613" s="33" t="s">
        <v>205</v>
      </c>
      <c r="AI613" s="1453"/>
      <c r="AJ613" s="1453"/>
      <c r="AK613" s="1453"/>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42" t="s">
        <v>2741</v>
      </c>
      <c r="I614" s="1442"/>
      <c r="J614" s="1442"/>
      <c r="K614" s="1442"/>
      <c r="L614" s="1442"/>
      <c r="M614" s="1442"/>
      <c r="N614" s="1442"/>
      <c r="O614" s="1442"/>
      <c r="P614" s="1442"/>
      <c r="Q614" s="1442"/>
      <c r="R614" s="1442"/>
      <c r="S614"/>
      <c r="T614" s="22"/>
      <c r="U614" t="s">
        <v>18</v>
      </c>
      <c r="V614"/>
      <c r="W614"/>
      <c r="X614"/>
      <c r="Y614"/>
      <c r="Z614"/>
      <c r="AA614" s="1442"/>
      <c r="AB614" s="1442"/>
      <c r="AC614" s="1442"/>
      <c r="AD614" s="1442"/>
      <c r="AE614" s="1442"/>
      <c r="AF614" s="1442"/>
      <c r="AG614" s="1442"/>
      <c r="AH614" s="1442"/>
      <c r="AI614" s="1442"/>
      <c r="AJ614" s="1442"/>
      <c r="AK614" s="1442"/>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39" t="s">
        <v>544</v>
      </c>
      <c r="O615" s="1339"/>
      <c r="P615"/>
      <c r="Q615"/>
      <c r="R615"/>
      <c r="S615"/>
      <c r="T615" s="22"/>
      <c r="U615" t="s">
        <v>20</v>
      </c>
      <c r="V615"/>
      <c r="W615"/>
      <c r="X615"/>
      <c r="Y615"/>
      <c r="Z615"/>
      <c r="AA615"/>
      <c r="AB615"/>
      <c r="AC615"/>
      <c r="AD615"/>
      <c r="AE615"/>
      <c r="AF615"/>
      <c r="AG615" s="1339" t="s">
        <v>668</v>
      </c>
      <c r="AH615" s="1339"/>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361</v>
      </c>
      <c r="B617" t="s">
        <v>462</v>
      </c>
      <c r="G617" s="1452">
        <f>C572</f>
        <v>0</v>
      </c>
      <c r="H617" s="1452"/>
      <c r="I617" s="1452"/>
      <c r="J617" s="1452"/>
      <c r="K617" s="1452"/>
      <c r="L617" s="1452"/>
      <c r="M617" s="1452"/>
      <c r="N617" s="1452"/>
      <c r="O617" s="1452"/>
      <c r="P617" s="1452"/>
      <c r="Q617" s="1452"/>
      <c r="R617" s="1452"/>
      <c r="T617" s="55" t="s">
        <v>362</v>
      </c>
      <c r="U617" t="s">
        <v>462</v>
      </c>
      <c r="Z617" s="1452">
        <f>C573</f>
        <v>0</v>
      </c>
      <c r="AA617" s="1452"/>
      <c r="AB617" s="1452"/>
      <c r="AC617" s="1452"/>
      <c r="AD617" s="1452"/>
      <c r="AE617" s="1452"/>
      <c r="AF617" s="1452"/>
      <c r="AG617" s="1452"/>
      <c r="AH617" s="1452"/>
      <c r="AI617" s="1452"/>
      <c r="AJ617" s="1452"/>
      <c r="AK617" s="1452"/>
      <c r="AZ617" s="3"/>
      <c r="BA617" s="3"/>
      <c r="BB617" s="3"/>
      <c r="BC617" s="3"/>
    </row>
    <row r="618" spans="1:55" ht="13" customHeight="1">
      <c r="B618" t="s">
        <v>85</v>
      </c>
      <c r="G618" s="1442"/>
      <c r="H618" s="1442"/>
      <c r="I618" s="1442"/>
      <c r="J618" s="1442"/>
      <c r="K618" s="1442"/>
      <c r="L618" s="1442"/>
      <c r="M618" s="1442"/>
      <c r="N618" s="1442"/>
      <c r="O618" s="1442"/>
      <c r="P618" s="1442"/>
      <c r="Q618" s="1442"/>
      <c r="R618" s="1442"/>
      <c r="U618" t="s">
        <v>85</v>
      </c>
      <c r="Z618" s="1442"/>
      <c r="AA618" s="1442"/>
      <c r="AB618" s="1442"/>
      <c r="AC618" s="1442"/>
      <c r="AD618" s="1442"/>
      <c r="AE618" s="1442"/>
      <c r="AF618" s="1442"/>
      <c r="AG618" s="1442"/>
      <c r="AH618" s="1442"/>
      <c r="AI618" s="1442"/>
      <c r="AJ618" s="1442"/>
      <c r="AK618" s="1442"/>
      <c r="AZ618" s="3"/>
      <c r="BA618" s="3"/>
      <c r="BB618" s="3"/>
      <c r="BC618" s="3"/>
    </row>
    <row r="619" spans="1:55" ht="13" customHeight="1">
      <c r="B619" t="s">
        <v>579</v>
      </c>
      <c r="G619" s="1442"/>
      <c r="H619" s="1442"/>
      <c r="I619" s="1442"/>
      <c r="J619" s="1442"/>
      <c r="K619" s="1442"/>
      <c r="L619" s="1442"/>
      <c r="M619" s="1442"/>
      <c r="N619" s="1442"/>
      <c r="O619" s="1442"/>
      <c r="P619" s="1442"/>
      <c r="Q619" s="1442"/>
      <c r="R619" s="1442"/>
      <c r="U619" t="s">
        <v>579</v>
      </c>
      <c r="Z619" s="1457"/>
      <c r="AA619" s="1457"/>
      <c r="AB619" s="1457"/>
      <c r="AC619" s="1457"/>
      <c r="AD619" s="1457"/>
      <c r="AE619" s="1457"/>
      <c r="AF619" s="1457"/>
      <c r="AG619" s="1457"/>
      <c r="AH619" s="1457"/>
      <c r="AI619" s="1457"/>
      <c r="AJ619" s="1457"/>
      <c r="AK619" s="1457"/>
      <c r="AZ619" s="3"/>
      <c r="BA619" s="3"/>
      <c r="BB619" s="3"/>
      <c r="BC619" s="3"/>
    </row>
    <row r="620" spans="1:55" ht="13" customHeight="1">
      <c r="B620" t="s">
        <v>17</v>
      </c>
      <c r="G620" s="1442"/>
      <c r="H620" s="1442"/>
      <c r="I620" s="1442"/>
      <c r="J620" s="1442"/>
      <c r="K620" s="1442"/>
      <c r="L620" s="1442"/>
      <c r="M620" s="1442"/>
      <c r="N620" s="1442"/>
      <c r="O620" s="1442"/>
      <c r="P620" s="1442"/>
      <c r="Q620" s="1442"/>
      <c r="R620" s="1442"/>
      <c r="U620" t="s">
        <v>17</v>
      </c>
      <c r="Z620" s="1457"/>
      <c r="AA620" s="1457"/>
      <c r="AB620" s="1457"/>
      <c r="AC620" s="1457"/>
      <c r="AD620" s="1457"/>
      <c r="AE620" s="1457"/>
      <c r="AF620" s="1457"/>
      <c r="AG620" s="1457"/>
      <c r="AH620" s="1457"/>
      <c r="AI620" s="1457"/>
      <c r="AJ620" s="1457"/>
      <c r="AK620" s="1457"/>
      <c r="AZ620" s="3"/>
      <c r="BA620" s="3"/>
      <c r="BB620" s="3"/>
      <c r="BC620" s="3"/>
    </row>
    <row r="621" spans="1:55" ht="13" customHeight="1">
      <c r="B621" t="s">
        <v>315</v>
      </c>
      <c r="G621" s="1441"/>
      <c r="H621" s="1441"/>
      <c r="I621" s="1441"/>
      <c r="J621" s="1441"/>
      <c r="K621" s="1441"/>
      <c r="L621" s="1441"/>
      <c r="O621" s="33" t="s">
        <v>205</v>
      </c>
      <c r="P621" s="1453"/>
      <c r="Q621" s="1453"/>
      <c r="R621" s="1453"/>
      <c r="U621" t="s">
        <v>315</v>
      </c>
      <c r="Z621" s="1441"/>
      <c r="AA621" s="1441"/>
      <c r="AB621" s="1441"/>
      <c r="AC621" s="1441"/>
      <c r="AD621" s="1441"/>
      <c r="AE621" s="1441"/>
      <c r="AH621" s="33" t="s">
        <v>205</v>
      </c>
      <c r="AI621" s="1453"/>
      <c r="AJ621" s="1453"/>
      <c r="AK621" s="1453"/>
      <c r="AZ621" s="3"/>
      <c r="BA621" s="3"/>
      <c r="BB621" s="3"/>
      <c r="BC621" s="3"/>
    </row>
    <row r="622" spans="1:55" ht="13" customHeight="1">
      <c r="B622" t="s">
        <v>18</v>
      </c>
      <c r="H622" s="1442"/>
      <c r="I622" s="1442"/>
      <c r="J622" s="1442"/>
      <c r="K622" s="1442"/>
      <c r="L622" s="1442"/>
      <c r="M622" s="1442"/>
      <c r="N622" s="1442"/>
      <c r="O622" s="1442"/>
      <c r="P622" s="1442"/>
      <c r="Q622" s="1442"/>
      <c r="R622" s="1442"/>
      <c r="U622" t="s">
        <v>18</v>
      </c>
      <c r="AA622" s="1442"/>
      <c r="AB622" s="1442"/>
      <c r="AC622" s="1442"/>
      <c r="AD622" s="1442"/>
      <c r="AE622" s="1442"/>
      <c r="AF622" s="1442"/>
      <c r="AG622" s="1442"/>
      <c r="AH622" s="1442"/>
      <c r="AI622" s="1442"/>
      <c r="AJ622" s="1442"/>
      <c r="AK622" s="1442"/>
      <c r="AU622" s="895"/>
      <c r="AV622" s="895"/>
      <c r="AW622" s="895"/>
      <c r="AX622" s="895"/>
      <c r="AY622" s="895"/>
      <c r="AZ622" s="3"/>
      <c r="BA622" s="3"/>
      <c r="BB622" s="3"/>
      <c r="BC622" s="3"/>
    </row>
    <row r="623" spans="1:55" ht="13" customHeight="1">
      <c r="B623" t="s">
        <v>20</v>
      </c>
      <c r="N623" s="1339" t="s">
        <v>668</v>
      </c>
      <c r="O623" s="1339"/>
      <c r="U623" t="s">
        <v>20</v>
      </c>
      <c r="AG623" s="1339" t="s">
        <v>668</v>
      </c>
      <c r="AH623" s="1339"/>
      <c r="AU623" s="895"/>
      <c r="AV623" s="895"/>
      <c r="AW623" s="895"/>
      <c r="AX623" s="895"/>
      <c r="AY623" s="895"/>
      <c r="AZ623" s="3"/>
      <c r="BA623" s="3"/>
      <c r="BB623" s="3"/>
      <c r="BC623" s="3"/>
    </row>
    <row r="624" spans="1:55" ht="13" customHeight="1">
      <c r="AZ624" s="3"/>
      <c r="BA624" s="3"/>
      <c r="BB624" s="3"/>
      <c r="BC624" s="3"/>
    </row>
    <row r="625" spans="1:56" ht="13" customHeight="1">
      <c r="A625" s="1266" t="s">
        <v>543</v>
      </c>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Z625" s="3"/>
      <c r="BA625" s="3"/>
      <c r="BB625" s="3"/>
      <c r="BC625" s="3"/>
    </row>
    <row r="626" spans="1:56" ht="13" customHeight="1">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Z626" s="3"/>
      <c r="BA626" s="3"/>
      <c r="BB626" s="3"/>
      <c r="BC626" s="3"/>
    </row>
    <row r="627" spans="1:56" ht="13" customHeight="1">
      <c r="AZ627" s="3"/>
      <c r="BA627" s="3"/>
      <c r="BB627" s="3"/>
      <c r="BC627" s="3"/>
    </row>
    <row r="628" spans="1:56" ht="13" customHeight="1">
      <c r="A628" s="2" t="s">
        <v>318</v>
      </c>
      <c r="B628" s="2"/>
      <c r="C628" s="2" t="s">
        <v>21</v>
      </c>
      <c r="AZ628" s="3"/>
      <c r="BA628" s="3"/>
      <c r="BB628" s="3"/>
      <c r="BC628" s="3"/>
    </row>
    <row r="629" spans="1:56" ht="13" customHeight="1">
      <c r="A629" s="2"/>
      <c r="B629" s="2"/>
      <c r="C629" s="2"/>
      <c r="AZ629" s="3"/>
      <c r="BA629" s="3"/>
      <c r="BB629" s="3"/>
      <c r="BC629" s="3"/>
    </row>
    <row r="630" spans="1:56" ht="13" customHeight="1">
      <c r="C630" s="2" t="s">
        <v>2055</v>
      </c>
      <c r="AZ630" s="3"/>
      <c r="BA630" s="3"/>
      <c r="BB630" s="3"/>
      <c r="BC630" s="3"/>
    </row>
    <row r="631" spans="1:56" ht="13" customHeight="1">
      <c r="B631" s="512"/>
      <c r="C631" s="2"/>
      <c r="AU631" s="3"/>
      <c r="AZ631" s="3"/>
      <c r="BA631" s="3"/>
      <c r="BB631" s="3"/>
      <c r="BC631" s="3"/>
    </row>
    <row r="632" spans="1:56" ht="13" customHeight="1">
      <c r="B632" s="1496" t="s">
        <v>2057</v>
      </c>
      <c r="C632" s="1496"/>
      <c r="D632" s="1496"/>
      <c r="E632" s="1496"/>
      <c r="F632" s="1496"/>
      <c r="G632" s="1496"/>
      <c r="H632" s="1496"/>
      <c r="I632" s="1496"/>
      <c r="J632" s="1496"/>
      <c r="K632" s="1496"/>
      <c r="L632" s="1496"/>
      <c r="M632" s="1497" t="s">
        <v>2058</v>
      </c>
      <c r="N632" s="1497"/>
      <c r="O632" s="1497"/>
      <c r="P632" s="1497"/>
      <c r="Q632" s="1497" t="s">
        <v>1828</v>
      </c>
      <c r="R632" s="1497"/>
      <c r="S632" s="1497"/>
      <c r="T632" s="1497" t="s">
        <v>1826</v>
      </c>
      <c r="U632" s="1497"/>
      <c r="V632" s="1497"/>
      <c r="W632" s="1702" t="s">
        <v>452</v>
      </c>
      <c r="X632" s="1702"/>
      <c r="Y632" s="1702"/>
      <c r="Z632" s="1475" t="s">
        <v>2087</v>
      </c>
      <c r="AA632" s="1475"/>
      <c r="AB632" s="1476"/>
      <c r="AC632" s="1462" t="s">
        <v>1664</v>
      </c>
      <c r="AD632" s="1463"/>
      <c r="AE632" s="1464"/>
      <c r="AF632" s="1474" t="s">
        <v>1903</v>
      </c>
      <c r="AG632" s="1475"/>
      <c r="AH632" s="1475"/>
      <c r="AI632" s="1475"/>
      <c r="AJ632" s="1476"/>
      <c r="AK632" s="1703" t="s">
        <v>1904</v>
      </c>
      <c r="AL632" s="1704"/>
      <c r="AM632" s="1704"/>
      <c r="AN632" s="1705"/>
      <c r="AO632" s="1497" t="s">
        <v>453</v>
      </c>
      <c r="AP632" s="1497"/>
      <c r="AQ632" s="1497"/>
      <c r="AR632" s="1497"/>
      <c r="AS632" s="1497"/>
      <c r="AU632" s="3"/>
      <c r="AZ632" s="3"/>
      <c r="BA632" s="3"/>
      <c r="BB632" s="3"/>
      <c r="BC632" s="3"/>
    </row>
    <row r="633" spans="1:56" ht="13" customHeight="1">
      <c r="B633" s="1496"/>
      <c r="C633" s="1496"/>
      <c r="D633" s="1496"/>
      <c r="E633" s="1496"/>
      <c r="F633" s="1496"/>
      <c r="G633" s="1496"/>
      <c r="H633" s="1496"/>
      <c r="I633" s="1496"/>
      <c r="J633" s="1496"/>
      <c r="K633" s="1496"/>
      <c r="L633" s="1496"/>
      <c r="M633" s="1497"/>
      <c r="N633" s="1497"/>
      <c r="O633" s="1497"/>
      <c r="P633" s="1497"/>
      <c r="Q633" s="1497"/>
      <c r="R633" s="1497"/>
      <c r="S633" s="1497"/>
      <c r="T633" s="1497"/>
      <c r="U633" s="1497"/>
      <c r="V633" s="1497"/>
      <c r="W633" s="1702"/>
      <c r="X633" s="1702"/>
      <c r="Y633" s="1702"/>
      <c r="Z633" s="1478"/>
      <c r="AA633" s="1478"/>
      <c r="AB633" s="1479"/>
      <c r="AC633" s="1465"/>
      <c r="AD633" s="1466"/>
      <c r="AE633" s="1467"/>
      <c r="AF633" s="1477"/>
      <c r="AG633" s="1478"/>
      <c r="AH633" s="1478"/>
      <c r="AI633" s="1478"/>
      <c r="AJ633" s="1479"/>
      <c r="AK633" s="1706"/>
      <c r="AL633" s="1707"/>
      <c r="AM633" s="1707"/>
      <c r="AN633" s="1708"/>
      <c r="AO633" s="1497"/>
      <c r="AP633" s="1497"/>
      <c r="AQ633" s="1497"/>
      <c r="AR633" s="1497"/>
      <c r="AS633" s="1497"/>
      <c r="AU633" s="3"/>
      <c r="AZ633" s="3"/>
      <c r="BA633" s="3"/>
      <c r="BB633" s="3"/>
      <c r="BC633" s="3"/>
      <c r="BD633" s="3"/>
    </row>
    <row r="634" spans="1:56" ht="13" customHeight="1">
      <c r="B634" s="1496"/>
      <c r="C634" s="1496"/>
      <c r="D634" s="1496"/>
      <c r="E634" s="1496"/>
      <c r="F634" s="1496"/>
      <c r="G634" s="1496"/>
      <c r="H634" s="1496"/>
      <c r="I634" s="1496"/>
      <c r="J634" s="1496"/>
      <c r="K634" s="1496"/>
      <c r="L634" s="1496"/>
      <c r="M634" s="1497"/>
      <c r="N634" s="1497"/>
      <c r="O634" s="1497"/>
      <c r="P634" s="1497"/>
      <c r="Q634" s="1497"/>
      <c r="R634" s="1497"/>
      <c r="S634" s="1497"/>
      <c r="T634" s="1497"/>
      <c r="U634" s="1497"/>
      <c r="V634" s="1497"/>
      <c r="W634" s="1702"/>
      <c r="X634" s="1702"/>
      <c r="Y634" s="1702"/>
      <c r="Z634" s="1481"/>
      <c r="AA634" s="1481"/>
      <c r="AB634" s="1482"/>
      <c r="AC634" s="1468"/>
      <c r="AD634" s="1469"/>
      <c r="AE634" s="1470"/>
      <c r="AF634" s="1480"/>
      <c r="AG634" s="1481"/>
      <c r="AH634" s="1481"/>
      <c r="AI634" s="1481"/>
      <c r="AJ634" s="1482"/>
      <c r="AK634" s="1709"/>
      <c r="AL634" s="1710"/>
      <c r="AM634" s="1710"/>
      <c r="AN634" s="1711"/>
      <c r="AO634" s="1497"/>
      <c r="AP634" s="1497"/>
      <c r="AQ634" s="1497"/>
      <c r="AR634" s="1497"/>
      <c r="AS634" s="1497"/>
      <c r="AT634" s="3"/>
      <c r="AU634" s="3"/>
      <c r="AZ634" s="3"/>
      <c r="BA634" s="3"/>
      <c r="BB634" s="3"/>
      <c r="BC634" s="3"/>
      <c r="BD634" s="3"/>
    </row>
    <row r="635" spans="1:56" ht="13" customHeight="1">
      <c r="B635" s="51" t="s">
        <v>112</v>
      </c>
      <c r="C635" s="1700" t="s">
        <v>2725</v>
      </c>
      <c r="D635" s="1700"/>
      <c r="E635" s="1700"/>
      <c r="F635" s="1700"/>
      <c r="G635" s="1700"/>
      <c r="H635" s="1700"/>
      <c r="I635" s="1700"/>
      <c r="J635" s="1700"/>
      <c r="K635" s="1700"/>
      <c r="L635" s="1700"/>
      <c r="M635" s="1698" t="s">
        <v>2074</v>
      </c>
      <c r="N635" s="1698"/>
      <c r="O635" s="1698"/>
      <c r="P635" s="1698"/>
      <c r="Q635" s="1455">
        <f>18*12</f>
        <v>216</v>
      </c>
      <c r="R635" s="1455"/>
      <c r="S635" s="1456"/>
      <c r="T635" s="1454">
        <v>420</v>
      </c>
      <c r="U635" s="1455"/>
      <c r="V635" s="1456"/>
      <c r="W635" s="1501">
        <v>6.2E-2</v>
      </c>
      <c r="X635" s="1502"/>
      <c r="Y635" s="1503"/>
      <c r="Z635" s="1471" t="s">
        <v>2086</v>
      </c>
      <c r="AA635" s="1472"/>
      <c r="AB635" s="1473"/>
      <c r="AC635" s="1498">
        <v>1</v>
      </c>
      <c r="AD635" s="1499"/>
      <c r="AE635" s="1500"/>
      <c r="AF635" s="1661">
        <v>492466</v>
      </c>
      <c r="AG635" s="1662"/>
      <c r="AH635" s="1662"/>
      <c r="AI635" s="1662"/>
      <c r="AJ635" s="1663"/>
      <c r="AK635" s="1438"/>
      <c r="AL635" s="1439"/>
      <c r="AM635" s="1439"/>
      <c r="AN635" s="1440"/>
      <c r="AO635" s="1504">
        <v>7031000</v>
      </c>
      <c r="AP635" s="1504"/>
      <c r="AQ635" s="1504"/>
      <c r="AR635" s="1504"/>
      <c r="AS635" s="1504"/>
      <c r="AT635" s="3"/>
      <c r="AU635" s="3"/>
      <c r="AZ635" s="3"/>
      <c r="BA635" s="3"/>
      <c r="BB635" s="3"/>
      <c r="BC635" s="3"/>
      <c r="BD635" s="3"/>
    </row>
    <row r="636" spans="1:56" ht="13" customHeight="1">
      <c r="B636" s="52" t="s">
        <v>113</v>
      </c>
      <c r="C636" s="1700" t="s">
        <v>2727</v>
      </c>
      <c r="D636" s="1700"/>
      <c r="E636" s="1700"/>
      <c r="F636" s="1700"/>
      <c r="G636" s="1700"/>
      <c r="H636" s="1700"/>
      <c r="I636" s="1700"/>
      <c r="J636" s="1700"/>
      <c r="K636" s="1700"/>
      <c r="L636" s="1700"/>
      <c r="M636" s="1698" t="s">
        <v>2071</v>
      </c>
      <c r="N636" s="1698"/>
      <c r="O636" s="1698"/>
      <c r="P636" s="1698"/>
      <c r="Q636" s="1454">
        <f>660-24</f>
        <v>636</v>
      </c>
      <c r="R636" s="1455"/>
      <c r="S636" s="1456"/>
      <c r="T636" s="1454"/>
      <c r="U636" s="1455"/>
      <c r="V636" s="1456"/>
      <c r="W636" s="1501">
        <v>4.6300000000000001E-2</v>
      </c>
      <c r="X636" s="1502"/>
      <c r="Y636" s="1503"/>
      <c r="Z636" s="1471" t="s">
        <v>456</v>
      </c>
      <c r="AA636" s="1472"/>
      <c r="AB636" s="1473"/>
      <c r="AC636" s="1498">
        <v>2</v>
      </c>
      <c r="AD636" s="1499"/>
      <c r="AE636" s="1500"/>
      <c r="AF636" s="1661"/>
      <c r="AG636" s="1662"/>
      <c r="AH636" s="1662"/>
      <c r="AI636" s="1662"/>
      <c r="AJ636" s="1663"/>
      <c r="AK636" s="1438"/>
      <c r="AL636" s="1439"/>
      <c r="AM636" s="1439"/>
      <c r="AN636" s="1440"/>
      <c r="AO636" s="1449">
        <v>13101000</v>
      </c>
      <c r="AP636" s="1450"/>
      <c r="AQ636" s="1450"/>
      <c r="AR636" s="1450"/>
      <c r="AS636" s="1451"/>
      <c r="AT636" s="1142" t="str">
        <f>IF(AND(NOT(C635=""),C636="",NOT(C637="")),"!","")</f>
        <v/>
      </c>
      <c r="AU636" s="3"/>
      <c r="AZ636" s="3"/>
      <c r="BA636" s="3"/>
      <c r="BB636" s="3"/>
      <c r="BC636" s="3"/>
      <c r="BD636" s="3"/>
    </row>
    <row r="637" spans="1:56" ht="13" customHeight="1">
      <c r="B637" s="52" t="s">
        <v>119</v>
      </c>
      <c r="C637" s="1700" t="s">
        <v>2728</v>
      </c>
      <c r="D637" s="1700"/>
      <c r="E637" s="1700"/>
      <c r="F637" s="1700"/>
      <c r="G637" s="1700"/>
      <c r="H637" s="1700"/>
      <c r="I637" s="1700"/>
      <c r="J637" s="1700"/>
      <c r="K637" s="1700"/>
      <c r="L637" s="1700"/>
      <c r="M637" s="1698" t="s">
        <v>2059</v>
      </c>
      <c r="N637" s="1698"/>
      <c r="O637" s="1698"/>
      <c r="P637" s="1698"/>
      <c r="Q637" s="1454"/>
      <c r="R637" s="1455"/>
      <c r="S637" s="1456"/>
      <c r="T637" s="1454"/>
      <c r="U637" s="1455"/>
      <c r="V637" s="1456"/>
      <c r="W637" s="1501"/>
      <c r="X637" s="1502"/>
      <c r="Y637" s="1503"/>
      <c r="Z637" s="1471" t="s">
        <v>456</v>
      </c>
      <c r="AA637" s="1472"/>
      <c r="AB637" s="1473"/>
      <c r="AC637" s="1498"/>
      <c r="AD637" s="1499"/>
      <c r="AE637" s="1500"/>
      <c r="AF637" s="1661"/>
      <c r="AG637" s="1662"/>
      <c r="AH637" s="1662"/>
      <c r="AI637" s="1662"/>
      <c r="AJ637" s="1663"/>
      <c r="AK637" s="1438"/>
      <c r="AL637" s="1439"/>
      <c r="AM637" s="1439"/>
      <c r="AN637" s="1440"/>
      <c r="AO637" s="1449">
        <v>1268536</v>
      </c>
      <c r="AP637" s="1450"/>
      <c r="AQ637" s="1450"/>
      <c r="AR637" s="1450"/>
      <c r="AS637" s="1451"/>
      <c r="AT637" s="1142" t="str">
        <f t="shared" ref="AT637:AT646" si="3">IF(AND(NOT(C636=""),C637="",NOT(C638="")),"!","")</f>
        <v/>
      </c>
      <c r="AU637" s="3"/>
      <c r="AZ637" s="3"/>
      <c r="BA637" s="3"/>
      <c r="BB637" s="3"/>
      <c r="BC637" s="3"/>
      <c r="BD637" s="3"/>
    </row>
    <row r="638" spans="1:56" ht="13" customHeight="1">
      <c r="B638" s="52" t="s">
        <v>580</v>
      </c>
      <c r="C638" s="1445" t="s">
        <v>2742</v>
      </c>
      <c r="D638" s="1445"/>
      <c r="E638" s="1445"/>
      <c r="F638" s="1445"/>
      <c r="G638" s="1445"/>
      <c r="H638" s="1445"/>
      <c r="I638" s="1445"/>
      <c r="J638" s="1445"/>
      <c r="K638" s="1445"/>
      <c r="L638" s="1445"/>
      <c r="M638" s="1698" t="s">
        <v>2076</v>
      </c>
      <c r="N638" s="1698"/>
      <c r="O638" s="1698"/>
      <c r="P638" s="1698"/>
      <c r="Q638" s="1454"/>
      <c r="R638" s="1455"/>
      <c r="S638" s="1456"/>
      <c r="T638" s="1454"/>
      <c r="U638" s="1455"/>
      <c r="V638" s="1456"/>
      <c r="W638" s="1501"/>
      <c r="X638" s="1502"/>
      <c r="Y638" s="1503"/>
      <c r="Z638" s="1471" t="s">
        <v>299</v>
      </c>
      <c r="AA638" s="1472"/>
      <c r="AB638" s="1473"/>
      <c r="AC638" s="1498"/>
      <c r="AD638" s="1499"/>
      <c r="AE638" s="1500"/>
      <c r="AF638" s="1661"/>
      <c r="AG638" s="1662"/>
      <c r="AH638" s="1662"/>
      <c r="AI638" s="1662"/>
      <c r="AJ638" s="1663"/>
      <c r="AK638" s="1438"/>
      <c r="AL638" s="1439"/>
      <c r="AM638" s="1439"/>
      <c r="AN638" s="1440"/>
      <c r="AO638" s="1449">
        <f>77008</f>
        <v>77008</v>
      </c>
      <c r="AP638" s="1450"/>
      <c r="AQ638" s="1450"/>
      <c r="AR638" s="1450"/>
      <c r="AS638" s="1451"/>
      <c r="AT638" s="1142" t="str">
        <f t="shared" si="3"/>
        <v/>
      </c>
      <c r="AU638" s="3"/>
      <c r="AZ638" s="3"/>
      <c r="BA638" s="3"/>
      <c r="BB638" s="3"/>
      <c r="BC638" s="3"/>
      <c r="BD638" s="3"/>
    </row>
    <row r="639" spans="1:56" ht="13" customHeight="1">
      <c r="B639" s="52" t="s">
        <v>762</v>
      </c>
      <c r="C639" s="1445" t="s">
        <v>2261</v>
      </c>
      <c r="D639" s="1445"/>
      <c r="E639" s="1445"/>
      <c r="F639" s="1445"/>
      <c r="G639" s="1445"/>
      <c r="H639" s="1445"/>
      <c r="I639" s="1445"/>
      <c r="J639" s="1445"/>
      <c r="K639" s="1445"/>
      <c r="L639" s="1445"/>
      <c r="M639" s="1698" t="s">
        <v>2061</v>
      </c>
      <c r="N639" s="1698"/>
      <c r="O639" s="1698"/>
      <c r="P639" s="1698"/>
      <c r="Q639" s="1454"/>
      <c r="R639" s="1455"/>
      <c r="S639" s="1456"/>
      <c r="T639" s="1454"/>
      <c r="U639" s="1455"/>
      <c r="V639" s="1456"/>
      <c r="W639" s="1501"/>
      <c r="X639" s="1502"/>
      <c r="Y639" s="1503"/>
      <c r="Z639" s="1471" t="s">
        <v>456</v>
      </c>
      <c r="AA639" s="1472"/>
      <c r="AB639" s="1473"/>
      <c r="AC639" s="1498"/>
      <c r="AD639" s="1499"/>
      <c r="AE639" s="1500"/>
      <c r="AF639" s="1661"/>
      <c r="AG639" s="1662"/>
      <c r="AH639" s="1662"/>
      <c r="AI639" s="1662"/>
      <c r="AJ639" s="1663"/>
      <c r="AK639" s="1438"/>
      <c r="AL639" s="1439"/>
      <c r="AM639" s="1439"/>
      <c r="AN639" s="1440"/>
      <c r="AO639" s="1449">
        <v>1636942</v>
      </c>
      <c r="AP639" s="1450"/>
      <c r="AQ639" s="1450"/>
      <c r="AR639" s="1450"/>
      <c r="AS639" s="1451"/>
      <c r="AT639" s="1142" t="str">
        <f t="shared" si="3"/>
        <v/>
      </c>
      <c r="AU639" s="3"/>
      <c r="AZ639" s="3"/>
      <c r="BA639" s="3"/>
      <c r="BB639" s="3"/>
      <c r="BC639" s="3"/>
      <c r="BD639" s="3"/>
    </row>
    <row r="640" spans="1:56" ht="13" customHeight="1">
      <c r="B640" s="52" t="s">
        <v>583</v>
      </c>
      <c r="C640" s="1445" t="s">
        <v>2256</v>
      </c>
      <c r="D640" s="1445"/>
      <c r="E640" s="1445"/>
      <c r="F640" s="1445"/>
      <c r="G640" s="1445"/>
      <c r="H640" s="1445"/>
      <c r="I640" s="1445"/>
      <c r="J640" s="1445"/>
      <c r="K640" s="1445"/>
      <c r="L640" s="1445"/>
      <c r="M640" s="1698" t="s">
        <v>2077</v>
      </c>
      <c r="N640" s="1698"/>
      <c r="O640" s="1698"/>
      <c r="P640" s="1698"/>
      <c r="Q640" s="1454"/>
      <c r="R640" s="1455"/>
      <c r="S640" s="1456"/>
      <c r="T640" s="1454"/>
      <c r="U640" s="1455"/>
      <c r="V640" s="1456"/>
      <c r="W640" s="1501"/>
      <c r="X640" s="1502"/>
      <c r="Y640" s="1503"/>
      <c r="Z640" s="1471" t="s">
        <v>299</v>
      </c>
      <c r="AA640" s="1472"/>
      <c r="AB640" s="1473"/>
      <c r="AC640" s="1498"/>
      <c r="AD640" s="1499"/>
      <c r="AE640" s="1500"/>
      <c r="AF640" s="1661"/>
      <c r="AG640" s="1662"/>
      <c r="AH640" s="1662"/>
      <c r="AI640" s="1662"/>
      <c r="AJ640" s="1663"/>
      <c r="AK640" s="1438"/>
      <c r="AL640" s="1439"/>
      <c r="AM640" s="1439"/>
      <c r="AN640" s="1440"/>
      <c r="AO640" s="1449">
        <v>100</v>
      </c>
      <c r="AP640" s="1450"/>
      <c r="AQ640" s="1450"/>
      <c r="AR640" s="1450"/>
      <c r="AS640" s="1451"/>
      <c r="AT640" s="1142" t="str">
        <f t="shared" si="3"/>
        <v/>
      </c>
      <c r="AU640" s="3"/>
      <c r="AZ640" s="3"/>
      <c r="BA640" s="3"/>
      <c r="BB640" s="3"/>
      <c r="BC640" s="3"/>
      <c r="BD640" s="3"/>
    </row>
    <row r="641" spans="1:157" ht="13" customHeight="1">
      <c r="B641" s="52" t="s">
        <v>454</v>
      </c>
      <c r="C641" s="1445" t="s">
        <v>2740</v>
      </c>
      <c r="D641" s="1445"/>
      <c r="E641" s="1445"/>
      <c r="F641" s="1445"/>
      <c r="G641" s="1445"/>
      <c r="H641" s="1445"/>
      <c r="I641" s="1445"/>
      <c r="J641" s="1445"/>
      <c r="K641" s="1445"/>
      <c r="L641" s="1445"/>
      <c r="M641" s="1698" t="s">
        <v>2078</v>
      </c>
      <c r="N641" s="1698"/>
      <c r="O641" s="1698"/>
      <c r="P641" s="1698"/>
      <c r="Q641" s="1454"/>
      <c r="R641" s="1455"/>
      <c r="S641" s="1456"/>
      <c r="T641" s="1454"/>
      <c r="U641" s="1455"/>
      <c r="V641" s="1456"/>
      <c r="W641" s="1501"/>
      <c r="X641" s="1502"/>
      <c r="Y641" s="1503"/>
      <c r="Z641" s="1471" t="s">
        <v>299</v>
      </c>
      <c r="AA641" s="1472"/>
      <c r="AB641" s="1473"/>
      <c r="AC641" s="1498"/>
      <c r="AD641" s="1499"/>
      <c r="AE641" s="1500"/>
      <c r="AF641" s="1661"/>
      <c r="AG641" s="1662"/>
      <c r="AH641" s="1662"/>
      <c r="AI641" s="1662"/>
      <c r="AJ641" s="1663"/>
      <c r="AK641" s="1438"/>
      <c r="AL641" s="1439"/>
      <c r="AM641" s="1439"/>
      <c r="AN641" s="1440"/>
      <c r="AO641" s="1449">
        <v>1563271</v>
      </c>
      <c r="AP641" s="1450"/>
      <c r="AQ641" s="1450"/>
      <c r="AR641" s="1450"/>
      <c r="AS641" s="1451"/>
      <c r="AT641" s="1142" t="str">
        <f t="shared" si="3"/>
        <v/>
      </c>
      <c r="AU641" s="3"/>
      <c r="AV641" s="3"/>
      <c r="AW641" s="3"/>
      <c r="AX641" s="3"/>
      <c r="AY641" s="3"/>
      <c r="AZ641" s="3"/>
      <c r="BA641" s="3"/>
      <c r="BB641" s="3"/>
      <c r="BC641" s="3"/>
      <c r="BD641" s="3"/>
    </row>
    <row r="642" spans="1:157" ht="13" customHeight="1">
      <c r="B642" s="52" t="s">
        <v>455</v>
      </c>
      <c r="C642" s="1445"/>
      <c r="D642" s="1445"/>
      <c r="E642" s="1445"/>
      <c r="F642" s="1445"/>
      <c r="G642" s="1445"/>
      <c r="H642" s="1445"/>
      <c r="I642" s="1445"/>
      <c r="J642" s="1445"/>
      <c r="K642" s="1445"/>
      <c r="L642" s="1445"/>
      <c r="M642" s="1698" t="s">
        <v>1183</v>
      </c>
      <c r="N642" s="1698"/>
      <c r="O642" s="1698"/>
      <c r="P642" s="1698"/>
      <c r="Q642" s="1454"/>
      <c r="R642" s="1455"/>
      <c r="S642" s="1456"/>
      <c r="T642" s="1454"/>
      <c r="U642" s="1455"/>
      <c r="V642" s="1456"/>
      <c r="W642" s="1501"/>
      <c r="X642" s="1502"/>
      <c r="Y642" s="1503"/>
      <c r="Z642" s="1471" t="s">
        <v>1183</v>
      </c>
      <c r="AA642" s="1472"/>
      <c r="AB642" s="1473"/>
      <c r="AC642" s="1498"/>
      <c r="AD642" s="1499"/>
      <c r="AE642" s="1500"/>
      <c r="AF642" s="1661"/>
      <c r="AG642" s="1662"/>
      <c r="AH642" s="1662"/>
      <c r="AI642" s="1662"/>
      <c r="AJ642" s="1663"/>
      <c r="AK642" s="1438"/>
      <c r="AL642" s="1439"/>
      <c r="AM642" s="1439"/>
      <c r="AN642" s="1440"/>
      <c r="AO642" s="1449"/>
      <c r="AP642" s="1450"/>
      <c r="AQ642" s="1450"/>
      <c r="AR642" s="1450"/>
      <c r="AS642" s="1451"/>
      <c r="AT642" s="1142" t="str">
        <f t="shared" si="3"/>
        <v/>
      </c>
      <c r="AU642" s="3"/>
      <c r="AV642" s="3"/>
      <c r="AW642" s="3"/>
      <c r="AX642" s="3"/>
      <c r="AY642" s="3"/>
      <c r="AZ642" s="3"/>
      <c r="BA642" s="3" t="s">
        <v>1183</v>
      </c>
      <c r="BB642" s="3"/>
      <c r="BC642" s="3"/>
      <c r="BD642" s="3"/>
    </row>
    <row r="643" spans="1:157" ht="13" customHeight="1">
      <c r="B643" s="52" t="s">
        <v>460</v>
      </c>
      <c r="C643" s="1445"/>
      <c r="D643" s="1445"/>
      <c r="E643" s="1445"/>
      <c r="F643" s="1445"/>
      <c r="G643" s="1445"/>
      <c r="H643" s="1445"/>
      <c r="I643" s="1445"/>
      <c r="J643" s="1445"/>
      <c r="K643" s="1445"/>
      <c r="L643" s="1445"/>
      <c r="M643" s="1698" t="s">
        <v>1183</v>
      </c>
      <c r="N643" s="1698"/>
      <c r="O643" s="1698"/>
      <c r="P643" s="1698"/>
      <c r="Q643" s="1454"/>
      <c r="R643" s="1455"/>
      <c r="S643" s="1456"/>
      <c r="T643" s="1454"/>
      <c r="U643" s="1455"/>
      <c r="V643" s="1456"/>
      <c r="W643" s="1501"/>
      <c r="X643" s="1502"/>
      <c r="Y643" s="1503"/>
      <c r="Z643" s="1471" t="s">
        <v>1183</v>
      </c>
      <c r="AA643" s="1472"/>
      <c r="AB643" s="1473"/>
      <c r="AC643" s="1498"/>
      <c r="AD643" s="1499"/>
      <c r="AE643" s="1500"/>
      <c r="AF643" s="1661"/>
      <c r="AG643" s="1662"/>
      <c r="AH643" s="1662"/>
      <c r="AI643" s="1662"/>
      <c r="AJ643" s="1663"/>
      <c r="AK643" s="1438"/>
      <c r="AL643" s="1439"/>
      <c r="AM643" s="1439"/>
      <c r="AN643" s="1440"/>
      <c r="AO643" s="1449"/>
      <c r="AP643" s="1450"/>
      <c r="AQ643" s="1450"/>
      <c r="AR643" s="1450"/>
      <c r="AS643" s="1451"/>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7" t="e">
        <f t="shared" ref="DX643:DX677" si="4">EZ726*(CP726/$CP$761)</f>
        <v>#VALUE!</v>
      </c>
      <c r="DY643" s="1527"/>
      <c r="DZ643" s="1527"/>
      <c r="EA643" s="1527"/>
      <c r="EB643" s="1527"/>
      <c r="EC643" s="1527">
        <f t="shared" ref="EC643:EC677" si="5">FE726*(CU726/$CU$761)</f>
        <v>411</v>
      </c>
      <c r="ED643" s="1527"/>
      <c r="EE643" s="1527"/>
      <c r="EF643" s="1527"/>
      <c r="EG643" s="1527"/>
      <c r="EH643" s="1527" t="e">
        <f t="shared" ref="EH643:EH677" si="6">FJ726*(CZ726/$CZ$761)</f>
        <v>#VALUE!</v>
      </c>
      <c r="EI643" s="1527"/>
      <c r="EJ643" s="1527"/>
      <c r="EK643" s="1527"/>
      <c r="EL643" s="1527"/>
      <c r="EM643" s="1527" t="e">
        <f t="shared" ref="EM643:EM677" si="7">FO726*(DE726/$DE$761)</f>
        <v>#VALUE!</v>
      </c>
      <c r="EN643" s="1527"/>
      <c r="EO643" s="1527"/>
      <c r="EP643" s="1527"/>
      <c r="EQ643" s="1527"/>
      <c r="ER643" s="1527" t="e">
        <f t="shared" ref="ER643:ER677" si="8">FT726*(DJ726/$DJ$761)</f>
        <v>#VALUE!</v>
      </c>
      <c r="ES643" s="1527"/>
      <c r="ET643" s="1527"/>
      <c r="EU643" s="1527"/>
      <c r="EV643" s="1527"/>
      <c r="EW643" s="1527" t="e">
        <f t="shared" ref="EW643:EW677" si="9">FY726*(DO726/$DO$761)</f>
        <v>#VALUE!</v>
      </c>
      <c r="EX643" s="1527"/>
      <c r="EY643" s="1527"/>
      <c r="EZ643" s="1527"/>
      <c r="FA643" s="1527"/>
    </row>
    <row r="644" spans="1:157" ht="13" customHeight="1">
      <c r="B644" s="52" t="s">
        <v>645</v>
      </c>
      <c r="C644" s="1445"/>
      <c r="D644" s="1445"/>
      <c r="E644" s="1445"/>
      <c r="F644" s="1445"/>
      <c r="G644" s="1445"/>
      <c r="H644" s="1445"/>
      <c r="I644" s="1445"/>
      <c r="J644" s="1445"/>
      <c r="K644" s="1445"/>
      <c r="L644" s="1445"/>
      <c r="M644" s="1698" t="s">
        <v>1183</v>
      </c>
      <c r="N644" s="1698"/>
      <c r="O644" s="1698"/>
      <c r="P644" s="1698"/>
      <c r="Q644" s="1454"/>
      <c r="R644" s="1455"/>
      <c r="S644" s="1456"/>
      <c r="T644" s="1454"/>
      <c r="U644" s="1455"/>
      <c r="V644" s="1456"/>
      <c r="W644" s="1501"/>
      <c r="X644" s="1502"/>
      <c r="Y644" s="1503"/>
      <c r="Z644" s="1471" t="s">
        <v>1183</v>
      </c>
      <c r="AA644" s="1472"/>
      <c r="AB644" s="1473"/>
      <c r="AC644" s="1498"/>
      <c r="AD644" s="1499"/>
      <c r="AE644" s="1500"/>
      <c r="AF644" s="1661"/>
      <c r="AG644" s="1662"/>
      <c r="AH644" s="1662"/>
      <c r="AI644" s="1662"/>
      <c r="AJ644" s="1663"/>
      <c r="AK644" s="1438"/>
      <c r="AL644" s="1439"/>
      <c r="AM644" s="1439"/>
      <c r="AN644" s="1440"/>
      <c r="AO644" s="1449"/>
      <c r="AP644" s="1450"/>
      <c r="AQ644" s="1450"/>
      <c r="AR644" s="1450"/>
      <c r="AS644" s="1451"/>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527" t="e">
        <f t="shared" si="4"/>
        <v>#VALUE!</v>
      </c>
      <c r="DY644" s="1527"/>
      <c r="DZ644" s="1527"/>
      <c r="EA644" s="1527"/>
      <c r="EB644" s="1527"/>
      <c r="EC644" s="1527">
        <f t="shared" si="5"/>
        <v>695</v>
      </c>
      <c r="ED644" s="1527"/>
      <c r="EE644" s="1527"/>
      <c r="EF644" s="1527"/>
      <c r="EG644" s="1527"/>
      <c r="EH644" s="1527" t="e">
        <f t="shared" si="6"/>
        <v>#VALUE!</v>
      </c>
      <c r="EI644" s="1527"/>
      <c r="EJ644" s="1527"/>
      <c r="EK644" s="1527"/>
      <c r="EL644" s="1527"/>
      <c r="EM644" s="1527" t="e">
        <f t="shared" si="7"/>
        <v>#VALUE!</v>
      </c>
      <c r="EN644" s="1527"/>
      <c r="EO644" s="1527"/>
      <c r="EP644" s="1527"/>
      <c r="EQ644" s="1527"/>
      <c r="ER644" s="1527" t="e">
        <f t="shared" si="8"/>
        <v>#VALUE!</v>
      </c>
      <c r="ES644" s="1527"/>
      <c r="ET644" s="1527"/>
      <c r="EU644" s="1527"/>
      <c r="EV644" s="1527"/>
      <c r="EW644" s="1527" t="e">
        <f t="shared" si="9"/>
        <v>#VALUE!</v>
      </c>
      <c r="EX644" s="1527"/>
      <c r="EY644" s="1527"/>
      <c r="EZ644" s="1527"/>
      <c r="FA644" s="1527"/>
    </row>
    <row r="645" spans="1:157" ht="13" customHeight="1">
      <c r="B645" s="52" t="s">
        <v>361</v>
      </c>
      <c r="C645" s="1445"/>
      <c r="D645" s="1445"/>
      <c r="E645" s="1445"/>
      <c r="F645" s="1445"/>
      <c r="G645" s="1445"/>
      <c r="H645" s="1445"/>
      <c r="I645" s="1445"/>
      <c r="J645" s="1445"/>
      <c r="K645" s="1445"/>
      <c r="L645" s="1445"/>
      <c r="M645" s="1698" t="s">
        <v>1183</v>
      </c>
      <c r="N645" s="1698"/>
      <c r="O645" s="1698"/>
      <c r="P645" s="1698"/>
      <c r="Q645" s="1454"/>
      <c r="R645" s="1455"/>
      <c r="S645" s="1456"/>
      <c r="T645" s="1454"/>
      <c r="U645" s="1455"/>
      <c r="V645" s="1456"/>
      <c r="W645" s="1501"/>
      <c r="X645" s="1502"/>
      <c r="Y645" s="1503"/>
      <c r="Z645" s="1471" t="s">
        <v>1183</v>
      </c>
      <c r="AA645" s="1472"/>
      <c r="AB645" s="1473"/>
      <c r="AC645" s="1498"/>
      <c r="AD645" s="1499"/>
      <c r="AE645" s="1500"/>
      <c r="AF645" s="1661"/>
      <c r="AG645" s="1662"/>
      <c r="AH645" s="1662"/>
      <c r="AI645" s="1662"/>
      <c r="AJ645" s="1663"/>
      <c r="AK645" s="1438"/>
      <c r="AL645" s="1439"/>
      <c r="AM645" s="1439"/>
      <c r="AN645" s="1440"/>
      <c r="AO645" s="1449"/>
      <c r="AP645" s="1450"/>
      <c r="AQ645" s="1450"/>
      <c r="AR645" s="1450"/>
      <c r="AS645" s="1451"/>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527" t="e">
        <f t="shared" si="4"/>
        <v>#VALUE!</v>
      </c>
      <c r="DY645" s="1527"/>
      <c r="DZ645" s="1527"/>
      <c r="EA645" s="1527"/>
      <c r="EB645" s="1527"/>
      <c r="EC645" s="1527" t="e">
        <f t="shared" si="5"/>
        <v>#VALUE!</v>
      </c>
      <c r="ED645" s="1527"/>
      <c r="EE645" s="1527"/>
      <c r="EF645" s="1527"/>
      <c r="EG645" s="1527"/>
      <c r="EH645" s="1527" t="e">
        <f t="shared" si="6"/>
        <v>#VALUE!</v>
      </c>
      <c r="EI645" s="1527"/>
      <c r="EJ645" s="1527"/>
      <c r="EK645" s="1527"/>
      <c r="EL645" s="1527"/>
      <c r="EM645" s="1527" t="e">
        <f t="shared" si="7"/>
        <v>#VALUE!</v>
      </c>
      <c r="EN645" s="1527"/>
      <c r="EO645" s="1527"/>
      <c r="EP645" s="1527"/>
      <c r="EQ645" s="1527"/>
      <c r="ER645" s="1527" t="e">
        <f t="shared" si="8"/>
        <v>#VALUE!</v>
      </c>
      <c r="ES645" s="1527"/>
      <c r="ET645" s="1527"/>
      <c r="EU645" s="1527"/>
      <c r="EV645" s="1527"/>
      <c r="EW645" s="1527" t="e">
        <f t="shared" si="9"/>
        <v>#VALUE!</v>
      </c>
      <c r="EX645" s="1527"/>
      <c r="EY645" s="1527"/>
      <c r="EZ645" s="1527"/>
      <c r="FA645" s="1527"/>
    </row>
    <row r="646" spans="1:157" ht="13" customHeight="1">
      <c r="B646" s="52" t="s">
        <v>362</v>
      </c>
      <c r="C646" s="1445"/>
      <c r="D646" s="1445"/>
      <c r="E646" s="1445"/>
      <c r="F646" s="1445"/>
      <c r="G646" s="1445"/>
      <c r="H646" s="1445"/>
      <c r="I646" s="1445"/>
      <c r="J646" s="1445"/>
      <c r="K646" s="1445"/>
      <c r="L646" s="1445"/>
      <c r="M646" s="1698" t="s">
        <v>1183</v>
      </c>
      <c r="N646" s="1698"/>
      <c r="O646" s="1698"/>
      <c r="P646" s="1698"/>
      <c r="Q646" s="1454"/>
      <c r="R646" s="1455"/>
      <c r="S646" s="1456"/>
      <c r="T646" s="1454"/>
      <c r="U646" s="1455"/>
      <c r="V646" s="1456"/>
      <c r="W646" s="1501"/>
      <c r="X646" s="1502"/>
      <c r="Y646" s="1503"/>
      <c r="Z646" s="1471" t="s">
        <v>1183</v>
      </c>
      <c r="AA646" s="1472"/>
      <c r="AB646" s="1473"/>
      <c r="AC646" s="1498"/>
      <c r="AD646" s="1499"/>
      <c r="AE646" s="1500"/>
      <c r="AF646" s="1661"/>
      <c r="AG646" s="1662"/>
      <c r="AH646" s="1662"/>
      <c r="AI646" s="1662"/>
      <c r="AJ646" s="1663"/>
      <c r="AK646" s="1438"/>
      <c r="AL646" s="1439"/>
      <c r="AM646" s="1439"/>
      <c r="AN646" s="1440"/>
      <c r="AO646" s="1449"/>
      <c r="AP646" s="1450"/>
      <c r="AQ646" s="1450"/>
      <c r="AR646" s="1450"/>
      <c r="AS646" s="1451"/>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527" t="e">
        <f t="shared" si="4"/>
        <v>#VALUE!</v>
      </c>
      <c r="DY646" s="1527"/>
      <c r="DZ646" s="1527"/>
      <c r="EA646" s="1527"/>
      <c r="EB646" s="1527"/>
      <c r="EC646" s="1527" t="e">
        <f t="shared" si="5"/>
        <v>#VALUE!</v>
      </c>
      <c r="ED646" s="1527"/>
      <c r="EE646" s="1527"/>
      <c r="EF646" s="1527"/>
      <c r="EG646" s="1527"/>
      <c r="EH646" s="1527" t="e">
        <f t="shared" si="6"/>
        <v>#VALUE!</v>
      </c>
      <c r="EI646" s="1527"/>
      <c r="EJ646" s="1527"/>
      <c r="EK646" s="1527"/>
      <c r="EL646" s="1527"/>
      <c r="EM646" s="1527" t="e">
        <f t="shared" si="7"/>
        <v>#VALUE!</v>
      </c>
      <c r="EN646" s="1527"/>
      <c r="EO646" s="1527"/>
      <c r="EP646" s="1527"/>
      <c r="EQ646" s="1527"/>
      <c r="ER646" s="1527" t="e">
        <f t="shared" si="8"/>
        <v>#VALUE!</v>
      </c>
      <c r="ES646" s="1527"/>
      <c r="ET646" s="1527"/>
      <c r="EU646" s="1527"/>
      <c r="EV646" s="1527"/>
      <c r="EW646" s="1527" t="e">
        <f t="shared" si="9"/>
        <v>#VALUE!</v>
      </c>
      <c r="EX646" s="1527"/>
      <c r="EY646" s="1527"/>
      <c r="EZ646" s="1527"/>
      <c r="FA646" s="1527"/>
    </row>
    <row r="647" spans="1:157" ht="13" customHeight="1">
      <c r="B647" s="1528" t="s">
        <v>128</v>
      </c>
      <c r="C647" s="1529"/>
      <c r="D647" s="1529"/>
      <c r="E647" s="1529"/>
      <c r="F647" s="1529"/>
      <c r="G647" s="1529"/>
      <c r="H647" s="1529"/>
      <c r="I647" s="1529"/>
      <c r="J647" s="1529"/>
      <c r="K647" s="1529"/>
      <c r="L647" s="1529"/>
      <c r="M647" s="1529"/>
      <c r="N647" s="1529"/>
      <c r="O647" s="1529"/>
      <c r="P647" s="1529"/>
      <c r="Q647" s="1529"/>
      <c r="R647" s="1529"/>
      <c r="S647" s="1529"/>
      <c r="T647" s="1529"/>
      <c r="U647" s="1529"/>
      <c r="V647" s="1529"/>
      <c r="W647" s="1529"/>
      <c r="X647" s="1529"/>
      <c r="Y647" s="1529"/>
      <c r="Z647" s="1529"/>
      <c r="AA647" s="1529"/>
      <c r="AB647" s="1529"/>
      <c r="AC647" s="1529"/>
      <c r="AD647" s="1529"/>
      <c r="AE647" s="1529"/>
      <c r="AF647" s="1529"/>
      <c r="AG647" s="1529"/>
      <c r="AH647" s="1529"/>
      <c r="AI647" s="1529"/>
      <c r="AJ647" s="1529"/>
      <c r="AK647" s="1529"/>
      <c r="AL647" s="1529"/>
      <c r="AM647" s="1529"/>
      <c r="AN647" s="1530"/>
      <c r="AO647" s="1533">
        <f>SUM(AO635:AR646)</f>
        <v>24677857</v>
      </c>
      <c r="AP647" s="1534"/>
      <c r="AQ647" s="1534"/>
      <c r="AR647" s="1534"/>
      <c r="AS647" s="1535"/>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7" t="e">
        <f t="shared" si="4"/>
        <v>#VALUE!</v>
      </c>
      <c r="DY647" s="1527"/>
      <c r="DZ647" s="1527"/>
      <c r="EA647" s="1527"/>
      <c r="EB647" s="1527"/>
      <c r="EC647" s="1527" t="e">
        <f t="shared" si="5"/>
        <v>#VALUE!</v>
      </c>
      <c r="ED647" s="1527"/>
      <c r="EE647" s="1527"/>
      <c r="EF647" s="1527"/>
      <c r="EG647" s="1527"/>
      <c r="EH647" s="1527" t="e">
        <f t="shared" si="6"/>
        <v>#VALUE!</v>
      </c>
      <c r="EI647" s="1527"/>
      <c r="EJ647" s="1527"/>
      <c r="EK647" s="1527"/>
      <c r="EL647" s="1527"/>
      <c r="EM647" s="1527" t="e">
        <f t="shared" si="7"/>
        <v>#VALUE!</v>
      </c>
      <c r="EN647" s="1527"/>
      <c r="EO647" s="1527"/>
      <c r="EP647" s="1527"/>
      <c r="EQ647" s="1527"/>
      <c r="ER647" s="1527" t="e">
        <f t="shared" si="8"/>
        <v>#VALUE!</v>
      </c>
      <c r="ES647" s="1527"/>
      <c r="ET647" s="1527"/>
      <c r="EU647" s="1527"/>
      <c r="EV647" s="1527"/>
      <c r="EW647" s="1527" t="e">
        <f t="shared" si="9"/>
        <v>#VALUE!</v>
      </c>
      <c r="EX647" s="1527"/>
      <c r="EY647" s="1527"/>
      <c r="EZ647" s="1527"/>
      <c r="FA647" s="1527"/>
    </row>
    <row r="648" spans="1:157" ht="13" customHeight="1">
      <c r="B648" s="1528" t="s">
        <v>266</v>
      </c>
      <c r="C648" s="1529"/>
      <c r="D648" s="1529"/>
      <c r="E648" s="1529"/>
      <c r="F648" s="1529"/>
      <c r="G648" s="1529"/>
      <c r="H648" s="1529"/>
      <c r="I648" s="1529"/>
      <c r="J648" s="1529"/>
      <c r="K648" s="1529"/>
      <c r="L648" s="1529"/>
      <c r="M648" s="1529"/>
      <c r="N648" s="1529"/>
      <c r="O648" s="1529"/>
      <c r="P648" s="1529"/>
      <c r="Q648" s="1529"/>
      <c r="R648" s="1529"/>
      <c r="S648" s="1529"/>
      <c r="T648" s="1529"/>
      <c r="U648" s="1529"/>
      <c r="V648" s="1529"/>
      <c r="W648" s="1529"/>
      <c r="X648" s="1529"/>
      <c r="Y648" s="1529"/>
      <c r="Z648" s="1529"/>
      <c r="AA648" s="1529"/>
      <c r="AB648" s="1529"/>
      <c r="AC648" s="1529"/>
      <c r="AD648" s="1529"/>
      <c r="AE648" s="1529"/>
      <c r="AF648" s="1529"/>
      <c r="AG648" s="1529"/>
      <c r="AH648" s="1529"/>
      <c r="AI648" s="1529"/>
      <c r="AJ648" s="1529"/>
      <c r="AK648" s="1529"/>
      <c r="AL648" s="1529"/>
      <c r="AM648" s="1529"/>
      <c r="AN648" s="1530"/>
      <c r="AO648" s="1449">
        <f>10598468-180000</f>
        <v>10418468</v>
      </c>
      <c r="AP648" s="1450"/>
      <c r="AQ648" s="1450"/>
      <c r="AR648" s="1450"/>
      <c r="AS648" s="1451"/>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7" t="e">
        <f t="shared" si="4"/>
        <v>#VALUE!</v>
      </c>
      <c r="DY648" s="1527"/>
      <c r="DZ648" s="1527"/>
      <c r="EA648" s="1527"/>
      <c r="EB648" s="1527"/>
      <c r="EC648" s="1527" t="e">
        <f t="shared" si="5"/>
        <v>#VALUE!</v>
      </c>
      <c r="ED648" s="1527"/>
      <c r="EE648" s="1527"/>
      <c r="EF648" s="1527"/>
      <c r="EG648" s="1527"/>
      <c r="EH648" s="1527" t="e">
        <f t="shared" si="6"/>
        <v>#VALUE!</v>
      </c>
      <c r="EI648" s="1527"/>
      <c r="EJ648" s="1527"/>
      <c r="EK648" s="1527"/>
      <c r="EL648" s="1527"/>
      <c r="EM648" s="1527" t="e">
        <f t="shared" si="7"/>
        <v>#VALUE!</v>
      </c>
      <c r="EN648" s="1527"/>
      <c r="EO648" s="1527"/>
      <c r="EP648" s="1527"/>
      <c r="EQ648" s="1527"/>
      <c r="ER648" s="1527" t="e">
        <f t="shared" si="8"/>
        <v>#VALUE!</v>
      </c>
      <c r="ES648" s="1527"/>
      <c r="ET648" s="1527"/>
      <c r="EU648" s="1527"/>
      <c r="EV648" s="1527"/>
      <c r="EW648" s="1527" t="e">
        <f t="shared" si="9"/>
        <v>#VALUE!</v>
      </c>
      <c r="EX648" s="1527"/>
      <c r="EY648" s="1527"/>
      <c r="EZ648" s="1527"/>
      <c r="FA648" s="1527"/>
    </row>
    <row r="649" spans="1:157" ht="13" customHeight="1">
      <c r="B649" s="1695" t="s">
        <v>267</v>
      </c>
      <c r="C649" s="1696"/>
      <c r="D649" s="1696"/>
      <c r="E649" s="1696"/>
      <c r="F649" s="1696"/>
      <c r="G649" s="1696"/>
      <c r="H649" s="1696"/>
      <c r="I649" s="1696"/>
      <c r="J649" s="1696"/>
      <c r="K649" s="1696"/>
      <c r="L649" s="1696"/>
      <c r="M649" s="1696"/>
      <c r="N649" s="1696"/>
      <c r="O649" s="1696"/>
      <c r="P649" s="1696"/>
      <c r="Q649" s="1696"/>
      <c r="R649" s="1696"/>
      <c r="S649" s="1696"/>
      <c r="T649" s="1696"/>
      <c r="U649" s="1696"/>
      <c r="V649" s="1696"/>
      <c r="W649" s="1696"/>
      <c r="X649" s="1696"/>
      <c r="Y649" s="1696"/>
      <c r="Z649" s="1696"/>
      <c r="AA649" s="1696"/>
      <c r="AB649" s="1696"/>
      <c r="AC649" s="1696"/>
      <c r="AD649" s="1696"/>
      <c r="AE649" s="1696"/>
      <c r="AF649" s="1696"/>
      <c r="AG649" s="1696"/>
      <c r="AH649" s="1696"/>
      <c r="AI649" s="1696"/>
      <c r="AJ649" s="1696"/>
      <c r="AK649" s="1696"/>
      <c r="AL649" s="1696"/>
      <c r="AM649" s="1696"/>
      <c r="AN649" s="1697"/>
      <c r="AO649" s="1533">
        <f>AO647+AO648</f>
        <v>35096325</v>
      </c>
      <c r="AP649" s="1534"/>
      <c r="AQ649" s="1534"/>
      <c r="AR649" s="1534"/>
      <c r="AS649" s="1535"/>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7" t="e">
        <f t="shared" si="4"/>
        <v>#VALUE!</v>
      </c>
      <c r="DY649" s="1527"/>
      <c r="DZ649" s="1527"/>
      <c r="EA649" s="1527"/>
      <c r="EB649" s="1527"/>
      <c r="EC649" s="1527" t="e">
        <f t="shared" si="5"/>
        <v>#VALUE!</v>
      </c>
      <c r="ED649" s="1527"/>
      <c r="EE649" s="1527"/>
      <c r="EF649" s="1527"/>
      <c r="EG649" s="1527"/>
      <c r="EH649" s="1527" t="e">
        <f t="shared" si="6"/>
        <v>#VALUE!</v>
      </c>
      <c r="EI649" s="1527"/>
      <c r="EJ649" s="1527"/>
      <c r="EK649" s="1527"/>
      <c r="EL649" s="1527"/>
      <c r="EM649" s="1527" t="e">
        <f t="shared" si="7"/>
        <v>#VALUE!</v>
      </c>
      <c r="EN649" s="1527"/>
      <c r="EO649" s="1527"/>
      <c r="EP649" s="1527"/>
      <c r="EQ649" s="1527"/>
      <c r="ER649" s="1527" t="e">
        <f t="shared" si="8"/>
        <v>#VALUE!</v>
      </c>
      <c r="ES649" s="1527"/>
      <c r="ET649" s="1527"/>
      <c r="EU649" s="1527"/>
      <c r="EV649" s="1527"/>
      <c r="EW649" s="1527" t="e">
        <f t="shared" si="9"/>
        <v>#VALUE!</v>
      </c>
      <c r="EX649" s="1527"/>
      <c r="EY649" s="1527"/>
      <c r="EZ649" s="1527"/>
      <c r="FA649" s="1527"/>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7" t="e">
        <f t="shared" si="4"/>
        <v>#VALUE!</v>
      </c>
      <c r="DY650" s="1527"/>
      <c r="DZ650" s="1527"/>
      <c r="EA650" s="1527"/>
      <c r="EB650" s="1527"/>
      <c r="EC650" s="1527" t="e">
        <f t="shared" si="5"/>
        <v>#VALUE!</v>
      </c>
      <c r="ED650" s="1527"/>
      <c r="EE650" s="1527"/>
      <c r="EF650" s="1527"/>
      <c r="EG650" s="1527"/>
      <c r="EH650" s="1527" t="e">
        <f t="shared" si="6"/>
        <v>#VALUE!</v>
      </c>
      <c r="EI650" s="1527"/>
      <c r="EJ650" s="1527"/>
      <c r="EK650" s="1527"/>
      <c r="EL650" s="1527"/>
      <c r="EM650" s="1527" t="e">
        <f t="shared" si="7"/>
        <v>#VALUE!</v>
      </c>
      <c r="EN650" s="1527"/>
      <c r="EO650" s="1527"/>
      <c r="EP650" s="1527"/>
      <c r="EQ650" s="1527"/>
      <c r="ER650" s="1527" t="e">
        <f t="shared" si="8"/>
        <v>#VALUE!</v>
      </c>
      <c r="ES650" s="1527"/>
      <c r="ET650" s="1527"/>
      <c r="EU650" s="1527"/>
      <c r="EV650" s="1527"/>
      <c r="EW650" s="1527" t="e">
        <f t="shared" si="9"/>
        <v>#VALUE!</v>
      </c>
      <c r="EX650" s="1527"/>
      <c r="EY650" s="1527"/>
      <c r="EZ650" s="1527"/>
      <c r="FA650" s="1527"/>
    </row>
    <row r="651" spans="1:157" ht="13" customHeight="1">
      <c r="A651" s="55" t="s">
        <v>112</v>
      </c>
      <c r="B651" t="s">
        <v>462</v>
      </c>
      <c r="G651" s="1452" t="str">
        <f>C635</f>
        <v>Citibank</v>
      </c>
      <c r="H651" s="1452"/>
      <c r="I651" s="1452"/>
      <c r="J651" s="1452"/>
      <c r="K651" s="1452"/>
      <c r="L651" s="1452"/>
      <c r="M651" s="1452"/>
      <c r="N651" s="1452"/>
      <c r="O651" s="1452"/>
      <c r="P651" s="1452"/>
      <c r="Q651" s="1452"/>
      <c r="R651" s="1452"/>
      <c r="S651" s="8"/>
      <c r="T651" s="55" t="s">
        <v>113</v>
      </c>
      <c r="U651" t="s">
        <v>462</v>
      </c>
      <c r="Z651" s="1452" t="str">
        <f>C636</f>
        <v>Seller Note</v>
      </c>
      <c r="AA651" s="1452"/>
      <c r="AB651" s="1452"/>
      <c r="AC651" s="1452"/>
      <c r="AD651" s="1452"/>
      <c r="AE651" s="1452"/>
      <c r="AF651" s="1452"/>
      <c r="AG651" s="1452"/>
      <c r="AH651" s="1452"/>
      <c r="AI651" s="1452"/>
      <c r="AJ651" s="1452"/>
      <c r="AK651" s="1452"/>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7" t="e">
        <f t="shared" si="4"/>
        <v>#VALUE!</v>
      </c>
      <c r="DY651" s="1527"/>
      <c r="DZ651" s="1527"/>
      <c r="EA651" s="1527"/>
      <c r="EB651" s="1527"/>
      <c r="EC651" s="1527" t="e">
        <f t="shared" si="5"/>
        <v>#VALUE!</v>
      </c>
      <c r="ED651" s="1527"/>
      <c r="EE651" s="1527"/>
      <c r="EF651" s="1527"/>
      <c r="EG651" s="1527"/>
      <c r="EH651" s="1527" t="e">
        <f t="shared" si="6"/>
        <v>#VALUE!</v>
      </c>
      <c r="EI651" s="1527"/>
      <c r="EJ651" s="1527"/>
      <c r="EK651" s="1527"/>
      <c r="EL651" s="1527"/>
      <c r="EM651" s="1527" t="e">
        <f t="shared" si="7"/>
        <v>#VALUE!</v>
      </c>
      <c r="EN651" s="1527"/>
      <c r="EO651" s="1527"/>
      <c r="EP651" s="1527"/>
      <c r="EQ651" s="1527"/>
      <c r="ER651" s="1527" t="e">
        <f t="shared" si="8"/>
        <v>#VALUE!</v>
      </c>
      <c r="ES651" s="1527"/>
      <c r="ET651" s="1527"/>
      <c r="EU651" s="1527"/>
      <c r="EV651" s="1527"/>
      <c r="EW651" s="1527" t="e">
        <f t="shared" si="9"/>
        <v>#VALUE!</v>
      </c>
      <c r="EX651" s="1527"/>
      <c r="EY651" s="1527"/>
      <c r="EZ651" s="1527"/>
      <c r="FA651" s="1527"/>
    </row>
    <row r="652" spans="1:157" ht="13" customHeight="1">
      <c r="A652" s="22"/>
      <c r="B652" t="s">
        <v>85</v>
      </c>
      <c r="G652" s="1442" t="s">
        <v>2731</v>
      </c>
      <c r="H652" s="1442"/>
      <c r="I652" s="1442"/>
      <c r="J652" s="1442"/>
      <c r="K652" s="1442"/>
      <c r="L652" s="1442"/>
      <c r="M652" s="1442"/>
      <c r="N652" s="1442"/>
      <c r="O652" s="1442"/>
      <c r="P652" s="1442"/>
      <c r="Q652" s="1442"/>
      <c r="R652" s="1442"/>
      <c r="S652" s="8"/>
      <c r="T652" s="22"/>
      <c r="U652" t="s">
        <v>85</v>
      </c>
      <c r="Z652" s="1442" t="s">
        <v>2651</v>
      </c>
      <c r="AA652" s="1442"/>
      <c r="AB652" s="1442"/>
      <c r="AC652" s="1442"/>
      <c r="AD652" s="1442"/>
      <c r="AE652" s="1442"/>
      <c r="AF652" s="1442"/>
      <c r="AG652" s="1442"/>
      <c r="AH652" s="1442"/>
      <c r="AI652" s="1442"/>
      <c r="AJ652" s="1442"/>
      <c r="AK652" s="1442"/>
      <c r="AV652" s="3"/>
      <c r="AW652" s="3"/>
      <c r="AX652" s="3"/>
      <c r="AY652" s="3"/>
      <c r="AZ652" s="3"/>
      <c r="BA652" s="3"/>
      <c r="BB652" s="3"/>
      <c r="BC652" s="3"/>
      <c r="BD652" s="3"/>
      <c r="BE652" s="3"/>
      <c r="BF652" s="3"/>
      <c r="BG652" s="3"/>
      <c r="BH652" s="3"/>
      <c r="BI652" s="3"/>
      <c r="BJ652" s="3"/>
      <c r="BK652" s="3"/>
      <c r="BL652" s="3"/>
      <c r="BM652" s="3"/>
      <c r="DX652" s="1527" t="e">
        <f t="shared" si="4"/>
        <v>#VALUE!</v>
      </c>
      <c r="DY652" s="1527"/>
      <c r="DZ652" s="1527"/>
      <c r="EA652" s="1527"/>
      <c r="EB652" s="1527"/>
      <c r="EC652" s="1527" t="e">
        <f t="shared" si="5"/>
        <v>#VALUE!</v>
      </c>
      <c r="ED652" s="1527"/>
      <c r="EE652" s="1527"/>
      <c r="EF652" s="1527"/>
      <c r="EG652" s="1527"/>
      <c r="EH652" s="1527" t="e">
        <f t="shared" si="6"/>
        <v>#VALUE!</v>
      </c>
      <c r="EI652" s="1527"/>
      <c r="EJ652" s="1527"/>
      <c r="EK652" s="1527"/>
      <c r="EL652" s="1527"/>
      <c r="EM652" s="1527" t="e">
        <f t="shared" si="7"/>
        <v>#VALUE!</v>
      </c>
      <c r="EN652" s="1527"/>
      <c r="EO652" s="1527"/>
      <c r="EP652" s="1527"/>
      <c r="EQ652" s="1527"/>
      <c r="ER652" s="1527" t="e">
        <f t="shared" si="8"/>
        <v>#VALUE!</v>
      </c>
      <c r="ES652" s="1527"/>
      <c r="ET652" s="1527"/>
      <c r="EU652" s="1527"/>
      <c r="EV652" s="1527"/>
      <c r="EW652" s="1527" t="e">
        <f t="shared" si="9"/>
        <v>#VALUE!</v>
      </c>
      <c r="EX652" s="1527"/>
      <c r="EY652" s="1527"/>
      <c r="EZ652" s="1527"/>
      <c r="FA652" s="1527"/>
    </row>
    <row r="653" spans="1:157" ht="13" customHeight="1">
      <c r="A653" s="22"/>
      <c r="B653" t="s">
        <v>579</v>
      </c>
      <c r="G653" s="1442" t="s">
        <v>2743</v>
      </c>
      <c r="H653" s="1442"/>
      <c r="I653" s="1442"/>
      <c r="J653" s="1442"/>
      <c r="K653" s="1442"/>
      <c r="L653" s="1442"/>
      <c r="M653" s="1442"/>
      <c r="N653" s="1442"/>
      <c r="O653" s="1442"/>
      <c r="P653" s="1442"/>
      <c r="Q653" s="1442"/>
      <c r="R653" s="1442"/>
      <c r="T653" s="22"/>
      <c r="U653" t="s">
        <v>579</v>
      </c>
      <c r="Z653" s="1457" t="s">
        <v>2736</v>
      </c>
      <c r="AA653" s="1457"/>
      <c r="AB653" s="1457"/>
      <c r="AC653" s="1457"/>
      <c r="AD653" s="1457"/>
      <c r="AE653" s="1457"/>
      <c r="AF653" s="1457"/>
      <c r="AG653" s="1457"/>
      <c r="AH653" s="1457"/>
      <c r="AI653" s="1457"/>
      <c r="AJ653" s="1457"/>
      <c r="AK653" s="1457"/>
      <c r="AV653" s="3"/>
      <c r="AW653" s="3"/>
      <c r="AX653" s="3"/>
      <c r="AY653" s="3"/>
      <c r="AZ653" s="3"/>
      <c r="BA653" s="3"/>
      <c r="BB653" s="3"/>
      <c r="BC653" s="3"/>
      <c r="BD653" s="3"/>
      <c r="BE653" s="3"/>
      <c r="BF653" s="3"/>
      <c r="BG653" s="3"/>
      <c r="BH653" s="3"/>
      <c r="BI653" s="3"/>
      <c r="BJ653" s="3"/>
      <c r="BK653" s="3"/>
      <c r="BL653" s="3"/>
      <c r="BM653" s="3"/>
      <c r="DX653" s="1527" t="e">
        <f t="shared" si="4"/>
        <v>#VALUE!</v>
      </c>
      <c r="DY653" s="1527"/>
      <c r="DZ653" s="1527"/>
      <c r="EA653" s="1527"/>
      <c r="EB653" s="1527"/>
      <c r="EC653" s="1527" t="e">
        <f t="shared" si="5"/>
        <v>#VALUE!</v>
      </c>
      <c r="ED653" s="1527"/>
      <c r="EE653" s="1527"/>
      <c r="EF653" s="1527"/>
      <c r="EG653" s="1527"/>
      <c r="EH653" s="1527" t="e">
        <f t="shared" si="6"/>
        <v>#VALUE!</v>
      </c>
      <c r="EI653" s="1527"/>
      <c r="EJ653" s="1527"/>
      <c r="EK653" s="1527"/>
      <c r="EL653" s="1527"/>
      <c r="EM653" s="1527" t="e">
        <f t="shared" si="7"/>
        <v>#VALUE!</v>
      </c>
      <c r="EN653" s="1527"/>
      <c r="EO653" s="1527"/>
      <c r="EP653" s="1527"/>
      <c r="EQ653" s="1527"/>
      <c r="ER653" s="1527" t="e">
        <f t="shared" si="8"/>
        <v>#VALUE!</v>
      </c>
      <c r="ES653" s="1527"/>
      <c r="ET653" s="1527"/>
      <c r="EU653" s="1527"/>
      <c r="EV653" s="1527"/>
      <c r="EW653" s="1527" t="e">
        <f t="shared" si="9"/>
        <v>#VALUE!</v>
      </c>
      <c r="EX653" s="1527"/>
      <c r="EY653" s="1527"/>
      <c r="EZ653" s="1527"/>
      <c r="FA653" s="1527"/>
    </row>
    <row r="654" spans="1:157" ht="13" customHeight="1">
      <c r="A654" s="22"/>
      <c r="B654" t="s">
        <v>17</v>
      </c>
      <c r="G654" s="1442" t="s">
        <v>2733</v>
      </c>
      <c r="H654" s="1442"/>
      <c r="I654" s="1442"/>
      <c r="J654" s="1442"/>
      <c r="K654" s="1442"/>
      <c r="L654" s="1442"/>
      <c r="M654" s="1442"/>
      <c r="N654" s="1442"/>
      <c r="O654" s="1442"/>
      <c r="P654" s="1442"/>
      <c r="Q654" s="1442"/>
      <c r="R654" s="1442"/>
      <c r="S654" s="8"/>
      <c r="T654" s="22"/>
      <c r="U654" t="s">
        <v>17</v>
      </c>
      <c r="Z654" s="1457" t="s">
        <v>2737</v>
      </c>
      <c r="AA654" s="1457"/>
      <c r="AB654" s="1457"/>
      <c r="AC654" s="1457"/>
      <c r="AD654" s="1457"/>
      <c r="AE654" s="1457"/>
      <c r="AF654" s="1457"/>
      <c r="AG654" s="1457"/>
      <c r="AH654" s="1457"/>
      <c r="AI654" s="1457"/>
      <c r="AJ654" s="1457"/>
      <c r="AK654" s="1457"/>
      <c r="AZ654" s="3"/>
      <c r="BA654" s="3"/>
      <c r="BB654" s="3"/>
      <c r="BC654" s="3"/>
      <c r="BD654" s="3"/>
      <c r="BE654" s="3"/>
      <c r="BF654" s="3"/>
      <c r="BG654" s="3"/>
      <c r="BH654" s="3"/>
      <c r="BI654" s="3"/>
      <c r="BJ654" s="3"/>
      <c r="BK654" s="3"/>
      <c r="BL654" s="3"/>
      <c r="BM654" s="3"/>
      <c r="DX654" s="1527" t="e">
        <f t="shared" si="4"/>
        <v>#VALUE!</v>
      </c>
      <c r="DY654" s="1527"/>
      <c r="DZ654" s="1527"/>
      <c r="EA654" s="1527"/>
      <c r="EB654" s="1527"/>
      <c r="EC654" s="1527" t="e">
        <f t="shared" si="5"/>
        <v>#VALUE!</v>
      </c>
      <c r="ED654" s="1527"/>
      <c r="EE654" s="1527"/>
      <c r="EF654" s="1527"/>
      <c r="EG654" s="1527"/>
      <c r="EH654" s="1527" t="e">
        <f t="shared" si="6"/>
        <v>#VALUE!</v>
      </c>
      <c r="EI654" s="1527"/>
      <c r="EJ654" s="1527"/>
      <c r="EK654" s="1527"/>
      <c r="EL654" s="1527"/>
      <c r="EM654" s="1527" t="e">
        <f t="shared" si="7"/>
        <v>#VALUE!</v>
      </c>
      <c r="EN654" s="1527"/>
      <c r="EO654" s="1527"/>
      <c r="EP654" s="1527"/>
      <c r="EQ654" s="1527"/>
      <c r="ER654" s="1527" t="e">
        <f t="shared" si="8"/>
        <v>#VALUE!</v>
      </c>
      <c r="ES654" s="1527"/>
      <c r="ET654" s="1527"/>
      <c r="EU654" s="1527"/>
      <c r="EV654" s="1527"/>
      <c r="EW654" s="1527" t="e">
        <f t="shared" si="9"/>
        <v>#VALUE!</v>
      </c>
      <c r="EX654" s="1527"/>
      <c r="EY654" s="1527"/>
      <c r="EZ654" s="1527"/>
      <c r="FA654" s="1527"/>
    </row>
    <row r="655" spans="1:157" ht="13" customHeight="1">
      <c r="A655" s="22"/>
      <c r="B655" t="s">
        <v>315</v>
      </c>
      <c r="G655" s="1441">
        <v>6503031847</v>
      </c>
      <c r="H655" s="1441"/>
      <c r="I655" s="1441"/>
      <c r="J655" s="1441"/>
      <c r="K655" s="1441"/>
      <c r="L655" s="1441"/>
      <c r="O655" s="33" t="s">
        <v>205</v>
      </c>
      <c r="P655" s="1453"/>
      <c r="Q655" s="1453"/>
      <c r="R655" s="1453"/>
      <c r="S655" s="10"/>
      <c r="T655" s="22"/>
      <c r="U655" t="s">
        <v>315</v>
      </c>
      <c r="Z655" s="1441">
        <v>8182470420</v>
      </c>
      <c r="AA655" s="1441"/>
      <c r="AB655" s="1441"/>
      <c r="AC655" s="1441"/>
      <c r="AD655" s="1441"/>
      <c r="AE655" s="1441"/>
      <c r="AH655" s="33" t="s">
        <v>205</v>
      </c>
      <c r="AI655" s="1453"/>
      <c r="AJ655" s="1453"/>
      <c r="AK655" s="1453"/>
      <c r="AZ655" s="34"/>
      <c r="BA655" s="34"/>
      <c r="BB655" s="34"/>
      <c r="BC655" s="34"/>
      <c r="BD655" s="34"/>
      <c r="BE655" s="34"/>
      <c r="BF655" s="34"/>
      <c r="BG655" s="34"/>
      <c r="BH655" s="34"/>
      <c r="BI655" s="34"/>
      <c r="BJ655" s="34"/>
      <c r="BK655" s="34"/>
      <c r="BL655" s="34"/>
      <c r="BM655" s="34"/>
      <c r="DX655" s="1527" t="e">
        <f t="shared" si="4"/>
        <v>#VALUE!</v>
      </c>
      <c r="DY655" s="1527"/>
      <c r="DZ655" s="1527"/>
      <c r="EA655" s="1527"/>
      <c r="EB655" s="1527"/>
      <c r="EC655" s="1527" t="e">
        <f t="shared" si="5"/>
        <v>#VALUE!</v>
      </c>
      <c r="ED655" s="1527"/>
      <c r="EE655" s="1527"/>
      <c r="EF655" s="1527"/>
      <c r="EG655" s="1527"/>
      <c r="EH655" s="1527" t="e">
        <f t="shared" si="6"/>
        <v>#VALUE!</v>
      </c>
      <c r="EI655" s="1527"/>
      <c r="EJ655" s="1527"/>
      <c r="EK655" s="1527"/>
      <c r="EL655" s="1527"/>
      <c r="EM655" s="1527" t="e">
        <f t="shared" si="7"/>
        <v>#VALUE!</v>
      </c>
      <c r="EN655" s="1527"/>
      <c r="EO655" s="1527"/>
      <c r="EP655" s="1527"/>
      <c r="EQ655" s="1527"/>
      <c r="ER655" s="1527" t="e">
        <f t="shared" si="8"/>
        <v>#VALUE!</v>
      </c>
      <c r="ES655" s="1527"/>
      <c r="ET655" s="1527"/>
      <c r="EU655" s="1527"/>
      <c r="EV655" s="1527"/>
      <c r="EW655" s="1527" t="e">
        <f t="shared" si="9"/>
        <v>#VALUE!</v>
      </c>
      <c r="EX655" s="1527"/>
      <c r="EY655" s="1527"/>
      <c r="EZ655" s="1527"/>
      <c r="FA655" s="1527"/>
    </row>
    <row r="656" spans="1:157" ht="13" customHeight="1">
      <c r="A656" s="22"/>
      <c r="B656" t="s">
        <v>18</v>
      </c>
      <c r="H656" s="1442" t="s">
        <v>2744</v>
      </c>
      <c r="I656" s="1442"/>
      <c r="J656" s="1442"/>
      <c r="K656" s="1442"/>
      <c r="L656" s="1442"/>
      <c r="M656" s="1442"/>
      <c r="N656" s="1442"/>
      <c r="O656" s="1442"/>
      <c r="P656" s="1442"/>
      <c r="Q656" s="1442"/>
      <c r="R656" s="1442"/>
      <c r="S656" s="8"/>
      <c r="T656" s="22"/>
      <c r="U656" t="s">
        <v>18</v>
      </c>
      <c r="AA656" s="1442" t="s">
        <v>2738</v>
      </c>
      <c r="AB656" s="1442"/>
      <c r="AC656" s="1442"/>
      <c r="AD656" s="1442"/>
      <c r="AE656" s="1442"/>
      <c r="AF656" s="1442"/>
      <c r="AG656" s="1442"/>
      <c r="AH656" s="1442"/>
      <c r="AI656" s="1442"/>
      <c r="AJ656" s="1442"/>
      <c r="AK656" s="1442"/>
      <c r="AZ656" s="34"/>
      <c r="BA656" s="34"/>
      <c r="BB656" s="34"/>
      <c r="BC656" s="34"/>
      <c r="BD656" s="34"/>
      <c r="BE656" s="34"/>
      <c r="BF656" s="34"/>
      <c r="BG656" s="34"/>
      <c r="BH656" s="34"/>
      <c r="BI656" s="34"/>
      <c r="BJ656" s="34"/>
      <c r="BK656" s="34"/>
      <c r="BL656" s="34"/>
      <c r="BM656" s="34"/>
      <c r="DX656" s="1527" t="e">
        <f t="shared" si="4"/>
        <v>#VALUE!</v>
      </c>
      <c r="DY656" s="1527"/>
      <c r="DZ656" s="1527"/>
      <c r="EA656" s="1527"/>
      <c r="EB656" s="1527"/>
      <c r="EC656" s="1527" t="e">
        <f t="shared" si="5"/>
        <v>#VALUE!</v>
      </c>
      <c r="ED656" s="1527"/>
      <c r="EE656" s="1527"/>
      <c r="EF656" s="1527"/>
      <c r="EG656" s="1527"/>
      <c r="EH656" s="1527" t="e">
        <f t="shared" si="6"/>
        <v>#VALUE!</v>
      </c>
      <c r="EI656" s="1527"/>
      <c r="EJ656" s="1527"/>
      <c r="EK656" s="1527"/>
      <c r="EL656" s="1527"/>
      <c r="EM656" s="1527" t="e">
        <f t="shared" si="7"/>
        <v>#VALUE!</v>
      </c>
      <c r="EN656" s="1527"/>
      <c r="EO656" s="1527"/>
      <c r="EP656" s="1527"/>
      <c r="EQ656" s="1527"/>
      <c r="ER656" s="1527" t="e">
        <f t="shared" si="8"/>
        <v>#VALUE!</v>
      </c>
      <c r="ES656" s="1527"/>
      <c r="ET656" s="1527"/>
      <c r="EU656" s="1527"/>
      <c r="EV656" s="1527"/>
      <c r="EW656" s="1527" t="e">
        <f t="shared" si="9"/>
        <v>#VALUE!</v>
      </c>
      <c r="EX656" s="1527"/>
      <c r="EY656" s="1527"/>
      <c r="EZ656" s="1527"/>
      <c r="FA656" s="1527"/>
    </row>
    <row r="657" spans="1:157" ht="13" customHeight="1">
      <c r="A657" s="22"/>
      <c r="B657" t="s">
        <v>20</v>
      </c>
      <c r="N657" s="1339" t="s">
        <v>544</v>
      </c>
      <c r="O657" s="1339"/>
      <c r="T657" s="22"/>
      <c r="U657" t="s">
        <v>20</v>
      </c>
      <c r="AG657" s="1339" t="s">
        <v>544</v>
      </c>
      <c r="AH657" s="1339"/>
      <c r="AZ657" s="34"/>
      <c r="BA657" s="34"/>
      <c r="BB657" s="34"/>
      <c r="BC657" s="34"/>
      <c r="BD657" s="34"/>
      <c r="BE657" s="34"/>
      <c r="BF657" s="34"/>
      <c r="BG657" s="34"/>
      <c r="BH657" s="34"/>
      <c r="BI657" s="34"/>
      <c r="BJ657" s="34"/>
      <c r="BK657" s="34"/>
      <c r="BL657" s="34"/>
      <c r="BM657" s="34"/>
      <c r="DX657" s="1527" t="e">
        <f t="shared" si="4"/>
        <v>#VALUE!</v>
      </c>
      <c r="DY657" s="1527"/>
      <c r="DZ657" s="1527"/>
      <c r="EA657" s="1527"/>
      <c r="EB657" s="1527"/>
      <c r="EC657" s="1527" t="e">
        <f t="shared" si="5"/>
        <v>#VALUE!</v>
      </c>
      <c r="ED657" s="1527"/>
      <c r="EE657" s="1527"/>
      <c r="EF657" s="1527"/>
      <c r="EG657" s="1527"/>
      <c r="EH657" s="1527" t="e">
        <f t="shared" si="6"/>
        <v>#VALUE!</v>
      </c>
      <c r="EI657" s="1527"/>
      <c r="EJ657" s="1527"/>
      <c r="EK657" s="1527"/>
      <c r="EL657" s="1527"/>
      <c r="EM657" s="1527" t="e">
        <f t="shared" si="7"/>
        <v>#VALUE!</v>
      </c>
      <c r="EN657" s="1527"/>
      <c r="EO657" s="1527"/>
      <c r="EP657" s="1527"/>
      <c r="EQ657" s="1527"/>
      <c r="ER657" s="1527" t="e">
        <f t="shared" si="8"/>
        <v>#VALUE!</v>
      </c>
      <c r="ES657" s="1527"/>
      <c r="ET657" s="1527"/>
      <c r="EU657" s="1527"/>
      <c r="EV657" s="1527"/>
      <c r="EW657" s="1527" t="e">
        <f t="shared" si="9"/>
        <v>#VALUE!</v>
      </c>
      <c r="EX657" s="1527"/>
      <c r="EY657" s="1527"/>
      <c r="EZ657" s="1527"/>
      <c r="FA657" s="1527"/>
    </row>
    <row r="658" spans="1:157" ht="13" customHeight="1">
      <c r="A658" s="22"/>
      <c r="T658" s="22"/>
      <c r="AZ658" s="34"/>
      <c r="BA658" s="34"/>
      <c r="BB658" s="34"/>
      <c r="BC658" s="34"/>
      <c r="BD658" s="34"/>
      <c r="BE658" s="34"/>
      <c r="BF658" s="34"/>
      <c r="BG658" s="34"/>
      <c r="BH658" s="34"/>
      <c r="BI658" s="34"/>
      <c r="BJ658" s="34"/>
      <c r="BK658" s="34"/>
      <c r="BL658" s="34"/>
      <c r="BM658" s="34"/>
      <c r="DX658" s="1527" t="e">
        <f t="shared" si="4"/>
        <v>#VALUE!</v>
      </c>
      <c r="DY658" s="1527"/>
      <c r="DZ658" s="1527"/>
      <c r="EA658" s="1527"/>
      <c r="EB658" s="1527"/>
      <c r="EC658" s="1527" t="e">
        <f t="shared" si="5"/>
        <v>#VALUE!</v>
      </c>
      <c r="ED658" s="1527"/>
      <c r="EE658" s="1527"/>
      <c r="EF658" s="1527"/>
      <c r="EG658" s="1527"/>
      <c r="EH658" s="1527" t="e">
        <f t="shared" si="6"/>
        <v>#VALUE!</v>
      </c>
      <c r="EI658" s="1527"/>
      <c r="EJ658" s="1527"/>
      <c r="EK658" s="1527"/>
      <c r="EL658" s="1527"/>
      <c r="EM658" s="1527" t="e">
        <f t="shared" si="7"/>
        <v>#VALUE!</v>
      </c>
      <c r="EN658" s="1527"/>
      <c r="EO658" s="1527"/>
      <c r="EP658" s="1527"/>
      <c r="EQ658" s="1527"/>
      <c r="ER658" s="1527" t="e">
        <f t="shared" si="8"/>
        <v>#VALUE!</v>
      </c>
      <c r="ES658" s="1527"/>
      <c r="ET658" s="1527"/>
      <c r="EU658" s="1527"/>
      <c r="EV658" s="1527"/>
      <c r="EW658" s="1527" t="e">
        <f t="shared" si="9"/>
        <v>#VALUE!</v>
      </c>
      <c r="EX658" s="1527"/>
      <c r="EY658" s="1527"/>
      <c r="EZ658" s="1527"/>
      <c r="FA658" s="1527"/>
    </row>
    <row r="659" spans="1:157" ht="13" customHeight="1">
      <c r="A659" s="55" t="s">
        <v>119</v>
      </c>
      <c r="B659" t="s">
        <v>462</v>
      </c>
      <c r="G659" s="1452" t="str">
        <f>C637</f>
        <v>Seller Note Accrued Interest</v>
      </c>
      <c r="H659" s="1452"/>
      <c r="I659" s="1452"/>
      <c r="J659" s="1452"/>
      <c r="K659" s="1452"/>
      <c r="L659" s="1452"/>
      <c r="M659" s="1452"/>
      <c r="N659" s="1452"/>
      <c r="O659" s="1452"/>
      <c r="P659" s="1452"/>
      <c r="Q659" s="1452"/>
      <c r="R659" s="1452"/>
      <c r="T659" s="55" t="s">
        <v>580</v>
      </c>
      <c r="U659" t="s">
        <v>462</v>
      </c>
      <c r="Z659" s="1452" t="str">
        <f>C638</f>
        <v>NOI</v>
      </c>
      <c r="AA659" s="1452"/>
      <c r="AB659" s="1452"/>
      <c r="AC659" s="1452"/>
      <c r="AD659" s="1452"/>
      <c r="AE659" s="1452"/>
      <c r="AF659" s="1452"/>
      <c r="AG659" s="1452"/>
      <c r="AH659" s="1452"/>
      <c r="AI659" s="1452"/>
      <c r="AJ659" s="1452"/>
      <c r="AK659" s="1452"/>
      <c r="AZ659" s="34"/>
      <c r="BA659" s="34"/>
      <c r="BB659" s="34"/>
      <c r="BC659" s="34"/>
      <c r="BD659" s="34"/>
      <c r="BE659" s="34"/>
      <c r="BF659" s="34"/>
      <c r="BG659" s="34"/>
      <c r="BH659" s="34"/>
      <c r="BI659" s="34"/>
      <c r="BJ659" s="34"/>
      <c r="BK659" s="34"/>
      <c r="BL659" s="34"/>
      <c r="BM659" s="34"/>
      <c r="DX659" s="1527" t="e">
        <f t="shared" si="4"/>
        <v>#VALUE!</v>
      </c>
      <c r="DY659" s="1527"/>
      <c r="DZ659" s="1527"/>
      <c r="EA659" s="1527"/>
      <c r="EB659" s="1527"/>
      <c r="EC659" s="1527" t="e">
        <f t="shared" si="5"/>
        <v>#VALUE!</v>
      </c>
      <c r="ED659" s="1527"/>
      <c r="EE659" s="1527"/>
      <c r="EF659" s="1527"/>
      <c r="EG659" s="1527"/>
      <c r="EH659" s="1527" t="e">
        <f t="shared" si="6"/>
        <v>#VALUE!</v>
      </c>
      <c r="EI659" s="1527"/>
      <c r="EJ659" s="1527"/>
      <c r="EK659" s="1527"/>
      <c r="EL659" s="1527"/>
      <c r="EM659" s="1527" t="e">
        <f t="shared" si="7"/>
        <v>#VALUE!</v>
      </c>
      <c r="EN659" s="1527"/>
      <c r="EO659" s="1527"/>
      <c r="EP659" s="1527"/>
      <c r="EQ659" s="1527"/>
      <c r="ER659" s="1527" t="e">
        <f t="shared" si="8"/>
        <v>#VALUE!</v>
      </c>
      <c r="ES659" s="1527"/>
      <c r="ET659" s="1527"/>
      <c r="EU659" s="1527"/>
      <c r="EV659" s="1527"/>
      <c r="EW659" s="1527" t="e">
        <f t="shared" si="9"/>
        <v>#VALUE!</v>
      </c>
      <c r="EX659" s="1527"/>
      <c r="EY659" s="1527"/>
      <c r="EZ659" s="1527"/>
      <c r="FA659" s="1527"/>
    </row>
    <row r="660" spans="1:157" ht="13" customHeight="1">
      <c r="A660" s="22"/>
      <c r="B660" t="s">
        <v>85</v>
      </c>
      <c r="G660" s="1442" t="s">
        <v>2651</v>
      </c>
      <c r="H660" s="1442"/>
      <c r="I660" s="1442"/>
      <c r="J660" s="1442"/>
      <c r="K660" s="1442"/>
      <c r="L660" s="1442"/>
      <c r="M660" s="1442"/>
      <c r="N660" s="1442"/>
      <c r="O660" s="1442"/>
      <c r="P660" s="1442"/>
      <c r="Q660" s="1442"/>
      <c r="R660" s="1442"/>
      <c r="T660" s="22"/>
      <c r="U660" t="s">
        <v>85</v>
      </c>
      <c r="Z660" s="1442" t="s">
        <v>2651</v>
      </c>
      <c r="AA660" s="1442"/>
      <c r="AB660" s="1442"/>
      <c r="AC660" s="1442"/>
      <c r="AD660" s="1442"/>
      <c r="AE660" s="1442"/>
      <c r="AF660" s="1442"/>
      <c r="AG660" s="1442"/>
      <c r="AH660" s="1442"/>
      <c r="AI660" s="1442"/>
      <c r="AJ660" s="1442"/>
      <c r="AK660" s="1442"/>
      <c r="AZ660" s="34"/>
      <c r="BA660" s="34"/>
      <c r="BB660" s="34"/>
      <c r="BC660" s="34"/>
      <c r="BD660" s="34"/>
      <c r="BE660" s="34"/>
      <c r="BF660" s="34"/>
      <c r="BG660" s="34"/>
      <c r="BH660" s="34"/>
      <c r="BI660" s="34"/>
      <c r="BJ660" s="34"/>
      <c r="BK660" s="34"/>
      <c r="BL660" s="34"/>
      <c r="BM660" s="34"/>
      <c r="DX660" s="1527" t="e">
        <f t="shared" si="4"/>
        <v>#VALUE!</v>
      </c>
      <c r="DY660" s="1527"/>
      <c r="DZ660" s="1527"/>
      <c r="EA660" s="1527"/>
      <c r="EB660" s="1527"/>
      <c r="EC660" s="1527" t="e">
        <f t="shared" si="5"/>
        <v>#VALUE!</v>
      </c>
      <c r="ED660" s="1527"/>
      <c r="EE660" s="1527"/>
      <c r="EF660" s="1527"/>
      <c r="EG660" s="1527"/>
      <c r="EH660" s="1527" t="e">
        <f t="shared" si="6"/>
        <v>#VALUE!</v>
      </c>
      <c r="EI660" s="1527"/>
      <c r="EJ660" s="1527"/>
      <c r="EK660" s="1527"/>
      <c r="EL660" s="1527"/>
      <c r="EM660" s="1527" t="e">
        <f t="shared" si="7"/>
        <v>#VALUE!</v>
      </c>
      <c r="EN660" s="1527"/>
      <c r="EO660" s="1527"/>
      <c r="EP660" s="1527"/>
      <c r="EQ660" s="1527"/>
      <c r="ER660" s="1527" t="e">
        <f t="shared" si="8"/>
        <v>#VALUE!</v>
      </c>
      <c r="ES660" s="1527"/>
      <c r="ET660" s="1527"/>
      <c r="EU660" s="1527"/>
      <c r="EV660" s="1527"/>
      <c r="EW660" s="1527" t="e">
        <f t="shared" si="9"/>
        <v>#VALUE!</v>
      </c>
      <c r="EX660" s="1527"/>
      <c r="EY660" s="1527"/>
      <c r="EZ660" s="1527"/>
      <c r="FA660" s="1527"/>
    </row>
    <row r="661" spans="1:157" ht="13" customHeight="1">
      <c r="A661" s="22"/>
      <c r="B661" t="s">
        <v>579</v>
      </c>
      <c r="G661" s="1457" t="s">
        <v>2736</v>
      </c>
      <c r="H661" s="1457"/>
      <c r="I661" s="1457"/>
      <c r="J661" s="1457"/>
      <c r="K661" s="1457"/>
      <c r="L661" s="1457"/>
      <c r="M661" s="1457"/>
      <c r="N661" s="1457"/>
      <c r="O661" s="1457"/>
      <c r="P661" s="1457"/>
      <c r="Q661" s="1457"/>
      <c r="R661" s="1457"/>
      <c r="T661" s="22"/>
      <c r="U661" t="s">
        <v>579</v>
      </c>
      <c r="Z661" s="1457" t="s">
        <v>2736</v>
      </c>
      <c r="AA661" s="1457"/>
      <c r="AB661" s="1457"/>
      <c r="AC661" s="1457"/>
      <c r="AD661" s="1457"/>
      <c r="AE661" s="1457"/>
      <c r="AF661" s="1457"/>
      <c r="AG661" s="1457"/>
      <c r="AH661" s="1457"/>
      <c r="AI661" s="1457"/>
      <c r="AJ661" s="1457"/>
      <c r="AK661" s="1457"/>
      <c r="AZ661" s="34"/>
      <c r="BA661" s="34"/>
      <c r="BB661" s="34"/>
      <c r="BC661" s="34"/>
      <c r="BD661" s="34"/>
      <c r="BE661" s="34"/>
      <c r="BF661" s="34"/>
      <c r="BG661" s="34"/>
      <c r="BH661" s="34"/>
      <c r="BI661" s="34"/>
      <c r="BJ661" s="34"/>
      <c r="BK661" s="34"/>
      <c r="BL661" s="34"/>
      <c r="BM661" s="34"/>
      <c r="DX661" s="1527" t="e">
        <f t="shared" si="4"/>
        <v>#VALUE!</v>
      </c>
      <c r="DY661" s="1527"/>
      <c r="DZ661" s="1527"/>
      <c r="EA661" s="1527"/>
      <c r="EB661" s="1527"/>
      <c r="EC661" s="1527" t="e">
        <f t="shared" si="5"/>
        <v>#VALUE!</v>
      </c>
      <c r="ED661" s="1527"/>
      <c r="EE661" s="1527"/>
      <c r="EF661" s="1527"/>
      <c r="EG661" s="1527"/>
      <c r="EH661" s="1527" t="e">
        <f t="shared" si="6"/>
        <v>#VALUE!</v>
      </c>
      <c r="EI661" s="1527"/>
      <c r="EJ661" s="1527"/>
      <c r="EK661" s="1527"/>
      <c r="EL661" s="1527"/>
      <c r="EM661" s="1527" t="e">
        <f t="shared" si="7"/>
        <v>#VALUE!</v>
      </c>
      <c r="EN661" s="1527"/>
      <c r="EO661" s="1527"/>
      <c r="EP661" s="1527"/>
      <c r="EQ661" s="1527"/>
      <c r="ER661" s="1527" t="e">
        <f t="shared" si="8"/>
        <v>#VALUE!</v>
      </c>
      <c r="ES661" s="1527"/>
      <c r="ET661" s="1527"/>
      <c r="EU661" s="1527"/>
      <c r="EV661" s="1527"/>
      <c r="EW661" s="1527" t="e">
        <f t="shared" si="9"/>
        <v>#VALUE!</v>
      </c>
      <c r="EX661" s="1527"/>
      <c r="EY661" s="1527"/>
      <c r="EZ661" s="1527"/>
      <c r="FA661" s="1527"/>
    </row>
    <row r="662" spans="1:157" ht="13" customHeight="1">
      <c r="A662" s="22"/>
      <c r="B662" t="s">
        <v>17</v>
      </c>
      <c r="G662" s="1457" t="s">
        <v>2737</v>
      </c>
      <c r="H662" s="1457"/>
      <c r="I662" s="1457"/>
      <c r="J662" s="1457"/>
      <c r="K662" s="1457"/>
      <c r="L662" s="1457"/>
      <c r="M662" s="1457"/>
      <c r="N662" s="1457"/>
      <c r="O662" s="1457"/>
      <c r="P662" s="1457"/>
      <c r="Q662" s="1457"/>
      <c r="R662" s="1457"/>
      <c r="T662" s="22"/>
      <c r="U662" t="s">
        <v>17</v>
      </c>
      <c r="Z662" s="1457" t="s">
        <v>2737</v>
      </c>
      <c r="AA662" s="1457"/>
      <c r="AB662" s="1457"/>
      <c r="AC662" s="1457"/>
      <c r="AD662" s="1457"/>
      <c r="AE662" s="1457"/>
      <c r="AF662" s="1457"/>
      <c r="AG662" s="1457"/>
      <c r="AH662" s="1457"/>
      <c r="AI662" s="1457"/>
      <c r="AJ662" s="1457"/>
      <c r="AK662" s="1457"/>
      <c r="AZ662" s="34"/>
      <c r="BA662" s="34"/>
      <c r="BB662" s="34"/>
      <c r="BC662" s="34"/>
      <c r="BD662" s="34"/>
      <c r="BE662" s="34"/>
      <c r="BF662" s="34"/>
      <c r="BG662" s="34"/>
      <c r="BH662" s="34"/>
      <c r="BI662" s="34"/>
      <c r="BJ662" s="34"/>
      <c r="BK662" s="34"/>
      <c r="BL662" s="34"/>
      <c r="BM662" s="34"/>
      <c r="DX662" s="1527" t="e">
        <f t="shared" si="4"/>
        <v>#VALUE!</v>
      </c>
      <c r="DY662" s="1527"/>
      <c r="DZ662" s="1527"/>
      <c r="EA662" s="1527"/>
      <c r="EB662" s="1527"/>
      <c r="EC662" s="1527" t="e">
        <f t="shared" si="5"/>
        <v>#VALUE!</v>
      </c>
      <c r="ED662" s="1527"/>
      <c r="EE662" s="1527"/>
      <c r="EF662" s="1527"/>
      <c r="EG662" s="1527"/>
      <c r="EH662" s="1527" t="e">
        <f t="shared" si="6"/>
        <v>#VALUE!</v>
      </c>
      <c r="EI662" s="1527"/>
      <c r="EJ662" s="1527"/>
      <c r="EK662" s="1527"/>
      <c r="EL662" s="1527"/>
      <c r="EM662" s="1527" t="e">
        <f t="shared" si="7"/>
        <v>#VALUE!</v>
      </c>
      <c r="EN662" s="1527"/>
      <c r="EO662" s="1527"/>
      <c r="EP662" s="1527"/>
      <c r="EQ662" s="1527"/>
      <c r="ER662" s="1527" t="e">
        <f t="shared" si="8"/>
        <v>#VALUE!</v>
      </c>
      <c r="ES662" s="1527"/>
      <c r="ET662" s="1527"/>
      <c r="EU662" s="1527"/>
      <c r="EV662" s="1527"/>
      <c r="EW662" s="1527" t="e">
        <f t="shared" si="9"/>
        <v>#VALUE!</v>
      </c>
      <c r="EX662" s="1527"/>
      <c r="EY662" s="1527"/>
      <c r="EZ662" s="1527"/>
      <c r="FA662" s="1527"/>
    </row>
    <row r="663" spans="1:157" ht="13" customHeight="1">
      <c r="A663" s="22"/>
      <c r="B663" t="s">
        <v>315</v>
      </c>
      <c r="G663" s="1441">
        <v>8182470420</v>
      </c>
      <c r="H663" s="1441"/>
      <c r="I663" s="1441"/>
      <c r="J663" s="1441"/>
      <c r="K663" s="1441"/>
      <c r="L663" s="1441"/>
      <c r="O663" s="33" t="s">
        <v>205</v>
      </c>
      <c r="P663" s="1453"/>
      <c r="Q663" s="1453"/>
      <c r="R663" s="1453"/>
      <c r="T663" s="22"/>
      <c r="U663" t="s">
        <v>315</v>
      </c>
      <c r="Z663" s="1441">
        <v>8182470420</v>
      </c>
      <c r="AA663" s="1441"/>
      <c r="AB663" s="1441"/>
      <c r="AC663" s="1441"/>
      <c r="AD663" s="1441"/>
      <c r="AE663" s="1441"/>
      <c r="AH663" s="33" t="s">
        <v>205</v>
      </c>
      <c r="AI663" s="1453"/>
      <c r="AJ663" s="1453"/>
      <c r="AK663" s="1453"/>
      <c r="AZ663" s="34"/>
      <c r="BA663" s="34"/>
      <c r="BB663" s="34"/>
      <c r="BC663" s="34"/>
      <c r="BD663" s="34"/>
      <c r="BE663" s="34"/>
      <c r="BF663" s="34"/>
      <c r="BG663" s="34"/>
      <c r="BH663" s="34"/>
      <c r="BI663" s="34"/>
      <c r="BJ663" s="34"/>
      <c r="BK663" s="34"/>
      <c r="BL663" s="34"/>
      <c r="BM663" s="34"/>
      <c r="DX663" s="1527" t="e">
        <f t="shared" si="4"/>
        <v>#VALUE!</v>
      </c>
      <c r="DY663" s="1527"/>
      <c r="DZ663" s="1527"/>
      <c r="EA663" s="1527"/>
      <c r="EB663" s="1527"/>
      <c r="EC663" s="1527" t="e">
        <f t="shared" si="5"/>
        <v>#VALUE!</v>
      </c>
      <c r="ED663" s="1527"/>
      <c r="EE663" s="1527"/>
      <c r="EF663" s="1527"/>
      <c r="EG663" s="1527"/>
      <c r="EH663" s="1527" t="e">
        <f t="shared" si="6"/>
        <v>#VALUE!</v>
      </c>
      <c r="EI663" s="1527"/>
      <c r="EJ663" s="1527"/>
      <c r="EK663" s="1527"/>
      <c r="EL663" s="1527"/>
      <c r="EM663" s="1527" t="e">
        <f t="shared" si="7"/>
        <v>#VALUE!</v>
      </c>
      <c r="EN663" s="1527"/>
      <c r="EO663" s="1527"/>
      <c r="EP663" s="1527"/>
      <c r="EQ663" s="1527"/>
      <c r="ER663" s="1527" t="e">
        <f t="shared" si="8"/>
        <v>#VALUE!</v>
      </c>
      <c r="ES663" s="1527"/>
      <c r="ET663" s="1527"/>
      <c r="EU663" s="1527"/>
      <c r="EV663" s="1527"/>
      <c r="EW663" s="1527" t="e">
        <f t="shared" si="9"/>
        <v>#VALUE!</v>
      </c>
      <c r="EX663" s="1527"/>
      <c r="EY663" s="1527"/>
      <c r="EZ663" s="1527"/>
      <c r="FA663" s="1527"/>
    </row>
    <row r="664" spans="1:157" ht="13" customHeight="1">
      <c r="A664" s="22"/>
      <c r="B664" t="s">
        <v>18</v>
      </c>
      <c r="H664" s="1483" t="s">
        <v>2059</v>
      </c>
      <c r="I664" s="1483"/>
      <c r="J664" s="1483"/>
      <c r="K664" s="1483"/>
      <c r="L664" s="1483"/>
      <c r="M664" s="1483"/>
      <c r="N664" s="1483"/>
      <c r="O664" s="1483"/>
      <c r="P664" s="1483"/>
      <c r="Q664" s="1483"/>
      <c r="R664" s="1483"/>
      <c r="T664" s="22"/>
      <c r="U664" t="s">
        <v>18</v>
      </c>
      <c r="AA664" s="1442" t="s">
        <v>2076</v>
      </c>
      <c r="AB664" s="1442"/>
      <c r="AC664" s="1442"/>
      <c r="AD664" s="1442"/>
      <c r="AE664" s="1442"/>
      <c r="AF664" s="1442"/>
      <c r="AG664" s="1442"/>
      <c r="AH664" s="1442"/>
      <c r="AI664" s="1442"/>
      <c r="AJ664" s="1442"/>
      <c r="AK664" s="1442"/>
      <c r="AZ664" s="34"/>
      <c r="BA664" s="34"/>
      <c r="BB664" s="34"/>
      <c r="BC664" s="34"/>
      <c r="BD664" s="34"/>
      <c r="BE664" s="34"/>
      <c r="BF664" s="34"/>
      <c r="BG664" s="34"/>
      <c r="BH664" s="34"/>
      <c r="BI664" s="34"/>
      <c r="BJ664" s="34"/>
      <c r="BK664" s="34"/>
      <c r="BL664" s="34"/>
      <c r="BM664" s="34"/>
      <c r="DX664" s="1527" t="e">
        <f t="shared" si="4"/>
        <v>#VALUE!</v>
      </c>
      <c r="DY664" s="1527"/>
      <c r="DZ664" s="1527"/>
      <c r="EA664" s="1527"/>
      <c r="EB664" s="1527"/>
      <c r="EC664" s="1527" t="e">
        <f t="shared" si="5"/>
        <v>#VALUE!</v>
      </c>
      <c r="ED664" s="1527"/>
      <c r="EE664" s="1527"/>
      <c r="EF664" s="1527"/>
      <c r="EG664" s="1527"/>
      <c r="EH664" s="1527" t="e">
        <f t="shared" si="6"/>
        <v>#VALUE!</v>
      </c>
      <c r="EI664" s="1527"/>
      <c r="EJ664" s="1527"/>
      <c r="EK664" s="1527"/>
      <c r="EL664" s="1527"/>
      <c r="EM664" s="1527" t="e">
        <f t="shared" si="7"/>
        <v>#VALUE!</v>
      </c>
      <c r="EN664" s="1527"/>
      <c r="EO664" s="1527"/>
      <c r="EP664" s="1527"/>
      <c r="EQ664" s="1527"/>
      <c r="ER664" s="1527" t="e">
        <f t="shared" si="8"/>
        <v>#VALUE!</v>
      </c>
      <c r="ES664" s="1527"/>
      <c r="ET664" s="1527"/>
      <c r="EU664" s="1527"/>
      <c r="EV664" s="1527"/>
      <c r="EW664" s="1527" t="e">
        <f t="shared" si="9"/>
        <v>#VALUE!</v>
      </c>
      <c r="EX664" s="1527"/>
      <c r="EY664" s="1527"/>
      <c r="EZ664" s="1527"/>
      <c r="FA664" s="1527"/>
    </row>
    <row r="665" spans="1:157" ht="13" customHeight="1">
      <c r="A665" s="22"/>
      <c r="B665" t="s">
        <v>20</v>
      </c>
      <c r="N665" s="1339" t="s">
        <v>544</v>
      </c>
      <c r="O665" s="1339"/>
      <c r="T665" s="22"/>
      <c r="U665" t="s">
        <v>20</v>
      </c>
      <c r="AG665" s="1339" t="s">
        <v>544</v>
      </c>
      <c r="AH665" s="1339"/>
      <c r="AZ665" s="34"/>
      <c r="BA665" s="34"/>
      <c r="BB665" s="34"/>
      <c r="BC665" s="34"/>
      <c r="BD665" s="34"/>
      <c r="BE665" s="34"/>
      <c r="BF665" s="34"/>
      <c r="BG665" s="34"/>
      <c r="BH665" s="34"/>
      <c r="BI665" s="34"/>
      <c r="BJ665" s="34"/>
      <c r="BK665" s="34"/>
      <c r="BL665" s="34"/>
      <c r="BM665" s="34"/>
      <c r="DX665" s="1527" t="e">
        <f t="shared" si="4"/>
        <v>#VALUE!</v>
      </c>
      <c r="DY665" s="1527"/>
      <c r="DZ665" s="1527"/>
      <c r="EA665" s="1527"/>
      <c r="EB665" s="1527"/>
      <c r="EC665" s="1527" t="e">
        <f t="shared" si="5"/>
        <v>#VALUE!</v>
      </c>
      <c r="ED665" s="1527"/>
      <c r="EE665" s="1527"/>
      <c r="EF665" s="1527"/>
      <c r="EG665" s="1527"/>
      <c r="EH665" s="1527" t="e">
        <f t="shared" si="6"/>
        <v>#VALUE!</v>
      </c>
      <c r="EI665" s="1527"/>
      <c r="EJ665" s="1527"/>
      <c r="EK665" s="1527"/>
      <c r="EL665" s="1527"/>
      <c r="EM665" s="1527" t="e">
        <f t="shared" si="7"/>
        <v>#VALUE!</v>
      </c>
      <c r="EN665" s="1527"/>
      <c r="EO665" s="1527"/>
      <c r="EP665" s="1527"/>
      <c r="EQ665" s="1527"/>
      <c r="ER665" s="1527" t="e">
        <f t="shared" si="8"/>
        <v>#VALUE!</v>
      </c>
      <c r="ES665" s="1527"/>
      <c r="ET665" s="1527"/>
      <c r="EU665" s="1527"/>
      <c r="EV665" s="1527"/>
      <c r="EW665" s="1527" t="e">
        <f t="shared" si="9"/>
        <v>#VALUE!</v>
      </c>
      <c r="EX665" s="1527"/>
      <c r="EY665" s="1527"/>
      <c r="EZ665" s="1527"/>
      <c r="FA665" s="1527"/>
    </row>
    <row r="666" spans="1:157" ht="13" customHeight="1">
      <c r="A666" s="22"/>
      <c r="T666" s="22"/>
      <c r="AZ666" s="34"/>
      <c r="BA666" s="34"/>
      <c r="BB666" s="34"/>
      <c r="BC666" s="34"/>
      <c r="BD666" s="34"/>
      <c r="BE666" s="34"/>
      <c r="BF666" s="34"/>
      <c r="BG666" s="34"/>
      <c r="BH666" s="34"/>
      <c r="BI666" s="34"/>
      <c r="BJ666" s="34"/>
      <c r="BK666" s="34"/>
      <c r="BL666" s="34"/>
      <c r="BM666" s="34"/>
      <c r="DX666" s="1527" t="e">
        <f t="shared" si="4"/>
        <v>#VALUE!</v>
      </c>
      <c r="DY666" s="1527"/>
      <c r="DZ666" s="1527"/>
      <c r="EA666" s="1527"/>
      <c r="EB666" s="1527"/>
      <c r="EC666" s="1527" t="e">
        <f t="shared" si="5"/>
        <v>#VALUE!</v>
      </c>
      <c r="ED666" s="1527"/>
      <c r="EE666" s="1527"/>
      <c r="EF666" s="1527"/>
      <c r="EG666" s="1527"/>
      <c r="EH666" s="1527" t="e">
        <f t="shared" si="6"/>
        <v>#VALUE!</v>
      </c>
      <c r="EI666" s="1527"/>
      <c r="EJ666" s="1527"/>
      <c r="EK666" s="1527"/>
      <c r="EL666" s="1527"/>
      <c r="EM666" s="1527" t="e">
        <f t="shared" si="7"/>
        <v>#VALUE!</v>
      </c>
      <c r="EN666" s="1527"/>
      <c r="EO666" s="1527"/>
      <c r="EP666" s="1527"/>
      <c r="EQ666" s="1527"/>
      <c r="ER666" s="1527" t="e">
        <f t="shared" si="8"/>
        <v>#VALUE!</v>
      </c>
      <c r="ES666" s="1527"/>
      <c r="ET666" s="1527"/>
      <c r="EU666" s="1527"/>
      <c r="EV666" s="1527"/>
      <c r="EW666" s="1527" t="e">
        <f t="shared" si="9"/>
        <v>#VALUE!</v>
      </c>
      <c r="EX666" s="1527"/>
      <c r="EY666" s="1527"/>
      <c r="EZ666" s="1527"/>
      <c r="FA666" s="1527"/>
    </row>
    <row r="667" spans="1:157" ht="13" customHeight="1">
      <c r="A667" s="55" t="s">
        <v>762</v>
      </c>
      <c r="B667" t="s">
        <v>462</v>
      </c>
      <c r="G667" s="1452" t="str">
        <f>C639</f>
        <v>Deferred Developer Fee</v>
      </c>
      <c r="H667" s="1452"/>
      <c r="I667" s="1452"/>
      <c r="J667" s="1452"/>
      <c r="K667" s="1452"/>
      <c r="L667" s="1452"/>
      <c r="M667" s="1452"/>
      <c r="N667" s="1452"/>
      <c r="O667" s="1452"/>
      <c r="P667" s="1452"/>
      <c r="Q667" s="1452"/>
      <c r="R667" s="1452"/>
      <c r="T667" s="55" t="s">
        <v>583</v>
      </c>
      <c r="U667" t="s">
        <v>462</v>
      </c>
      <c r="Z667" s="1452" t="str">
        <f>C640</f>
        <v>GP Contribution</v>
      </c>
      <c r="AA667" s="1452"/>
      <c r="AB667" s="1452"/>
      <c r="AC667" s="1452"/>
      <c r="AD667" s="1452"/>
      <c r="AE667" s="1452"/>
      <c r="AF667" s="1452"/>
      <c r="AG667" s="1452"/>
      <c r="AH667" s="1452"/>
      <c r="AI667" s="1452"/>
      <c r="AJ667" s="1452"/>
      <c r="AK667" s="1452"/>
      <c r="AZ667" s="34"/>
      <c r="BA667" s="34"/>
      <c r="BB667" s="34"/>
      <c r="BC667" s="34"/>
      <c r="BD667" s="34"/>
      <c r="BE667" s="34"/>
      <c r="BF667" s="34"/>
      <c r="BG667" s="34"/>
      <c r="BH667" s="34"/>
      <c r="BI667" s="34"/>
      <c r="BJ667" s="34"/>
      <c r="BK667" s="34"/>
      <c r="BL667" s="34"/>
      <c r="BM667" s="34"/>
      <c r="DX667" s="1527" t="e">
        <f t="shared" si="4"/>
        <v>#VALUE!</v>
      </c>
      <c r="DY667" s="1527"/>
      <c r="DZ667" s="1527"/>
      <c r="EA667" s="1527"/>
      <c r="EB667" s="1527"/>
      <c r="EC667" s="1527" t="e">
        <f t="shared" si="5"/>
        <v>#VALUE!</v>
      </c>
      <c r="ED667" s="1527"/>
      <c r="EE667" s="1527"/>
      <c r="EF667" s="1527"/>
      <c r="EG667" s="1527"/>
      <c r="EH667" s="1527" t="e">
        <f t="shared" si="6"/>
        <v>#VALUE!</v>
      </c>
      <c r="EI667" s="1527"/>
      <c r="EJ667" s="1527"/>
      <c r="EK667" s="1527"/>
      <c r="EL667" s="1527"/>
      <c r="EM667" s="1527" t="e">
        <f t="shared" si="7"/>
        <v>#VALUE!</v>
      </c>
      <c r="EN667" s="1527"/>
      <c r="EO667" s="1527"/>
      <c r="EP667" s="1527"/>
      <c r="EQ667" s="1527"/>
      <c r="ER667" s="1527" t="e">
        <f t="shared" si="8"/>
        <v>#VALUE!</v>
      </c>
      <c r="ES667" s="1527"/>
      <c r="ET667" s="1527"/>
      <c r="EU667" s="1527"/>
      <c r="EV667" s="1527"/>
      <c r="EW667" s="1527" t="e">
        <f t="shared" si="9"/>
        <v>#VALUE!</v>
      </c>
      <c r="EX667" s="1527"/>
      <c r="EY667" s="1527"/>
      <c r="EZ667" s="1527"/>
      <c r="FA667" s="1527"/>
    </row>
    <row r="668" spans="1:157" ht="13" customHeight="1">
      <c r="A668" s="22"/>
      <c r="B668" t="s">
        <v>85</v>
      </c>
      <c r="G668" s="1442" t="s">
        <v>2651</v>
      </c>
      <c r="H668" s="1442"/>
      <c r="I668" s="1442"/>
      <c r="J668" s="1442"/>
      <c r="K668" s="1442"/>
      <c r="L668" s="1442"/>
      <c r="M668" s="1442"/>
      <c r="N668" s="1442"/>
      <c r="O668" s="1442"/>
      <c r="P668" s="1442"/>
      <c r="Q668" s="1442"/>
      <c r="R668" s="1442"/>
      <c r="T668" s="22"/>
      <c r="U668" t="s">
        <v>85</v>
      </c>
      <c r="Z668" s="1442" t="s">
        <v>2651</v>
      </c>
      <c r="AA668" s="1442"/>
      <c r="AB668" s="1442"/>
      <c r="AC668" s="1442"/>
      <c r="AD668" s="1442"/>
      <c r="AE668" s="1442"/>
      <c r="AF668" s="1442"/>
      <c r="AG668" s="1442"/>
      <c r="AH668" s="1442"/>
      <c r="AI668" s="1442"/>
      <c r="AJ668" s="1442"/>
      <c r="AK668" s="1442"/>
      <c r="AZ668" s="34"/>
      <c r="BA668" s="34"/>
      <c r="BB668" s="34"/>
      <c r="BC668" s="34"/>
      <c r="BD668" s="34"/>
      <c r="BE668" s="34"/>
      <c r="BF668" s="34"/>
      <c r="BG668" s="34"/>
      <c r="BH668" s="34"/>
      <c r="BI668" s="34"/>
      <c r="BJ668" s="34"/>
      <c r="BK668" s="34"/>
      <c r="BL668" s="34"/>
      <c r="BM668" s="34"/>
      <c r="DX668" s="1527" t="e">
        <f t="shared" si="4"/>
        <v>#VALUE!</v>
      </c>
      <c r="DY668" s="1527"/>
      <c r="DZ668" s="1527"/>
      <c r="EA668" s="1527"/>
      <c r="EB668" s="1527"/>
      <c r="EC668" s="1527" t="e">
        <f t="shared" si="5"/>
        <v>#VALUE!</v>
      </c>
      <c r="ED668" s="1527"/>
      <c r="EE668" s="1527"/>
      <c r="EF668" s="1527"/>
      <c r="EG668" s="1527"/>
      <c r="EH668" s="1527" t="e">
        <f t="shared" si="6"/>
        <v>#VALUE!</v>
      </c>
      <c r="EI668" s="1527"/>
      <c r="EJ668" s="1527"/>
      <c r="EK668" s="1527"/>
      <c r="EL668" s="1527"/>
      <c r="EM668" s="1527" t="e">
        <f t="shared" si="7"/>
        <v>#VALUE!</v>
      </c>
      <c r="EN668" s="1527"/>
      <c r="EO668" s="1527"/>
      <c r="EP668" s="1527"/>
      <c r="EQ668" s="1527"/>
      <c r="ER668" s="1527" t="e">
        <f t="shared" si="8"/>
        <v>#VALUE!</v>
      </c>
      <c r="ES668" s="1527"/>
      <c r="ET668" s="1527"/>
      <c r="EU668" s="1527"/>
      <c r="EV668" s="1527"/>
      <c r="EW668" s="1527" t="e">
        <f t="shared" si="9"/>
        <v>#VALUE!</v>
      </c>
      <c r="EX668" s="1527"/>
      <c r="EY668" s="1527"/>
      <c r="EZ668" s="1527"/>
      <c r="FA668" s="1527"/>
    </row>
    <row r="669" spans="1:157" ht="13" customHeight="1">
      <c r="A669" s="22"/>
      <c r="B669" t="s">
        <v>579</v>
      </c>
      <c r="G669" s="1442" t="s">
        <v>2736</v>
      </c>
      <c r="H669" s="1442"/>
      <c r="I669" s="1442"/>
      <c r="J669" s="1442"/>
      <c r="K669" s="1442"/>
      <c r="L669" s="1442"/>
      <c r="M669" s="1442"/>
      <c r="N669" s="1442"/>
      <c r="O669" s="1442"/>
      <c r="P669" s="1442"/>
      <c r="Q669" s="1442"/>
      <c r="R669" s="1442"/>
      <c r="T669" s="22"/>
      <c r="U669" t="s">
        <v>579</v>
      </c>
      <c r="Z669" s="1457" t="s">
        <v>2736</v>
      </c>
      <c r="AA669" s="1457"/>
      <c r="AB669" s="1457"/>
      <c r="AC669" s="1457"/>
      <c r="AD669" s="1457"/>
      <c r="AE669" s="1457"/>
      <c r="AF669" s="1457"/>
      <c r="AG669" s="1457"/>
      <c r="AH669" s="1457"/>
      <c r="AI669" s="1457"/>
      <c r="AJ669" s="1457"/>
      <c r="AK669" s="1457"/>
      <c r="AZ669" s="34"/>
      <c r="BA669" s="34"/>
      <c r="BB669" s="34"/>
      <c r="BC669" s="34"/>
      <c r="BD669" s="34"/>
      <c r="BE669" s="34"/>
      <c r="BF669" s="34"/>
      <c r="BG669" s="34"/>
      <c r="BH669" s="34"/>
      <c r="BI669" s="34"/>
      <c r="BJ669" s="34"/>
      <c r="BK669" s="34"/>
      <c r="BL669" s="34"/>
      <c r="BM669" s="34"/>
      <c r="DX669" s="1527" t="e">
        <f t="shared" si="4"/>
        <v>#VALUE!</v>
      </c>
      <c r="DY669" s="1527"/>
      <c r="DZ669" s="1527"/>
      <c r="EA669" s="1527"/>
      <c r="EB669" s="1527"/>
      <c r="EC669" s="1527" t="e">
        <f t="shared" si="5"/>
        <v>#VALUE!</v>
      </c>
      <c r="ED669" s="1527"/>
      <c r="EE669" s="1527"/>
      <c r="EF669" s="1527"/>
      <c r="EG669" s="1527"/>
      <c r="EH669" s="1527" t="e">
        <f t="shared" si="6"/>
        <v>#VALUE!</v>
      </c>
      <c r="EI669" s="1527"/>
      <c r="EJ669" s="1527"/>
      <c r="EK669" s="1527"/>
      <c r="EL669" s="1527"/>
      <c r="EM669" s="1527" t="e">
        <f t="shared" si="7"/>
        <v>#VALUE!</v>
      </c>
      <c r="EN669" s="1527"/>
      <c r="EO669" s="1527"/>
      <c r="EP669" s="1527"/>
      <c r="EQ669" s="1527"/>
      <c r="ER669" s="1527" t="e">
        <f t="shared" si="8"/>
        <v>#VALUE!</v>
      </c>
      <c r="ES669" s="1527"/>
      <c r="ET669" s="1527"/>
      <c r="EU669" s="1527"/>
      <c r="EV669" s="1527"/>
      <c r="EW669" s="1527" t="e">
        <f t="shared" si="9"/>
        <v>#VALUE!</v>
      </c>
      <c r="EX669" s="1527"/>
      <c r="EY669" s="1527"/>
      <c r="EZ669" s="1527"/>
      <c r="FA669" s="1527"/>
    </row>
    <row r="670" spans="1:157" ht="13" customHeight="1">
      <c r="A670" s="22"/>
      <c r="B670" t="s">
        <v>17</v>
      </c>
      <c r="G670" s="1442" t="s">
        <v>2737</v>
      </c>
      <c r="H670" s="1442"/>
      <c r="I670" s="1442"/>
      <c r="J670" s="1442"/>
      <c r="K670" s="1442"/>
      <c r="L670" s="1442"/>
      <c r="M670" s="1442"/>
      <c r="N670" s="1442"/>
      <c r="O670" s="1442"/>
      <c r="P670" s="1442"/>
      <c r="Q670" s="1442"/>
      <c r="R670" s="1442"/>
      <c r="T670" s="22"/>
      <c r="U670" t="s">
        <v>17</v>
      </c>
      <c r="Z670" s="1457" t="s">
        <v>2737</v>
      </c>
      <c r="AA670" s="1457"/>
      <c r="AB670" s="1457"/>
      <c r="AC670" s="1457"/>
      <c r="AD670" s="1457"/>
      <c r="AE670" s="1457"/>
      <c r="AF670" s="1457"/>
      <c r="AG670" s="1457"/>
      <c r="AH670" s="1457"/>
      <c r="AI670" s="1457"/>
      <c r="AJ670" s="1457"/>
      <c r="AK670" s="1457"/>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7" t="e">
        <f t="shared" si="4"/>
        <v>#VALUE!</v>
      </c>
      <c r="DY670" s="1527"/>
      <c r="DZ670" s="1527"/>
      <c r="EA670" s="1527"/>
      <c r="EB670" s="1527"/>
      <c r="EC670" s="1527" t="e">
        <f t="shared" si="5"/>
        <v>#VALUE!</v>
      </c>
      <c r="ED670" s="1527"/>
      <c r="EE670" s="1527"/>
      <c r="EF670" s="1527"/>
      <c r="EG670" s="1527"/>
      <c r="EH670" s="1527" t="e">
        <f t="shared" si="6"/>
        <v>#VALUE!</v>
      </c>
      <c r="EI670" s="1527"/>
      <c r="EJ670" s="1527"/>
      <c r="EK670" s="1527"/>
      <c r="EL670" s="1527"/>
      <c r="EM670" s="1527" t="e">
        <f t="shared" si="7"/>
        <v>#VALUE!</v>
      </c>
      <c r="EN670" s="1527"/>
      <c r="EO670" s="1527"/>
      <c r="EP670" s="1527"/>
      <c r="EQ670" s="1527"/>
      <c r="ER670" s="1527" t="e">
        <f t="shared" si="8"/>
        <v>#VALUE!</v>
      </c>
      <c r="ES670" s="1527"/>
      <c r="ET670" s="1527"/>
      <c r="EU670" s="1527"/>
      <c r="EV670" s="1527"/>
      <c r="EW670" s="1527" t="e">
        <f t="shared" si="9"/>
        <v>#VALUE!</v>
      </c>
      <c r="EX670" s="1527"/>
      <c r="EY670" s="1527"/>
      <c r="EZ670" s="1527"/>
      <c r="FA670" s="1527"/>
    </row>
    <row r="671" spans="1:157" ht="13" customHeight="1">
      <c r="A671" s="22"/>
      <c r="B671" t="s">
        <v>315</v>
      </c>
      <c r="G671" s="1441">
        <v>8182470420</v>
      </c>
      <c r="H671" s="1441"/>
      <c r="I671" s="1441"/>
      <c r="J671" s="1441"/>
      <c r="K671" s="1441"/>
      <c r="L671" s="1441"/>
      <c r="O671" s="33" t="s">
        <v>205</v>
      </c>
      <c r="P671" s="1453"/>
      <c r="Q671" s="1453"/>
      <c r="R671" s="1453"/>
      <c r="T671" s="22"/>
      <c r="U671" t="s">
        <v>315</v>
      </c>
      <c r="Z671" s="1441">
        <v>8182470420</v>
      </c>
      <c r="AA671" s="1441"/>
      <c r="AB671" s="1441"/>
      <c r="AC671" s="1441"/>
      <c r="AD671" s="1441"/>
      <c r="AE671" s="1441"/>
      <c r="AH671" s="33" t="s">
        <v>205</v>
      </c>
      <c r="AI671" s="1453"/>
      <c r="AJ671" s="1453"/>
      <c r="AK671" s="1453"/>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7" t="e">
        <f t="shared" si="4"/>
        <v>#VALUE!</v>
      </c>
      <c r="DY671" s="1527"/>
      <c r="DZ671" s="1527"/>
      <c r="EA671" s="1527"/>
      <c r="EB671" s="1527"/>
      <c r="EC671" s="1527" t="e">
        <f t="shared" si="5"/>
        <v>#VALUE!</v>
      </c>
      <c r="ED671" s="1527"/>
      <c r="EE671" s="1527"/>
      <c r="EF671" s="1527"/>
      <c r="EG671" s="1527"/>
      <c r="EH671" s="1527" t="e">
        <f t="shared" si="6"/>
        <v>#VALUE!</v>
      </c>
      <c r="EI671" s="1527"/>
      <c r="EJ671" s="1527"/>
      <c r="EK671" s="1527"/>
      <c r="EL671" s="1527"/>
      <c r="EM671" s="1527" t="e">
        <f t="shared" si="7"/>
        <v>#VALUE!</v>
      </c>
      <c r="EN671" s="1527"/>
      <c r="EO671" s="1527"/>
      <c r="EP671" s="1527"/>
      <c r="EQ671" s="1527"/>
      <c r="ER671" s="1527" t="e">
        <f t="shared" si="8"/>
        <v>#VALUE!</v>
      </c>
      <c r="ES671" s="1527"/>
      <c r="ET671" s="1527"/>
      <c r="EU671" s="1527"/>
      <c r="EV671" s="1527"/>
      <c r="EW671" s="1527" t="e">
        <f t="shared" si="9"/>
        <v>#VALUE!</v>
      </c>
      <c r="EX671" s="1527"/>
      <c r="EY671" s="1527"/>
      <c r="EZ671" s="1527"/>
      <c r="FA671" s="1527"/>
    </row>
    <row r="672" spans="1:157" ht="13" customHeight="1">
      <c r="A672" s="22"/>
      <c r="B672" t="s">
        <v>18</v>
      </c>
      <c r="H672" s="1442" t="s">
        <v>2739</v>
      </c>
      <c r="I672" s="1442"/>
      <c r="J672" s="1442"/>
      <c r="K672" s="1442"/>
      <c r="L672" s="1442"/>
      <c r="M672" s="1442"/>
      <c r="N672" s="1442"/>
      <c r="O672" s="1442"/>
      <c r="P672" s="1442"/>
      <c r="Q672" s="1442"/>
      <c r="R672" s="1442"/>
      <c r="T672" s="22"/>
      <c r="U672" t="s">
        <v>18</v>
      </c>
      <c r="AA672" s="1442" t="s">
        <v>2256</v>
      </c>
      <c r="AB672" s="1442"/>
      <c r="AC672" s="1442"/>
      <c r="AD672" s="1442"/>
      <c r="AE672" s="1442"/>
      <c r="AF672" s="1442"/>
      <c r="AG672" s="1442"/>
      <c r="AH672" s="1442"/>
      <c r="AI672" s="1442"/>
      <c r="AJ672" s="1442"/>
      <c r="AK672" s="144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7" t="e">
        <f t="shared" si="4"/>
        <v>#VALUE!</v>
      </c>
      <c r="DY672" s="1527"/>
      <c r="DZ672" s="1527"/>
      <c r="EA672" s="1527"/>
      <c r="EB672" s="1527"/>
      <c r="EC672" s="1527" t="e">
        <f t="shared" si="5"/>
        <v>#VALUE!</v>
      </c>
      <c r="ED672" s="1527"/>
      <c r="EE672" s="1527"/>
      <c r="EF672" s="1527"/>
      <c r="EG672" s="1527"/>
      <c r="EH672" s="1527" t="e">
        <f t="shared" si="6"/>
        <v>#VALUE!</v>
      </c>
      <c r="EI672" s="1527"/>
      <c r="EJ672" s="1527"/>
      <c r="EK672" s="1527"/>
      <c r="EL672" s="1527"/>
      <c r="EM672" s="1527" t="e">
        <f t="shared" si="7"/>
        <v>#VALUE!</v>
      </c>
      <c r="EN672" s="1527"/>
      <c r="EO672" s="1527"/>
      <c r="EP672" s="1527"/>
      <c r="EQ672" s="1527"/>
      <c r="ER672" s="1527" t="e">
        <f t="shared" si="8"/>
        <v>#VALUE!</v>
      </c>
      <c r="ES672" s="1527"/>
      <c r="ET672" s="1527"/>
      <c r="EU672" s="1527"/>
      <c r="EV672" s="1527"/>
      <c r="EW672" s="1527" t="e">
        <f t="shared" si="9"/>
        <v>#VALUE!</v>
      </c>
      <c r="EX672" s="1527"/>
      <c r="EY672" s="1527"/>
      <c r="EZ672" s="1527"/>
      <c r="FA672" s="1527"/>
    </row>
    <row r="673" spans="1:157" ht="13" customHeight="1">
      <c r="A673" s="22"/>
      <c r="B673" t="s">
        <v>20</v>
      </c>
      <c r="N673" s="1339" t="s">
        <v>544</v>
      </c>
      <c r="O673" s="1339"/>
      <c r="T673" s="22"/>
      <c r="U673" t="s">
        <v>20</v>
      </c>
      <c r="AG673" s="1339" t="s">
        <v>544</v>
      </c>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7" t="e">
        <f t="shared" si="4"/>
        <v>#VALUE!</v>
      </c>
      <c r="DY673" s="1527"/>
      <c r="DZ673" s="1527"/>
      <c r="EA673" s="1527"/>
      <c r="EB673" s="1527"/>
      <c r="EC673" s="1527" t="e">
        <f t="shared" si="5"/>
        <v>#VALUE!</v>
      </c>
      <c r="ED673" s="1527"/>
      <c r="EE673" s="1527"/>
      <c r="EF673" s="1527"/>
      <c r="EG673" s="1527"/>
      <c r="EH673" s="1527" t="e">
        <f t="shared" si="6"/>
        <v>#VALUE!</v>
      </c>
      <c r="EI673" s="1527"/>
      <c r="EJ673" s="1527"/>
      <c r="EK673" s="1527"/>
      <c r="EL673" s="1527"/>
      <c r="EM673" s="1527" t="e">
        <f t="shared" si="7"/>
        <v>#VALUE!</v>
      </c>
      <c r="EN673" s="1527"/>
      <c r="EO673" s="1527"/>
      <c r="EP673" s="1527"/>
      <c r="EQ673" s="1527"/>
      <c r="ER673" s="1527" t="e">
        <f t="shared" si="8"/>
        <v>#VALUE!</v>
      </c>
      <c r="ES673" s="1527"/>
      <c r="ET673" s="1527"/>
      <c r="EU673" s="1527"/>
      <c r="EV673" s="1527"/>
      <c r="EW673" s="1527" t="e">
        <f t="shared" si="9"/>
        <v>#VALUE!</v>
      </c>
      <c r="EX673" s="1527"/>
      <c r="EY673" s="1527"/>
      <c r="EZ673" s="1527"/>
      <c r="FA673" s="1527"/>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7" t="e">
        <f t="shared" si="4"/>
        <v>#VALUE!</v>
      </c>
      <c r="DY674" s="1527"/>
      <c r="DZ674" s="1527"/>
      <c r="EA674" s="1527"/>
      <c r="EB674" s="1527"/>
      <c r="EC674" s="1527" t="e">
        <f t="shared" si="5"/>
        <v>#VALUE!</v>
      </c>
      <c r="ED674" s="1527"/>
      <c r="EE674" s="1527"/>
      <c r="EF674" s="1527"/>
      <c r="EG674" s="1527"/>
      <c r="EH674" s="1527" t="e">
        <f t="shared" si="6"/>
        <v>#VALUE!</v>
      </c>
      <c r="EI674" s="1527"/>
      <c r="EJ674" s="1527"/>
      <c r="EK674" s="1527"/>
      <c r="EL674" s="1527"/>
      <c r="EM674" s="1527" t="e">
        <f t="shared" si="7"/>
        <v>#VALUE!</v>
      </c>
      <c r="EN674" s="1527"/>
      <c r="EO674" s="1527"/>
      <c r="EP674" s="1527"/>
      <c r="EQ674" s="1527"/>
      <c r="ER674" s="1527" t="e">
        <f t="shared" si="8"/>
        <v>#VALUE!</v>
      </c>
      <c r="ES674" s="1527"/>
      <c r="ET674" s="1527"/>
      <c r="EU674" s="1527"/>
      <c r="EV674" s="1527"/>
      <c r="EW674" s="1527" t="e">
        <f t="shared" si="9"/>
        <v>#VALUE!</v>
      </c>
      <c r="EX674" s="1527"/>
      <c r="EY674" s="1527"/>
      <c r="EZ674" s="1527"/>
      <c r="FA674" s="1527"/>
    </row>
    <row r="675" spans="1:157" ht="13" customHeight="1">
      <c r="A675" s="55" t="s">
        <v>454</v>
      </c>
      <c r="B675" t="s">
        <v>462</v>
      </c>
      <c r="G675" s="1452" t="str">
        <f>C641</f>
        <v>Existing Reserves</v>
      </c>
      <c r="H675" s="1452"/>
      <c r="I675" s="1452"/>
      <c r="J675" s="1452"/>
      <c r="K675" s="1452"/>
      <c r="L675" s="1452"/>
      <c r="M675" s="1452"/>
      <c r="N675" s="1452"/>
      <c r="O675" s="1452"/>
      <c r="P675" s="1452"/>
      <c r="Q675" s="1452"/>
      <c r="R675" s="1452"/>
      <c r="T675" s="55" t="s">
        <v>455</v>
      </c>
      <c r="U675" t="s">
        <v>462</v>
      </c>
      <c r="Z675" s="1452">
        <f>C642</f>
        <v>0</v>
      </c>
      <c r="AA675" s="1452"/>
      <c r="AB675" s="1452"/>
      <c r="AC675" s="1452"/>
      <c r="AD675" s="1452"/>
      <c r="AE675" s="1452"/>
      <c r="AF675" s="1452"/>
      <c r="AG675" s="1452"/>
      <c r="AH675" s="1452"/>
      <c r="AI675" s="1452"/>
      <c r="AJ675" s="1452"/>
      <c r="AK675" s="1452"/>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7" t="e">
        <f t="shared" si="4"/>
        <v>#VALUE!</v>
      </c>
      <c r="DY675" s="1527"/>
      <c r="DZ675" s="1527"/>
      <c r="EA675" s="1527"/>
      <c r="EB675" s="1527"/>
      <c r="EC675" s="1527" t="e">
        <f t="shared" si="5"/>
        <v>#VALUE!</v>
      </c>
      <c r="ED675" s="1527"/>
      <c r="EE675" s="1527"/>
      <c r="EF675" s="1527"/>
      <c r="EG675" s="1527"/>
      <c r="EH675" s="1527" t="e">
        <f t="shared" si="6"/>
        <v>#VALUE!</v>
      </c>
      <c r="EI675" s="1527"/>
      <c r="EJ675" s="1527"/>
      <c r="EK675" s="1527"/>
      <c r="EL675" s="1527"/>
      <c r="EM675" s="1527" t="e">
        <f t="shared" si="7"/>
        <v>#VALUE!</v>
      </c>
      <c r="EN675" s="1527"/>
      <c r="EO675" s="1527"/>
      <c r="EP675" s="1527"/>
      <c r="EQ675" s="1527"/>
      <c r="ER675" s="1527" t="e">
        <f t="shared" si="8"/>
        <v>#VALUE!</v>
      </c>
      <c r="ES675" s="1527"/>
      <c r="ET675" s="1527"/>
      <c r="EU675" s="1527"/>
      <c r="EV675" s="1527"/>
      <c r="EW675" s="1527" t="e">
        <f t="shared" si="9"/>
        <v>#VALUE!</v>
      </c>
      <c r="EX675" s="1527"/>
      <c r="EY675" s="1527"/>
      <c r="EZ675" s="1527"/>
      <c r="FA675" s="1527"/>
    </row>
    <row r="676" spans="1:157" ht="13" customHeight="1">
      <c r="A676" s="22"/>
      <c r="B676" t="s">
        <v>85</v>
      </c>
      <c r="G676" s="1442" t="s">
        <v>2651</v>
      </c>
      <c r="H676" s="1442"/>
      <c r="I676" s="1442"/>
      <c r="J676" s="1442"/>
      <c r="K676" s="1442"/>
      <c r="L676" s="1442"/>
      <c r="M676" s="1442"/>
      <c r="N676" s="1442"/>
      <c r="O676" s="1442"/>
      <c r="P676" s="1442"/>
      <c r="Q676" s="1442"/>
      <c r="R676" s="1442"/>
      <c r="T676" s="22"/>
      <c r="U676" t="s">
        <v>85</v>
      </c>
      <c r="Z676" s="1442"/>
      <c r="AA676" s="1442"/>
      <c r="AB676" s="1442"/>
      <c r="AC676" s="1442"/>
      <c r="AD676" s="1442"/>
      <c r="AE676" s="1442"/>
      <c r="AF676" s="1442"/>
      <c r="AG676" s="1442"/>
      <c r="AH676" s="1442"/>
      <c r="AI676" s="1442"/>
      <c r="AJ676" s="1442"/>
      <c r="AK676" s="144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7" t="e">
        <f t="shared" si="4"/>
        <v>#VALUE!</v>
      </c>
      <c r="DY676" s="1527"/>
      <c r="DZ676" s="1527"/>
      <c r="EA676" s="1527"/>
      <c r="EB676" s="1527"/>
      <c r="EC676" s="1527" t="e">
        <f t="shared" si="5"/>
        <v>#VALUE!</v>
      </c>
      <c r="ED676" s="1527"/>
      <c r="EE676" s="1527"/>
      <c r="EF676" s="1527"/>
      <c r="EG676" s="1527"/>
      <c r="EH676" s="1527" t="e">
        <f t="shared" si="6"/>
        <v>#VALUE!</v>
      </c>
      <c r="EI676" s="1527"/>
      <c r="EJ676" s="1527"/>
      <c r="EK676" s="1527"/>
      <c r="EL676" s="1527"/>
      <c r="EM676" s="1527" t="e">
        <f t="shared" si="7"/>
        <v>#VALUE!</v>
      </c>
      <c r="EN676" s="1527"/>
      <c r="EO676" s="1527"/>
      <c r="EP676" s="1527"/>
      <c r="EQ676" s="1527"/>
      <c r="ER676" s="1527" t="e">
        <f t="shared" si="8"/>
        <v>#VALUE!</v>
      </c>
      <c r="ES676" s="1527"/>
      <c r="ET676" s="1527"/>
      <c r="EU676" s="1527"/>
      <c r="EV676" s="1527"/>
      <c r="EW676" s="1527" t="e">
        <f t="shared" si="9"/>
        <v>#VALUE!</v>
      </c>
      <c r="EX676" s="1527"/>
      <c r="EY676" s="1527"/>
      <c r="EZ676" s="1527"/>
      <c r="FA676" s="1527"/>
    </row>
    <row r="677" spans="1:157" ht="13" customHeight="1">
      <c r="A677" s="22"/>
      <c r="B677" t="s">
        <v>579</v>
      </c>
      <c r="G677" s="1442" t="s">
        <v>2736</v>
      </c>
      <c r="H677" s="1442"/>
      <c r="I677" s="1442"/>
      <c r="J677" s="1442"/>
      <c r="K677" s="1442"/>
      <c r="L677" s="1442"/>
      <c r="M677" s="1442"/>
      <c r="N677" s="1442"/>
      <c r="O677" s="1442"/>
      <c r="P677" s="1442"/>
      <c r="Q677" s="1442"/>
      <c r="R677" s="1442"/>
      <c r="T677" s="22"/>
      <c r="U677" t="s">
        <v>579</v>
      </c>
      <c r="Z677" s="1457"/>
      <c r="AA677" s="1457"/>
      <c r="AB677" s="1457"/>
      <c r="AC677" s="1457"/>
      <c r="AD677" s="1457"/>
      <c r="AE677" s="1457"/>
      <c r="AF677" s="1457"/>
      <c r="AG677" s="1457"/>
      <c r="AH677" s="1457"/>
      <c r="AI677" s="1457"/>
      <c r="AJ677" s="1457"/>
      <c r="AK677" s="1457"/>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7" t="e">
        <f t="shared" si="4"/>
        <v>#VALUE!</v>
      </c>
      <c r="DY677" s="1527"/>
      <c r="DZ677" s="1527"/>
      <c r="EA677" s="1527"/>
      <c r="EB677" s="1527"/>
      <c r="EC677" s="1527" t="e">
        <f t="shared" si="5"/>
        <v>#VALUE!</v>
      </c>
      <c r="ED677" s="1527"/>
      <c r="EE677" s="1527"/>
      <c r="EF677" s="1527"/>
      <c r="EG677" s="1527"/>
      <c r="EH677" s="1527" t="e">
        <f t="shared" si="6"/>
        <v>#VALUE!</v>
      </c>
      <c r="EI677" s="1527"/>
      <c r="EJ677" s="1527"/>
      <c r="EK677" s="1527"/>
      <c r="EL677" s="1527"/>
      <c r="EM677" s="1527" t="e">
        <f t="shared" si="7"/>
        <v>#VALUE!</v>
      </c>
      <c r="EN677" s="1527"/>
      <c r="EO677" s="1527"/>
      <c r="EP677" s="1527"/>
      <c r="EQ677" s="1527"/>
      <c r="ER677" s="1527" t="e">
        <f t="shared" si="8"/>
        <v>#VALUE!</v>
      </c>
      <c r="ES677" s="1527"/>
      <c r="ET677" s="1527"/>
      <c r="EU677" s="1527"/>
      <c r="EV677" s="1527"/>
      <c r="EW677" s="1527" t="e">
        <f t="shared" si="9"/>
        <v>#VALUE!</v>
      </c>
      <c r="EX677" s="1527"/>
      <c r="EY677" s="1527"/>
      <c r="EZ677" s="1527"/>
      <c r="FA677" s="1527"/>
    </row>
    <row r="678" spans="1:157" ht="13" customHeight="1">
      <c r="A678" s="22"/>
      <c r="B678" t="s">
        <v>17</v>
      </c>
      <c r="G678" s="1442" t="s">
        <v>2737</v>
      </c>
      <c r="H678" s="1442"/>
      <c r="I678" s="1442"/>
      <c r="J678" s="1442"/>
      <c r="K678" s="1442"/>
      <c r="L678" s="1442"/>
      <c r="M678" s="1442"/>
      <c r="N678" s="1442"/>
      <c r="O678" s="1442"/>
      <c r="P678" s="1442"/>
      <c r="Q678" s="1442"/>
      <c r="R678" s="1442"/>
      <c r="T678" s="22"/>
      <c r="U678" t="s">
        <v>17</v>
      </c>
      <c r="Z678" s="1457"/>
      <c r="AA678" s="1457"/>
      <c r="AB678" s="1457"/>
      <c r="AC678" s="1457"/>
      <c r="AD678" s="1457"/>
      <c r="AE678" s="1457"/>
      <c r="AF678" s="1457"/>
      <c r="AG678" s="1457"/>
      <c r="AH678" s="1457"/>
      <c r="AI678" s="1457"/>
      <c r="AJ678" s="1457"/>
      <c r="AK678" s="1457"/>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7">
        <f>SUMIF(DX643:EB677,"&gt;0")</f>
        <v>0</v>
      </c>
      <c r="DY678" s="1527"/>
      <c r="DZ678" s="1527"/>
      <c r="EA678" s="1527"/>
      <c r="EB678" s="1527"/>
      <c r="EC678" s="1527">
        <f>SUMIF(EC643:EG677,"&gt;0")</f>
        <v>1106</v>
      </c>
      <c r="ED678" s="1527"/>
      <c r="EE678" s="1527"/>
      <c r="EF678" s="1527"/>
      <c r="EG678" s="1527"/>
      <c r="EH678" s="1527">
        <f>SUMIF(EH643:EL677,"&gt;0")</f>
        <v>0</v>
      </c>
      <c r="EI678" s="1527"/>
      <c r="EJ678" s="1527"/>
      <c r="EK678" s="1527"/>
      <c r="EL678" s="1527"/>
      <c r="EM678" s="1527">
        <f>SUMIF(EM643:EQ677,"&gt;0")</f>
        <v>0</v>
      </c>
      <c r="EN678" s="1527"/>
      <c r="EO678" s="1527"/>
      <c r="EP678" s="1527"/>
      <c r="EQ678" s="1527"/>
      <c r="ER678" s="1527">
        <f>SUMIF(ER643:EV677,"&gt;0")</f>
        <v>0</v>
      </c>
      <c r="ES678" s="1527"/>
      <c r="ET678" s="1527"/>
      <c r="EU678" s="1527"/>
      <c r="EV678" s="1527"/>
      <c r="EW678" s="1527">
        <f>SUMIF(EW643:FA677,"&gt;0")</f>
        <v>0</v>
      </c>
      <c r="EX678" s="1527"/>
      <c r="EY678" s="1527"/>
      <c r="EZ678" s="1527"/>
      <c r="FA678" s="1527"/>
    </row>
    <row r="679" spans="1:157" ht="13" customHeight="1">
      <c r="A679" s="22"/>
      <c r="B679" t="s">
        <v>315</v>
      </c>
      <c r="G679" s="1441">
        <v>8182470420</v>
      </c>
      <c r="H679" s="1441"/>
      <c r="I679" s="1441"/>
      <c r="J679" s="1441"/>
      <c r="K679" s="1441"/>
      <c r="L679" s="1441"/>
      <c r="O679" s="33" t="s">
        <v>205</v>
      </c>
      <c r="P679" s="1453"/>
      <c r="Q679" s="1453"/>
      <c r="R679" s="1453"/>
      <c r="T679" s="22"/>
      <c r="U679" t="s">
        <v>315</v>
      </c>
      <c r="Z679" s="1441"/>
      <c r="AA679" s="1441"/>
      <c r="AB679" s="1441"/>
      <c r="AC679" s="1441"/>
      <c r="AD679" s="1441"/>
      <c r="AE679" s="1441"/>
      <c r="AH679" s="33" t="s">
        <v>205</v>
      </c>
      <c r="AI679" s="1453"/>
      <c r="AJ679" s="1453"/>
      <c r="AK679" s="1453"/>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42" t="s">
        <v>2740</v>
      </c>
      <c r="I680" s="1442"/>
      <c r="J680" s="1442"/>
      <c r="K680" s="1442"/>
      <c r="L680" s="1442"/>
      <c r="M680" s="1442"/>
      <c r="N680" s="1442"/>
      <c r="O680" s="1442"/>
      <c r="P680" s="1442"/>
      <c r="Q680" s="1442"/>
      <c r="R680" s="1442"/>
      <c r="T680" s="22"/>
      <c r="U680" t="s">
        <v>18</v>
      </c>
      <c r="AA680" s="1442"/>
      <c r="AB680" s="1442"/>
      <c r="AC680" s="1442"/>
      <c r="AD680" s="1442"/>
      <c r="AE680" s="1442"/>
      <c r="AF680" s="1442"/>
      <c r="AG680" s="1442"/>
      <c r="AH680" s="1442"/>
      <c r="AI680" s="1442"/>
      <c r="AJ680" s="1442"/>
      <c r="AK680" s="144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39" t="s">
        <v>544</v>
      </c>
      <c r="O681" s="1339"/>
      <c r="T681" s="22"/>
      <c r="U681" t="s">
        <v>20</v>
      </c>
      <c r="AG681" s="1339" t="s">
        <v>668</v>
      </c>
      <c r="AH681" s="1339"/>
      <c r="AZ681" s="3"/>
    </row>
    <row r="682" spans="1:157" ht="13" customHeight="1">
      <c r="A682" s="22"/>
      <c r="T682" s="22"/>
      <c r="AZ682" s="3"/>
    </row>
    <row r="683" spans="1:157" ht="13" customHeight="1">
      <c r="A683" s="55" t="s">
        <v>460</v>
      </c>
      <c r="B683" t="s">
        <v>462</v>
      </c>
      <c r="G683" s="1452">
        <f>C643</f>
        <v>0</v>
      </c>
      <c r="H683" s="1452"/>
      <c r="I683" s="1452"/>
      <c r="J683" s="1452"/>
      <c r="K683" s="1452"/>
      <c r="L683" s="1452"/>
      <c r="M683" s="1452"/>
      <c r="N683" s="1452"/>
      <c r="O683" s="1452"/>
      <c r="P683" s="1452"/>
      <c r="Q683" s="1452"/>
      <c r="R683" s="1452"/>
      <c r="T683" s="55" t="s">
        <v>645</v>
      </c>
      <c r="U683" t="s">
        <v>462</v>
      </c>
      <c r="Z683" s="1452">
        <f>C644</f>
        <v>0</v>
      </c>
      <c r="AA683" s="1452"/>
      <c r="AB683" s="1452"/>
      <c r="AC683" s="1452"/>
      <c r="AD683" s="1452"/>
      <c r="AE683" s="1452"/>
      <c r="AF683" s="1452"/>
      <c r="AG683" s="1452"/>
      <c r="AH683" s="1452"/>
      <c r="AI683" s="1452"/>
      <c r="AJ683" s="1452"/>
      <c r="AK683" s="1452"/>
      <c r="AZ683" s="3"/>
    </row>
    <row r="684" spans="1:157" ht="13" customHeight="1">
      <c r="A684" s="22"/>
      <c r="B684" t="s">
        <v>85</v>
      </c>
      <c r="G684" s="1442"/>
      <c r="H684" s="1442"/>
      <c r="I684" s="1442"/>
      <c r="J684" s="1442"/>
      <c r="K684" s="1442"/>
      <c r="L684" s="1442"/>
      <c r="M684" s="1442"/>
      <c r="N684" s="1442"/>
      <c r="O684" s="1442"/>
      <c r="P684" s="1442"/>
      <c r="Q684" s="1442"/>
      <c r="R684" s="1442"/>
      <c r="T684" s="22"/>
      <c r="U684" t="s">
        <v>85</v>
      </c>
      <c r="Z684" s="1442"/>
      <c r="AA684" s="1442"/>
      <c r="AB684" s="1442"/>
      <c r="AC684" s="1442"/>
      <c r="AD684" s="1442"/>
      <c r="AE684" s="1442"/>
      <c r="AF684" s="1442"/>
      <c r="AG684" s="1442"/>
      <c r="AH684" s="1442"/>
      <c r="AI684" s="1442"/>
      <c r="AJ684" s="1442"/>
      <c r="AK684" s="1442"/>
      <c r="AZ684" s="3"/>
    </row>
    <row r="685" spans="1:157" ht="13" customHeight="1">
      <c r="A685" s="22"/>
      <c r="B685" t="s">
        <v>579</v>
      </c>
      <c r="G685" s="1442"/>
      <c r="H685" s="1442"/>
      <c r="I685" s="1442"/>
      <c r="J685" s="1442"/>
      <c r="K685" s="1442"/>
      <c r="L685" s="1442"/>
      <c r="M685" s="1442"/>
      <c r="N685" s="1442"/>
      <c r="O685" s="1442"/>
      <c r="P685" s="1442"/>
      <c r="Q685" s="1442"/>
      <c r="R685" s="1442"/>
      <c r="T685" s="22"/>
      <c r="U685" t="s">
        <v>579</v>
      </c>
      <c r="Z685" s="1457"/>
      <c r="AA685" s="1457"/>
      <c r="AB685" s="1457"/>
      <c r="AC685" s="1457"/>
      <c r="AD685" s="1457"/>
      <c r="AE685" s="1457"/>
      <c r="AF685" s="1457"/>
      <c r="AG685" s="1457"/>
      <c r="AH685" s="1457"/>
      <c r="AI685" s="1457"/>
      <c r="AJ685" s="1457"/>
      <c r="AK685" s="1457"/>
      <c r="AZ685" s="3"/>
    </row>
    <row r="686" spans="1:157" ht="13" customHeight="1">
      <c r="A686" s="22"/>
      <c r="B686" t="s">
        <v>17</v>
      </c>
      <c r="G686" s="1442"/>
      <c r="H686" s="1442"/>
      <c r="I686" s="1442"/>
      <c r="J686" s="1442"/>
      <c r="K686" s="1442"/>
      <c r="L686" s="1442"/>
      <c r="M686" s="1442"/>
      <c r="N686" s="1442"/>
      <c r="O686" s="1442"/>
      <c r="P686" s="1442"/>
      <c r="Q686" s="1442"/>
      <c r="R686" s="1442"/>
      <c r="T686" s="22"/>
      <c r="U686" t="s">
        <v>17</v>
      </c>
      <c r="Z686" s="1457"/>
      <c r="AA686" s="1457"/>
      <c r="AB686" s="1457"/>
      <c r="AC686" s="1457"/>
      <c r="AD686" s="1457"/>
      <c r="AE686" s="1457"/>
      <c r="AF686" s="1457"/>
      <c r="AG686" s="1457"/>
      <c r="AH686" s="1457"/>
      <c r="AI686" s="1457"/>
      <c r="AJ686" s="1457"/>
      <c r="AK686" s="1457"/>
      <c r="AZ686" s="3"/>
    </row>
    <row r="687" spans="1:157" ht="13" customHeight="1">
      <c r="A687" s="22"/>
      <c r="B687" t="s">
        <v>315</v>
      </c>
      <c r="G687" s="1441"/>
      <c r="H687" s="1441"/>
      <c r="I687" s="1441"/>
      <c r="J687" s="1441"/>
      <c r="K687" s="1441"/>
      <c r="L687" s="1441"/>
      <c r="O687" s="33" t="s">
        <v>205</v>
      </c>
      <c r="P687" s="1453"/>
      <c r="Q687" s="1453"/>
      <c r="R687" s="1453"/>
      <c r="T687" s="22"/>
      <c r="U687" t="s">
        <v>315</v>
      </c>
      <c r="Z687" s="1441"/>
      <c r="AA687" s="1441"/>
      <c r="AB687" s="1441"/>
      <c r="AC687" s="1441"/>
      <c r="AD687" s="1441"/>
      <c r="AE687" s="1441"/>
      <c r="AH687" s="33" t="s">
        <v>205</v>
      </c>
      <c r="AI687" s="1453"/>
      <c r="AJ687" s="1453"/>
      <c r="AK687" s="1453"/>
      <c r="AZ687" s="3"/>
    </row>
    <row r="688" spans="1:157" ht="13" customHeight="1">
      <c r="A688" s="22"/>
      <c r="B688" t="s">
        <v>18</v>
      </c>
      <c r="H688" s="1442"/>
      <c r="I688" s="1442"/>
      <c r="J688" s="1442"/>
      <c r="K688" s="1442"/>
      <c r="L688" s="1442"/>
      <c r="M688" s="1442"/>
      <c r="N688" s="1442"/>
      <c r="O688" s="1442"/>
      <c r="P688" s="1442"/>
      <c r="Q688" s="1442"/>
      <c r="R688" s="1442"/>
      <c r="T688" s="22"/>
      <c r="U688" t="s">
        <v>18</v>
      </c>
      <c r="AA688" s="1442"/>
      <c r="AB688" s="1442"/>
      <c r="AC688" s="1442"/>
      <c r="AD688" s="1442"/>
      <c r="AE688" s="1442"/>
      <c r="AF688" s="1442"/>
      <c r="AG688" s="1442"/>
      <c r="AH688" s="1442"/>
      <c r="AI688" s="1442"/>
      <c r="AJ688" s="1442"/>
      <c r="AK688" s="1442"/>
      <c r="AZ688" s="3"/>
    </row>
    <row r="689" spans="1:52" ht="13" customHeight="1">
      <c r="A689" s="22"/>
      <c r="B689" t="s">
        <v>20</v>
      </c>
      <c r="N689" s="1339" t="s">
        <v>668</v>
      </c>
      <c r="O689" s="1339"/>
      <c r="T689" s="22"/>
      <c r="U689" t="s">
        <v>20</v>
      </c>
      <c r="AG689" s="1339" t="s">
        <v>668</v>
      </c>
      <c r="AH689" s="1339"/>
      <c r="AZ689" s="3"/>
    </row>
    <row r="690" spans="1:52" ht="13" customHeight="1">
      <c r="A690" s="22"/>
      <c r="T690" s="22"/>
      <c r="AZ690" s="3"/>
    </row>
    <row r="691" spans="1:52" ht="13" customHeight="1">
      <c r="A691" s="55" t="s">
        <v>361</v>
      </c>
      <c r="B691" t="s">
        <v>462</v>
      </c>
      <c r="G691" s="1452">
        <f>C645</f>
        <v>0</v>
      </c>
      <c r="H691" s="1452"/>
      <c r="I691" s="1452"/>
      <c r="J691" s="1452"/>
      <c r="K691" s="1452"/>
      <c r="L691" s="1452"/>
      <c r="M691" s="1452"/>
      <c r="N691" s="1452"/>
      <c r="O691" s="1452"/>
      <c r="P691" s="1452"/>
      <c r="Q691" s="1452"/>
      <c r="R691" s="1452"/>
      <c r="T691" s="55" t="s">
        <v>362</v>
      </c>
      <c r="U691" t="s">
        <v>462</v>
      </c>
      <c r="Z691" s="1452">
        <f>C646</f>
        <v>0</v>
      </c>
      <c r="AA691" s="1452"/>
      <c r="AB691" s="1452"/>
      <c r="AC691" s="1452"/>
      <c r="AD691" s="1452"/>
      <c r="AE691" s="1452"/>
      <c r="AF691" s="1452"/>
      <c r="AG691" s="1452"/>
      <c r="AH691" s="1452"/>
      <c r="AI691" s="1452"/>
      <c r="AJ691" s="1452"/>
      <c r="AK691" s="1452"/>
      <c r="AZ691" s="3"/>
    </row>
    <row r="692" spans="1:52" ht="13" customHeight="1">
      <c r="B692" t="s">
        <v>85</v>
      </c>
      <c r="G692" s="1442"/>
      <c r="H692" s="1442"/>
      <c r="I692" s="1442"/>
      <c r="J692" s="1442"/>
      <c r="K692" s="1442"/>
      <c r="L692" s="1442"/>
      <c r="M692" s="1442"/>
      <c r="N692" s="1442"/>
      <c r="O692" s="1442"/>
      <c r="P692" s="1442"/>
      <c r="Q692" s="1442"/>
      <c r="R692" s="1442"/>
      <c r="T692" s="22"/>
      <c r="U692" t="s">
        <v>85</v>
      </c>
      <c r="Z692" s="1442"/>
      <c r="AA692" s="1442"/>
      <c r="AB692" s="1442"/>
      <c r="AC692" s="1442"/>
      <c r="AD692" s="1442"/>
      <c r="AE692" s="1442"/>
      <c r="AF692" s="1442"/>
      <c r="AG692" s="1442"/>
      <c r="AH692" s="1442"/>
      <c r="AI692" s="1442"/>
      <c r="AJ692" s="1442"/>
      <c r="AK692" s="1442"/>
      <c r="AZ692" s="3"/>
    </row>
    <row r="693" spans="1:52" ht="13" customHeight="1">
      <c r="B693" t="s">
        <v>579</v>
      </c>
      <c r="G693" s="1442"/>
      <c r="H693" s="1442"/>
      <c r="I693" s="1442"/>
      <c r="J693" s="1442"/>
      <c r="K693" s="1442"/>
      <c r="L693" s="1442"/>
      <c r="M693" s="1442"/>
      <c r="N693" s="1442"/>
      <c r="O693" s="1442"/>
      <c r="P693" s="1442"/>
      <c r="Q693" s="1442"/>
      <c r="R693" s="1442"/>
      <c r="U693" t="s">
        <v>579</v>
      </c>
      <c r="Z693" s="1457"/>
      <c r="AA693" s="1457"/>
      <c r="AB693" s="1457"/>
      <c r="AC693" s="1457"/>
      <c r="AD693" s="1457"/>
      <c r="AE693" s="1457"/>
      <c r="AF693" s="1457"/>
      <c r="AG693" s="1457"/>
      <c r="AH693" s="1457"/>
      <c r="AI693" s="1457"/>
      <c r="AJ693" s="1457"/>
      <c r="AK693" s="1457"/>
      <c r="AZ693" s="3"/>
    </row>
    <row r="694" spans="1:52" ht="13" customHeight="1">
      <c r="B694" t="s">
        <v>17</v>
      </c>
      <c r="G694" s="1442"/>
      <c r="H694" s="1442"/>
      <c r="I694" s="1442"/>
      <c r="J694" s="1442"/>
      <c r="K694" s="1442"/>
      <c r="L694" s="1442"/>
      <c r="M694" s="1442"/>
      <c r="N694" s="1442"/>
      <c r="O694" s="1442"/>
      <c r="P694" s="1442"/>
      <c r="Q694" s="1442"/>
      <c r="R694" s="1442"/>
      <c r="U694" t="s">
        <v>17</v>
      </c>
      <c r="Z694" s="1457"/>
      <c r="AA694" s="1457"/>
      <c r="AB694" s="1457"/>
      <c r="AC694" s="1457"/>
      <c r="AD694" s="1457"/>
      <c r="AE694" s="1457"/>
      <c r="AF694" s="1457"/>
      <c r="AG694" s="1457"/>
      <c r="AH694" s="1457"/>
      <c r="AI694" s="1457"/>
      <c r="AJ694" s="1457"/>
      <c r="AK694" s="1457"/>
      <c r="AZ694" s="3"/>
    </row>
    <row r="695" spans="1:52" ht="13" customHeight="1">
      <c r="B695" t="s">
        <v>315</v>
      </c>
      <c r="G695" s="1441"/>
      <c r="H695" s="1441"/>
      <c r="I695" s="1441"/>
      <c r="J695" s="1441"/>
      <c r="K695" s="1441"/>
      <c r="L695" s="1441"/>
      <c r="O695" s="33" t="s">
        <v>205</v>
      </c>
      <c r="P695" s="1453"/>
      <c r="Q695" s="1453"/>
      <c r="R695" s="1453"/>
      <c r="U695" t="s">
        <v>315</v>
      </c>
      <c r="Z695" s="1441"/>
      <c r="AA695" s="1441"/>
      <c r="AB695" s="1441"/>
      <c r="AC695" s="1441"/>
      <c r="AD695" s="1441"/>
      <c r="AE695" s="1441"/>
      <c r="AH695" s="33" t="s">
        <v>205</v>
      </c>
      <c r="AI695" s="1453"/>
      <c r="AJ695" s="1453"/>
      <c r="AK695" s="1453"/>
      <c r="AZ695" s="3"/>
    </row>
    <row r="696" spans="1:52" ht="13" customHeight="1">
      <c r="B696" t="s">
        <v>18</v>
      </c>
      <c r="H696" s="1442"/>
      <c r="I696" s="1442"/>
      <c r="J696" s="1442"/>
      <c r="K696" s="1442"/>
      <c r="L696" s="1442"/>
      <c r="M696" s="1442"/>
      <c r="N696" s="1442"/>
      <c r="O696" s="1442"/>
      <c r="P696" s="1442"/>
      <c r="Q696" s="1442"/>
      <c r="R696" s="1442"/>
      <c r="U696" t="s">
        <v>18</v>
      </c>
      <c r="AA696" s="1442"/>
      <c r="AB696" s="1442"/>
      <c r="AC696" s="1442"/>
      <c r="AD696" s="1442"/>
      <c r="AE696" s="1442"/>
      <c r="AF696" s="1442"/>
      <c r="AG696" s="1442"/>
      <c r="AH696" s="1442"/>
      <c r="AI696" s="1442"/>
      <c r="AJ696" s="1442"/>
      <c r="AK696" s="1442"/>
      <c r="AZ696" s="3"/>
    </row>
    <row r="697" spans="1:52" ht="13" customHeight="1">
      <c r="B697" t="s">
        <v>20</v>
      </c>
      <c r="N697" s="1339" t="s">
        <v>668</v>
      </c>
      <c r="O697" s="1339"/>
      <c r="U697" t="s">
        <v>20</v>
      </c>
      <c r="AG697" s="1339" t="s">
        <v>668</v>
      </c>
      <c r="AH697" s="1339"/>
      <c r="AZ697" s="3"/>
    </row>
    <row r="698" spans="1:52" ht="13" customHeight="1">
      <c r="AZ698" s="3"/>
    </row>
    <row r="699" spans="1:52" ht="13" customHeight="1">
      <c r="A699" s="2" t="s">
        <v>575</v>
      </c>
      <c r="C699" s="2" t="s">
        <v>326</v>
      </c>
      <c r="E699" s="130"/>
      <c r="F699" s="130"/>
      <c r="G699" s="130"/>
      <c r="H699" s="130"/>
      <c r="AZ699" s="3"/>
    </row>
    <row r="700" spans="1:52" ht="13" customHeight="1">
      <c r="B700" s="135"/>
      <c r="C700" s="135"/>
      <c r="D700" s="1030" t="s">
        <v>2610</v>
      </c>
      <c r="E700" s="135"/>
      <c r="F700" s="135"/>
      <c r="G700" s="135"/>
      <c r="H700" s="135"/>
      <c r="AZ700" s="3"/>
    </row>
    <row r="701" spans="1:52" ht="13" customHeight="1">
      <c r="B701" s="135"/>
      <c r="C701" s="135"/>
      <c r="E701" s="136" t="s">
        <v>433</v>
      </c>
      <c r="F701" s="135"/>
      <c r="G701" s="135"/>
      <c r="H701" s="135"/>
      <c r="AE701" s="1339" t="s">
        <v>544</v>
      </c>
      <c r="AF701" s="1339"/>
      <c r="AZ701" s="3"/>
    </row>
    <row r="702" spans="1:52" ht="13" customHeight="1">
      <c r="B702" s="135"/>
      <c r="C702" s="135"/>
      <c r="D702" s="136" t="s">
        <v>436</v>
      </c>
      <c r="E702" s="135"/>
      <c r="F702" s="135"/>
      <c r="G702" s="135"/>
      <c r="H702" s="135"/>
      <c r="AE702" s="1339" t="s">
        <v>544</v>
      </c>
      <c r="AF702" s="1339"/>
      <c r="AZ702" s="3"/>
    </row>
    <row r="703" spans="1:52" ht="13" customHeight="1">
      <c r="B703" s="135"/>
      <c r="C703" s="135"/>
      <c r="D703" s="136" t="s">
        <v>919</v>
      </c>
      <c r="E703" s="135"/>
      <c r="F703" s="135"/>
      <c r="G703" s="135"/>
      <c r="H703" s="135"/>
      <c r="AE703" s="1726">
        <v>46056</v>
      </c>
      <c r="AF703" s="1726"/>
      <c r="AG703" s="1726"/>
      <c r="AH703" s="1726"/>
      <c r="AI703" s="1726"/>
    </row>
    <row r="704" spans="1:52" ht="13" customHeight="1">
      <c r="B704" s="135"/>
      <c r="C704" s="135"/>
      <c r="D704" s="317" t="s">
        <v>982</v>
      </c>
      <c r="E704" s="135"/>
      <c r="F704" s="135"/>
      <c r="G704" s="135"/>
      <c r="H704" s="135"/>
      <c r="AE704" s="1725">
        <v>46154</v>
      </c>
      <c r="AF704" s="1725"/>
      <c r="AG704" s="1725"/>
      <c r="AH704" s="1725"/>
      <c r="AI704" s="1725"/>
    </row>
    <row r="705" spans="1:110" ht="13" customHeight="1">
      <c r="B705" s="135"/>
      <c r="C705" s="135"/>
    </row>
    <row r="706" spans="1:110" ht="13" customHeight="1">
      <c r="B706" s="135"/>
      <c r="C706" s="135"/>
      <c r="D706" s="136" t="s">
        <v>815</v>
      </c>
      <c r="E706" s="135"/>
      <c r="F706" s="135"/>
      <c r="G706" s="135"/>
      <c r="H706" s="135"/>
      <c r="AE706" s="1726">
        <v>46327</v>
      </c>
      <c r="AF706" s="1726"/>
      <c r="AG706" s="1726"/>
      <c r="AH706" s="1726"/>
      <c r="AI706" s="1726"/>
    </row>
    <row r="707" spans="1:110" ht="13" customHeight="1">
      <c r="B707" s="135"/>
      <c r="C707" s="135"/>
      <c r="D707" s="136" t="s">
        <v>434</v>
      </c>
      <c r="E707" s="135"/>
      <c r="F707" s="135"/>
      <c r="G707" s="135"/>
      <c r="H707" s="135"/>
      <c r="AE707" s="1444">
        <v>0.27500000000000002</v>
      </c>
      <c r="AF707" s="1444"/>
      <c r="AG707" s="1444"/>
      <c r="AH707" s="1444"/>
      <c r="AI707" s="1444"/>
    </row>
    <row r="708" spans="1:110" ht="13" customHeight="1">
      <c r="B708" s="135"/>
      <c r="C708" s="135"/>
      <c r="D708" s="136" t="s">
        <v>435</v>
      </c>
      <c r="E708" s="135"/>
      <c r="F708" s="135"/>
      <c r="G708" s="135"/>
      <c r="H708" s="135"/>
      <c r="W708" s="1452" t="str">
        <f>H344</f>
        <v>California Municipal Finance Authority</v>
      </c>
      <c r="X708" s="1452"/>
      <c r="Y708" s="1452"/>
      <c r="Z708" s="1452"/>
      <c r="AA708" s="1452"/>
      <c r="AB708" s="1452"/>
      <c r="AC708" s="1452"/>
      <c r="AD708" s="1452"/>
      <c r="AE708" s="1452"/>
      <c r="AF708" s="1452"/>
      <c r="AG708" s="1452"/>
      <c r="AH708" s="1452"/>
      <c r="AI708" s="1452"/>
      <c r="AJ708" s="1452"/>
      <c r="AK708" s="1452"/>
    </row>
    <row r="709" spans="1:110" ht="13" customHeight="1">
      <c r="B709" s="135"/>
      <c r="C709" s="135"/>
      <c r="D709" s="136"/>
      <c r="E709" s="135"/>
      <c r="F709" s="135"/>
      <c r="G709" s="135"/>
      <c r="H709" s="135"/>
    </row>
    <row r="710" spans="1:110" ht="13" customHeight="1">
      <c r="B710" s="135"/>
      <c r="C710" s="135"/>
      <c r="D710" s="136" t="s">
        <v>437</v>
      </c>
      <c r="E710" s="135"/>
      <c r="F710" s="135"/>
      <c r="G710" s="135"/>
      <c r="H710" s="135"/>
      <c r="AE710" s="1339" t="s">
        <v>668</v>
      </c>
      <c r="AF710" s="1339"/>
    </row>
    <row r="711" spans="1:110" ht="13" customHeight="1">
      <c r="B711" s="135"/>
      <c r="C711" s="135"/>
      <c r="D711" s="136" t="s">
        <v>441</v>
      </c>
      <c r="E711" s="135"/>
      <c r="F711" s="135"/>
      <c r="G711" s="135"/>
      <c r="H711" s="135"/>
      <c r="W711" s="1442" t="s">
        <v>590</v>
      </c>
      <c r="X711" s="1442"/>
      <c r="Y711" s="1442"/>
      <c r="Z711" s="1442"/>
      <c r="AA711" s="1442"/>
      <c r="AB711" s="1442"/>
      <c r="AC711" s="1442"/>
      <c r="AD711" s="1442"/>
      <c r="AE711" s="1442"/>
      <c r="AF711" s="1442"/>
      <c r="AG711" s="1442"/>
      <c r="AH711" s="1442"/>
      <c r="AI711" s="1442"/>
      <c r="AJ711" s="1442"/>
      <c r="AK711" s="1442"/>
    </row>
    <row r="712" spans="1:110" ht="13" customHeight="1">
      <c r="B712" s="135"/>
      <c r="C712" s="135"/>
      <c r="D712" s="136" t="s">
        <v>87</v>
      </c>
      <c r="E712" s="135"/>
      <c r="F712" s="135"/>
      <c r="G712" s="135"/>
      <c r="H712" s="135"/>
      <c r="J712" s="1442"/>
      <c r="K712" s="1442"/>
      <c r="L712" s="1442"/>
      <c r="M712" s="1442"/>
      <c r="N712" s="1442"/>
      <c r="O712" s="1442"/>
      <c r="P712" s="1442"/>
      <c r="Q712" s="1442"/>
      <c r="R712" s="1442"/>
      <c r="S712" s="1442"/>
      <c r="T712" s="1442"/>
      <c r="U712" s="1442"/>
      <c r="V712" s="1442"/>
      <c r="W712" s="1442"/>
      <c r="X712" s="1442"/>
      <c r="BB712" s="34"/>
      <c r="BC712" s="34"/>
      <c r="BD712" s="34"/>
      <c r="BE712" s="3"/>
      <c r="BF712" s="3"/>
      <c r="BJ712" s="3"/>
      <c r="BK712" s="3"/>
      <c r="BL712" s="3"/>
      <c r="BM712" s="3"/>
      <c r="BN712" s="34"/>
      <c r="BO712" s="34"/>
    </row>
    <row r="713" spans="1:110" ht="13" customHeight="1">
      <c r="B713" s="135"/>
      <c r="C713" s="135"/>
      <c r="D713" s="136" t="s">
        <v>88</v>
      </c>
      <c r="J713" s="1441"/>
      <c r="K713" s="1441"/>
      <c r="L713" s="1441"/>
      <c r="M713" s="1441"/>
      <c r="N713" s="1441"/>
      <c r="O713" s="1441"/>
      <c r="P713" s="4" t="s">
        <v>205</v>
      </c>
      <c r="Q713" s="4"/>
      <c r="R713" s="1453"/>
      <c r="S713" s="1453"/>
      <c r="T713" s="145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442</v>
      </c>
      <c r="W714" s="1442" t="s">
        <v>306</v>
      </c>
      <c r="X714" s="1442"/>
      <c r="Y714" s="1442"/>
      <c r="Z714" s="1442"/>
      <c r="AA714" s="1442"/>
      <c r="AB714" s="1442"/>
      <c r="AC714" s="1442"/>
      <c r="AD714" s="1442"/>
      <c r="AE714" s="1442"/>
      <c r="AF714" s="1442"/>
      <c r="AG714" s="1442"/>
      <c r="AH714" s="1442"/>
      <c r="AI714" s="1442"/>
      <c r="AJ714" s="1442"/>
      <c r="AK714" s="144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42" t="s">
        <v>333</v>
      </c>
      <c r="F715" s="1442"/>
      <c r="G715" s="1442"/>
      <c r="H715" s="1442"/>
      <c r="I715" s="1442"/>
      <c r="J715" s="1442"/>
      <c r="K715" s="1442"/>
      <c r="L715" s="1442"/>
      <c r="M715" s="1442"/>
      <c r="N715" s="1442"/>
      <c r="O715" s="1442"/>
      <c r="P715" s="1442"/>
      <c r="Q715" s="1442"/>
      <c r="R715" s="1442"/>
      <c r="S715" s="1442"/>
      <c r="T715" s="1442"/>
      <c r="U715" s="1442"/>
      <c r="V715" s="1442"/>
      <c r="W715" s="1442"/>
      <c r="X715" s="1442"/>
      <c r="Y715" s="1442"/>
      <c r="Z715" s="1442"/>
      <c r="AA715" s="1442"/>
      <c r="AB715" s="1442"/>
      <c r="AC715" s="1442"/>
      <c r="AD715" s="1442"/>
      <c r="AE715" s="1442"/>
      <c r="AF715" s="1442"/>
      <c r="AG715" s="1442"/>
      <c r="AH715" s="1442"/>
      <c r="AI715" s="1442"/>
      <c r="AJ715" s="1442"/>
      <c r="AK715" s="144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66" t="s">
        <v>95</v>
      </c>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423" t="s">
        <v>388</v>
      </c>
      <c r="C722" s="1424"/>
      <c r="D722" s="1424"/>
      <c r="E722" s="1424"/>
      <c r="F722" s="1425"/>
      <c r="G722" s="1423" t="s">
        <v>284</v>
      </c>
      <c r="H722" s="1424"/>
      <c r="I722" s="1424"/>
      <c r="J722" s="1425"/>
      <c r="K722" s="1713" t="s">
        <v>1667</v>
      </c>
      <c r="L722" s="1714"/>
      <c r="M722" s="1714"/>
      <c r="N722" s="1715"/>
      <c r="O722" s="1423" t="s">
        <v>446</v>
      </c>
      <c r="P722" s="1424"/>
      <c r="Q722" s="1424"/>
      <c r="R722" s="1424"/>
      <c r="S722" s="1425"/>
      <c r="T722" s="1461" t="s">
        <v>1922</v>
      </c>
      <c r="U722" s="1424"/>
      <c r="V722" s="1424"/>
      <c r="W722" s="1425"/>
      <c r="X722" s="1461" t="s">
        <v>1924</v>
      </c>
      <c r="Y722" s="1424"/>
      <c r="Z722" s="1424"/>
      <c r="AA722" s="1424"/>
      <c r="AB722" s="1425"/>
      <c r="AC722" s="1461" t="s">
        <v>1923</v>
      </c>
      <c r="AD722" s="1424"/>
      <c r="AE722" s="1424"/>
      <c r="AF722" s="1424"/>
      <c r="AG722" s="1425"/>
      <c r="AH722" s="1461" t="s">
        <v>1925</v>
      </c>
      <c r="AI722" s="1424"/>
      <c r="AJ722" s="1425"/>
      <c r="AK722" s="1461" t="s">
        <v>1952</v>
      </c>
      <c r="AL722" s="1424"/>
      <c r="AM722" s="1424"/>
      <c r="AN722" s="1424"/>
      <c r="AO722" s="142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426"/>
      <c r="C723" s="1427"/>
      <c r="D723" s="1427"/>
      <c r="E723" s="1427"/>
      <c r="F723" s="1428"/>
      <c r="G723" s="1426"/>
      <c r="H723" s="1427"/>
      <c r="I723" s="1427"/>
      <c r="J723" s="1428"/>
      <c r="K723" s="1716"/>
      <c r="L723" s="1717"/>
      <c r="M723" s="1717"/>
      <c r="N723" s="1718"/>
      <c r="O723" s="1426"/>
      <c r="P723" s="1427"/>
      <c r="Q723" s="1427"/>
      <c r="R723" s="1427"/>
      <c r="S723" s="1428"/>
      <c r="T723" s="1426"/>
      <c r="U723" s="1427"/>
      <c r="V723" s="1427"/>
      <c r="W723" s="1428"/>
      <c r="X723" s="1426"/>
      <c r="Y723" s="1427"/>
      <c r="Z723" s="1427"/>
      <c r="AA723" s="1427"/>
      <c r="AB723" s="1428"/>
      <c r="AC723" s="1426"/>
      <c r="AD723" s="1427"/>
      <c r="AE723" s="1427"/>
      <c r="AF723" s="1427"/>
      <c r="AG723" s="1428"/>
      <c r="AH723" s="1426"/>
      <c r="AI723" s="1427"/>
      <c r="AJ723" s="1428"/>
      <c r="AK723" s="1426"/>
      <c r="AL723" s="1427"/>
      <c r="AM723" s="1427"/>
      <c r="AN723" s="1427"/>
      <c r="AO723" s="142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426"/>
      <c r="C724" s="1427"/>
      <c r="D724" s="1427"/>
      <c r="E724" s="1427"/>
      <c r="F724" s="1428"/>
      <c r="G724" s="1426"/>
      <c r="H724" s="1427"/>
      <c r="I724" s="1427"/>
      <c r="J724" s="1428"/>
      <c r="K724" s="1716"/>
      <c r="L724" s="1717"/>
      <c r="M724" s="1717"/>
      <c r="N724" s="1718"/>
      <c r="O724" s="1426"/>
      <c r="P724" s="1427"/>
      <c r="Q724" s="1427"/>
      <c r="R724" s="1427"/>
      <c r="S724" s="1428"/>
      <c r="T724" s="1426"/>
      <c r="U724" s="1427"/>
      <c r="V724" s="1427"/>
      <c r="W724" s="1428"/>
      <c r="X724" s="1426"/>
      <c r="Y724" s="1427"/>
      <c r="Z724" s="1427"/>
      <c r="AA724" s="1427"/>
      <c r="AB724" s="1428"/>
      <c r="AC724" s="1426"/>
      <c r="AD724" s="1427"/>
      <c r="AE724" s="1427"/>
      <c r="AF724" s="1427"/>
      <c r="AG724" s="1428"/>
      <c r="AH724" s="1426"/>
      <c r="AI724" s="1427"/>
      <c r="AJ724" s="1428"/>
      <c r="AK724" s="1426"/>
      <c r="AL724" s="1427"/>
      <c r="AM724" s="1427"/>
      <c r="AN724" s="1427"/>
      <c r="AO724" s="1428"/>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429"/>
      <c r="C725" s="1430"/>
      <c r="D725" s="1430"/>
      <c r="E725" s="1430"/>
      <c r="F725" s="1431"/>
      <c r="G725" s="1429"/>
      <c r="H725" s="1430"/>
      <c r="I725" s="1430"/>
      <c r="J725" s="1431"/>
      <c r="K725" s="1716"/>
      <c r="L725" s="1717"/>
      <c r="M725" s="1717"/>
      <c r="N725" s="1718"/>
      <c r="O725" s="1429"/>
      <c r="P725" s="1430"/>
      <c r="Q725" s="1430"/>
      <c r="R725" s="1430"/>
      <c r="S725" s="1431"/>
      <c r="T725" s="1429"/>
      <c r="U725" s="1430"/>
      <c r="V725" s="1430"/>
      <c r="W725" s="1431"/>
      <c r="X725" s="1429"/>
      <c r="Y725" s="1430"/>
      <c r="Z725" s="1430"/>
      <c r="AA725" s="1430"/>
      <c r="AB725" s="1431"/>
      <c r="AC725" s="1429"/>
      <c r="AD725" s="1430"/>
      <c r="AE725" s="1430"/>
      <c r="AF725" s="1430"/>
      <c r="AG725" s="1431"/>
      <c r="AH725" s="1429"/>
      <c r="AI725" s="1430"/>
      <c r="AJ725" s="1431"/>
      <c r="AK725" s="1429"/>
      <c r="AL725" s="1430"/>
      <c r="AM725" s="1430"/>
      <c r="AN725" s="1430"/>
      <c r="AO725" s="1431"/>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548"/>
      <c r="CJ725" s="1550"/>
      <c r="CK725" s="121" t="s">
        <v>474</v>
      </c>
      <c r="CL725" s="122"/>
      <c r="CM725" s="1548"/>
      <c r="CN725" s="1550"/>
      <c r="CO725" s="3"/>
      <c r="CP725" s="1394" t="s">
        <v>632</v>
      </c>
      <c r="CQ725" s="1395"/>
      <c r="CR725" s="1395"/>
      <c r="CS725" s="1395"/>
      <c r="CT725" s="1396"/>
      <c r="CU725" s="1551" t="s">
        <v>324</v>
      </c>
      <c r="CV725" s="1551"/>
      <c r="CW725" s="1551"/>
      <c r="CX725" s="1551"/>
      <c r="CY725" s="1551"/>
      <c r="CZ725" s="1551" t="s">
        <v>163</v>
      </c>
      <c r="DA725" s="1551"/>
      <c r="DB725" s="1551"/>
      <c r="DC725" s="1551"/>
      <c r="DD725" s="1551"/>
      <c r="DE725" s="1551" t="s">
        <v>164</v>
      </c>
      <c r="DF725" s="1551"/>
      <c r="DG725" s="1551"/>
      <c r="DH725" s="1551"/>
      <c r="DI725" s="1551"/>
      <c r="DJ725" s="1551" t="s">
        <v>459</v>
      </c>
      <c r="DK725" s="1551"/>
      <c r="DL725" s="1551"/>
      <c r="DM725" s="1551"/>
      <c r="DN725" s="1551"/>
      <c r="DO725" s="1551" t="s">
        <v>30</v>
      </c>
      <c r="DP725" s="1551"/>
      <c r="DQ725" s="1551"/>
      <c r="DR725" s="1551"/>
      <c r="DS725" s="1551"/>
      <c r="DT725" s="89"/>
      <c r="DU725" s="1551" t="s">
        <v>632</v>
      </c>
      <c r="DV725" s="1551"/>
      <c r="DW725" s="1551"/>
      <c r="DX725" s="1551"/>
      <c r="DY725" s="1551"/>
      <c r="DZ725" s="1551" t="s">
        <v>324</v>
      </c>
      <c r="EA725" s="1551"/>
      <c r="EB725" s="1551"/>
      <c r="EC725" s="1551"/>
      <c r="ED725" s="1551"/>
      <c r="EE725" s="1551" t="s">
        <v>163</v>
      </c>
      <c r="EF725" s="1551"/>
      <c r="EG725" s="1551"/>
      <c r="EH725" s="1551"/>
      <c r="EI725" s="1551"/>
      <c r="EJ725" s="1551" t="s">
        <v>164</v>
      </c>
      <c r="EK725" s="1551"/>
      <c r="EL725" s="1551"/>
      <c r="EM725" s="1551"/>
      <c r="EN725" s="1551"/>
      <c r="EO725" s="1551" t="s">
        <v>459</v>
      </c>
      <c r="EP725" s="1551"/>
      <c r="EQ725" s="1551"/>
      <c r="ER725" s="1551"/>
      <c r="ES725" s="1551"/>
      <c r="ET725" s="1551" t="s">
        <v>30</v>
      </c>
      <c r="EU725" s="1551"/>
      <c r="EV725" s="1551"/>
      <c r="EW725" s="1551"/>
      <c r="EX725" s="1551"/>
      <c r="EY725" s="4"/>
      <c r="EZ725" s="1551" t="s">
        <v>632</v>
      </c>
      <c r="FA725" s="1551"/>
      <c r="FB725" s="1551"/>
      <c r="FC725" s="1551"/>
      <c r="FD725" s="1551"/>
      <c r="FE725" s="1551" t="s">
        <v>324</v>
      </c>
      <c r="FF725" s="1551"/>
      <c r="FG725" s="1551"/>
      <c r="FH725" s="1551"/>
      <c r="FI725" s="1551"/>
      <c r="FJ725" s="1551" t="s">
        <v>163</v>
      </c>
      <c r="FK725" s="1551"/>
      <c r="FL725" s="1551"/>
      <c r="FM725" s="1551"/>
      <c r="FN725" s="1551"/>
      <c r="FO725" s="1551" t="s">
        <v>164</v>
      </c>
      <c r="FP725" s="1551"/>
      <c r="FQ725" s="1551"/>
      <c r="FR725" s="1551"/>
      <c r="FS725" s="1551"/>
      <c r="FT725" s="1551" t="s">
        <v>459</v>
      </c>
      <c r="FU725" s="1551"/>
      <c r="FV725" s="1551"/>
      <c r="FW725" s="1551"/>
      <c r="FX725" s="1551"/>
      <c r="FY725" s="1551" t="s">
        <v>30</v>
      </c>
      <c r="FZ725" s="1551"/>
      <c r="GA725" s="1551"/>
      <c r="GB725" s="1551"/>
      <c r="GC725" s="1551"/>
    </row>
    <row r="726" spans="1:185" ht="13" customHeight="1">
      <c r="A726" s="4"/>
      <c r="B726" s="1363" t="s">
        <v>324</v>
      </c>
      <c r="C726" s="1364"/>
      <c r="D726" s="1364"/>
      <c r="E726" s="1364"/>
      <c r="F726" s="1365"/>
      <c r="G726" s="1357">
        <v>30</v>
      </c>
      <c r="H726" s="1358"/>
      <c r="I726" s="1358"/>
      <c r="J726" s="1359"/>
      <c r="K726" s="1360">
        <v>649</v>
      </c>
      <c r="L726" s="1361"/>
      <c r="M726" s="1361"/>
      <c r="N726" s="1362"/>
      <c r="O726" s="1409">
        <f>852-30</f>
        <v>822</v>
      </c>
      <c r="P726" s="1410"/>
      <c r="Q726" s="1410"/>
      <c r="R726" s="1410"/>
      <c r="S726" s="1411"/>
      <c r="T726" s="1409">
        <v>30</v>
      </c>
      <c r="U726" s="1410"/>
      <c r="V726" s="1410"/>
      <c r="W726" s="1411"/>
      <c r="X726" s="1412">
        <f t="shared" ref="X726:X749" si="10">O726+T726</f>
        <v>852</v>
      </c>
      <c r="Y726" s="1408"/>
      <c r="Z726" s="1408"/>
      <c r="AA726" s="1408"/>
      <c r="AB726" s="1413"/>
      <c r="AC726" s="1414">
        <v>0.3</v>
      </c>
      <c r="AD726" s="1415"/>
      <c r="AE726" s="1415"/>
      <c r="AF726" s="1415"/>
      <c r="AG726" s="1416"/>
      <c r="AH726" s="1432">
        <f>IF($AC726&gt;0,($X726/$AZ726), "")</f>
        <v>0.3</v>
      </c>
      <c r="AI726" s="1433"/>
      <c r="AJ726" s="1434"/>
      <c r="AK726" s="1363" t="s">
        <v>590</v>
      </c>
      <c r="AL726" s="1364"/>
      <c r="AM726" s="1364"/>
      <c r="AN726" s="1364"/>
      <c r="AO726" s="1365"/>
      <c r="AP726" s="3"/>
      <c r="AQ726" s="3"/>
      <c r="AR726" s="3"/>
      <c r="AS726" s="3"/>
      <c r="AZ726" s="118">
        <f t="shared" ref="AZ726:AZ760" si="11">IF($G726=0,"N/A",VLOOKUP($T$189,TC_Rent,(MATCH($B726,bedrooms,FALSE)),FALSE))</f>
        <v>2840</v>
      </c>
      <c r="BA726" s="3"/>
      <c r="BB726" s="3"/>
      <c r="BC726" s="3"/>
      <c r="BD726" s="3"/>
      <c r="BE726" s="204"/>
      <c r="BF726" s="293">
        <f t="shared" ref="BF726:BF760" si="12">G726</f>
        <v>30</v>
      </c>
      <c r="BG726" s="297">
        <f t="shared" ref="BG726:BG760" si="13">IF($BF$761=0,0,BF726/$BF$761)</f>
        <v>0.5</v>
      </c>
      <c r="BH726" s="298">
        <f t="shared" ref="BH726:BH760" si="14">IF(BG726=0,"",BG726*AC726)</f>
        <v>0.15</v>
      </c>
      <c r="BI726" s="3"/>
      <c r="BJ726" s="3"/>
      <c r="BK726" s="3"/>
      <c r="BL726" s="3"/>
      <c r="BM726" s="3"/>
      <c r="BN726" s="3"/>
      <c r="BS726" s="293">
        <f t="shared" ref="BS726:BS760" si="15">G726</f>
        <v>30</v>
      </c>
      <c r="BT726" s="297">
        <f t="shared" ref="BT726:BT760" si="16">IF($BS$761=0,0,BS726/$BS$761)</f>
        <v>0.5</v>
      </c>
      <c r="BU726" s="298">
        <f t="shared" ref="BU726:BU760" si="17">IF(BT726=0,"",BT726*AH726)</f>
        <v>0.15</v>
      </c>
      <c r="CC726" s="3"/>
      <c r="CD726" s="3"/>
      <c r="CE726" s="3"/>
      <c r="CF726" s="3"/>
      <c r="CG726" s="1545">
        <f>IF(AND(AC726&lt;=0.5,AC726&gt;=0.36),1,0)</f>
        <v>0</v>
      </c>
      <c r="CH726" s="1547"/>
      <c r="CI726" s="1548">
        <f>IF(CG726=1,G726,0)</f>
        <v>0</v>
      </c>
      <c r="CJ726" s="1550"/>
      <c r="CK726" s="1545">
        <f t="shared" ref="CK726:CK760" si="18">IF(AND(AC726&lt;=0.35,AC726&gt;0),1,0)</f>
        <v>1</v>
      </c>
      <c r="CL726" s="1547"/>
      <c r="CM726" s="1548">
        <f t="shared" ref="CM726:CM760" si="19">IF(CK726=1,G726,0)</f>
        <v>30</v>
      </c>
      <c r="CN726" s="1550"/>
      <c r="CO726" s="3"/>
      <c r="CP726" s="1540">
        <f t="shared" ref="CP726:CP760" si="20">IF(B726="SRO/Studio",G726,0)</f>
        <v>0</v>
      </c>
      <c r="CQ726" s="1541"/>
      <c r="CR726" s="1541"/>
      <c r="CS726" s="1541"/>
      <c r="CT726" s="1542"/>
      <c r="CU726" s="1544">
        <f t="shared" ref="CU726:CU760" si="21">IF(B726="1 Bedroom",G726,0)</f>
        <v>30</v>
      </c>
      <c r="CV726" s="1544"/>
      <c r="CW726" s="1544"/>
      <c r="CX726" s="1544"/>
      <c r="CY726" s="1544"/>
      <c r="CZ726" s="1544">
        <f t="shared" ref="CZ726:CZ760" si="22">IF(B726="2 Bedrooms",G726,0)</f>
        <v>0</v>
      </c>
      <c r="DA726" s="1544"/>
      <c r="DB726" s="1544"/>
      <c r="DC726" s="1544"/>
      <c r="DD726" s="1544"/>
      <c r="DE726" s="1544">
        <f t="shared" ref="DE726:DE760" si="23">IF(B726="3 Bedrooms",G726,0)</f>
        <v>0</v>
      </c>
      <c r="DF726" s="1544"/>
      <c r="DG726" s="1544"/>
      <c r="DH726" s="1544"/>
      <c r="DI726" s="1544"/>
      <c r="DJ726" s="1544">
        <f t="shared" ref="DJ726:DJ760" si="24">IF(B726="4 Bedrooms",G726,0)</f>
        <v>0</v>
      </c>
      <c r="DK726" s="1544"/>
      <c r="DL726" s="1544"/>
      <c r="DM726" s="1544"/>
      <c r="DN726" s="1544"/>
      <c r="DO726" s="1544">
        <f t="shared" ref="DO726:DO760" si="25">IF(B726="5 Bedrooms",G726,0)</f>
        <v>0</v>
      </c>
      <c r="DP726" s="1544"/>
      <c r="DQ726" s="1544"/>
      <c r="DR726" s="1544"/>
      <c r="DS726" s="1544"/>
      <c r="DT726" s="6"/>
      <c r="DU726" s="1539">
        <f t="shared" ref="DU726:DU760" si="26">IF(AND(B726="SRO/Studio",AC726&lt;=0.3),G726,0)</f>
        <v>0</v>
      </c>
      <c r="DV726" s="1539"/>
      <c r="DW726" s="1539"/>
      <c r="DX726" s="1539"/>
      <c r="DY726" s="1539"/>
      <c r="DZ726" s="1539">
        <f t="shared" ref="DZ726:DZ760" si="27">IF(AND(B726="1 Bedroom",AC726&lt;=0.3),G726,0)</f>
        <v>30</v>
      </c>
      <c r="EA726" s="1539"/>
      <c r="EB726" s="1539"/>
      <c r="EC726" s="1539"/>
      <c r="ED726" s="1539"/>
      <c r="EE726" s="1539">
        <f t="shared" ref="EE726:EE760" si="28">IF(AND(B726="2 Bedrooms",AC726&lt;=0.3),G726,0)</f>
        <v>0</v>
      </c>
      <c r="EF726" s="1539"/>
      <c r="EG726" s="1539"/>
      <c r="EH726" s="1539"/>
      <c r="EI726" s="1539"/>
      <c r="EJ726" s="1539">
        <f t="shared" ref="EJ726:EJ760" si="29">IF(AND(B726="3 Bedrooms",AC726&lt;=0.3),G726,0)</f>
        <v>0</v>
      </c>
      <c r="EK726" s="1539"/>
      <c r="EL726" s="1539"/>
      <c r="EM726" s="1539"/>
      <c r="EN726" s="1539"/>
      <c r="EO726" s="1539">
        <f t="shared" ref="EO726:EO760" si="30">IF(AND(B726="4 Bedrooms",AC726&lt;=0.3),G726,0)</f>
        <v>0</v>
      </c>
      <c r="EP726" s="1539"/>
      <c r="EQ726" s="1539"/>
      <c r="ER726" s="1539"/>
      <c r="ES726" s="1539"/>
      <c r="ET726" s="1539">
        <f t="shared" ref="ET726:ET760" si="31">IF(AND(B726="5 Bedrooms",AC726&lt;=0.3),G726,0)</f>
        <v>0</v>
      </c>
      <c r="EU726" s="1539"/>
      <c r="EV726" s="1539"/>
      <c r="EW726" s="1539"/>
      <c r="EX726" s="1539"/>
      <c r="EY726" s="4"/>
      <c r="EZ726" s="1545" t="str">
        <f t="shared" ref="EZ726:EZ760" si="32">IF(CP726&gt;0,O726,"")</f>
        <v/>
      </c>
      <c r="FA726" s="1546"/>
      <c r="FB726" s="1546"/>
      <c r="FC726" s="1546"/>
      <c r="FD726" s="1547"/>
      <c r="FE726" s="1545">
        <f t="shared" ref="FE726:FE760" si="33">IF(CU726&gt;0,O726,"")</f>
        <v>822</v>
      </c>
      <c r="FF726" s="1546"/>
      <c r="FG726" s="1546"/>
      <c r="FH726" s="1546"/>
      <c r="FI726" s="1547"/>
      <c r="FJ726" s="1545" t="str">
        <f t="shared" ref="FJ726:FJ760" si="34">IF(CZ726&gt;0,O726,"")</f>
        <v/>
      </c>
      <c r="FK726" s="1546"/>
      <c r="FL726" s="1546"/>
      <c r="FM726" s="1546"/>
      <c r="FN726" s="1547"/>
      <c r="FO726" s="1545" t="str">
        <f t="shared" ref="FO726:FO760" si="35">IF(DE726&gt;0,O726,"")</f>
        <v/>
      </c>
      <c r="FP726" s="1546"/>
      <c r="FQ726" s="1546"/>
      <c r="FR726" s="1546"/>
      <c r="FS726" s="1547"/>
      <c r="FT726" s="1545" t="str">
        <f t="shared" ref="FT726:FT760" si="36">IF(DJ726&gt;0,O726,"")</f>
        <v/>
      </c>
      <c r="FU726" s="1546"/>
      <c r="FV726" s="1546"/>
      <c r="FW726" s="1546"/>
      <c r="FX726" s="1547"/>
      <c r="FY726" s="1545" t="str">
        <f t="shared" ref="FY726:FY760" si="37">IF(DO726&gt;0,O726,"")</f>
        <v/>
      </c>
      <c r="FZ726" s="1546"/>
      <c r="GA726" s="1546"/>
      <c r="GB726" s="1546"/>
      <c r="GC726" s="1547"/>
    </row>
    <row r="727" spans="1:185" ht="13" customHeight="1">
      <c r="A727" s="4"/>
      <c r="B727" s="1363" t="s">
        <v>324</v>
      </c>
      <c r="C727" s="1364"/>
      <c r="D727" s="1364"/>
      <c r="E727" s="1364"/>
      <c r="F727" s="1365"/>
      <c r="G727" s="1357">
        <v>30</v>
      </c>
      <c r="H727" s="1358"/>
      <c r="I727" s="1358"/>
      <c r="J727" s="1359"/>
      <c r="K727" s="1360">
        <v>649</v>
      </c>
      <c r="L727" s="1361"/>
      <c r="M727" s="1361"/>
      <c r="N727" s="1362"/>
      <c r="O727" s="1409">
        <f>1420-30</f>
        <v>1390</v>
      </c>
      <c r="P727" s="1410"/>
      <c r="Q727" s="1410"/>
      <c r="R727" s="1410"/>
      <c r="S727" s="1411"/>
      <c r="T727" s="1409">
        <v>30</v>
      </c>
      <c r="U727" s="1410"/>
      <c r="V727" s="1410"/>
      <c r="W727" s="1411"/>
      <c r="X727" s="1412">
        <f t="shared" si="10"/>
        <v>1420</v>
      </c>
      <c r="Y727" s="1408"/>
      <c r="Z727" s="1408"/>
      <c r="AA727" s="1408"/>
      <c r="AB727" s="1413"/>
      <c r="AC727" s="1414">
        <v>0.5</v>
      </c>
      <c r="AD727" s="1415"/>
      <c r="AE727" s="1415"/>
      <c r="AF727" s="1415"/>
      <c r="AG727" s="1416"/>
      <c r="AH727" s="1432">
        <f t="shared" ref="AH727:AH760" si="38">IF($AC727&gt;0,($X727/$AZ727), "")</f>
        <v>0.5</v>
      </c>
      <c r="AI727" s="1433"/>
      <c r="AJ727" s="1434"/>
      <c r="AK727" s="1363" t="s">
        <v>590</v>
      </c>
      <c r="AL727" s="1364"/>
      <c r="AM727" s="1364"/>
      <c r="AN727" s="1364"/>
      <c r="AO727" s="1365"/>
      <c r="AP727" s="3"/>
      <c r="AQ727" s="3"/>
      <c r="AR727" s="3"/>
      <c r="AS727" s="3"/>
      <c r="AZ727" s="118">
        <f t="shared" si="11"/>
        <v>2840</v>
      </c>
      <c r="BA727" s="3"/>
      <c r="BB727" s="3"/>
      <c r="BC727" s="3"/>
      <c r="BD727" s="3"/>
      <c r="BE727" s="204"/>
      <c r="BF727" s="294">
        <f t="shared" si="12"/>
        <v>30</v>
      </c>
      <c r="BG727" s="297">
        <f t="shared" si="13"/>
        <v>0.5</v>
      </c>
      <c r="BH727" s="298">
        <f t="shared" si="14"/>
        <v>0.25</v>
      </c>
      <c r="BI727" s="3"/>
      <c r="BJ727" s="3"/>
      <c r="BK727" s="3"/>
      <c r="BL727" s="3"/>
      <c r="BM727" s="3"/>
      <c r="BN727" s="3"/>
      <c r="BS727" s="294">
        <f t="shared" si="15"/>
        <v>30</v>
      </c>
      <c r="BT727" s="297">
        <f t="shared" si="16"/>
        <v>0.5</v>
      </c>
      <c r="BU727" s="298">
        <f t="shared" si="17"/>
        <v>0.25</v>
      </c>
      <c r="CC727" s="3"/>
      <c r="CD727" s="3"/>
      <c r="CE727" s="3"/>
      <c r="CF727" s="3"/>
      <c r="CG727" s="1545">
        <f t="shared" ref="CG727:CG760" si="39">IF(AND(AC727&lt;=0.5,AC727&gt;=0.36),1,0)</f>
        <v>1</v>
      </c>
      <c r="CH727" s="1547"/>
      <c r="CI727" s="1548">
        <f t="shared" ref="CI727:CI760" si="40">IF(CG727=1,G727,0)</f>
        <v>30</v>
      </c>
      <c r="CJ727" s="1550"/>
      <c r="CK727" s="1545">
        <f t="shared" si="18"/>
        <v>0</v>
      </c>
      <c r="CL727" s="1547"/>
      <c r="CM727" s="1548">
        <f t="shared" si="19"/>
        <v>0</v>
      </c>
      <c r="CN727" s="1550"/>
      <c r="CO727" s="3"/>
      <c r="CP727" s="1540">
        <f t="shared" si="20"/>
        <v>0</v>
      </c>
      <c r="CQ727" s="1541"/>
      <c r="CR727" s="1541"/>
      <c r="CS727" s="1541"/>
      <c r="CT727" s="1542"/>
      <c r="CU727" s="1544">
        <f t="shared" si="21"/>
        <v>30</v>
      </c>
      <c r="CV727" s="1544"/>
      <c r="CW727" s="1544"/>
      <c r="CX727" s="1544"/>
      <c r="CY727" s="1544"/>
      <c r="CZ727" s="1544">
        <f t="shared" si="22"/>
        <v>0</v>
      </c>
      <c r="DA727" s="1544"/>
      <c r="DB727" s="1544"/>
      <c r="DC727" s="1544"/>
      <c r="DD727" s="1544"/>
      <c r="DE727" s="1544">
        <f t="shared" si="23"/>
        <v>0</v>
      </c>
      <c r="DF727" s="1544"/>
      <c r="DG727" s="1544"/>
      <c r="DH727" s="1544"/>
      <c r="DI727" s="1544"/>
      <c r="DJ727" s="1544">
        <f t="shared" si="24"/>
        <v>0</v>
      </c>
      <c r="DK727" s="1544"/>
      <c r="DL727" s="1544"/>
      <c r="DM727" s="1544"/>
      <c r="DN727" s="1544"/>
      <c r="DO727" s="1544">
        <f t="shared" si="25"/>
        <v>0</v>
      </c>
      <c r="DP727" s="1544"/>
      <c r="DQ727" s="1544"/>
      <c r="DR727" s="1544"/>
      <c r="DS727" s="1544"/>
      <c r="DT727" s="6"/>
      <c r="DU727" s="1539">
        <f t="shared" si="26"/>
        <v>0</v>
      </c>
      <c r="DV727" s="1539"/>
      <c r="DW727" s="1539"/>
      <c r="DX727" s="1539"/>
      <c r="DY727" s="1539"/>
      <c r="DZ727" s="1539">
        <f t="shared" si="27"/>
        <v>0</v>
      </c>
      <c r="EA727" s="1539"/>
      <c r="EB727" s="1539"/>
      <c r="EC727" s="1539"/>
      <c r="ED727" s="1539"/>
      <c r="EE727" s="1539">
        <f t="shared" si="28"/>
        <v>0</v>
      </c>
      <c r="EF727" s="1539"/>
      <c r="EG727" s="1539"/>
      <c r="EH727" s="1539"/>
      <c r="EI727" s="1539"/>
      <c r="EJ727" s="1539">
        <f t="shared" si="29"/>
        <v>0</v>
      </c>
      <c r="EK727" s="1539"/>
      <c r="EL727" s="1539"/>
      <c r="EM727" s="1539"/>
      <c r="EN727" s="1539"/>
      <c r="EO727" s="1539">
        <f t="shared" si="30"/>
        <v>0</v>
      </c>
      <c r="EP727" s="1539"/>
      <c r="EQ727" s="1539"/>
      <c r="ER727" s="1539"/>
      <c r="ES727" s="1539"/>
      <c r="ET727" s="1539">
        <f t="shared" si="31"/>
        <v>0</v>
      </c>
      <c r="EU727" s="1539"/>
      <c r="EV727" s="1539"/>
      <c r="EW727" s="1539"/>
      <c r="EX727" s="1539"/>
      <c r="EY727" s="4"/>
      <c r="EZ727" s="1545" t="str">
        <f t="shared" si="32"/>
        <v/>
      </c>
      <c r="FA727" s="1546"/>
      <c r="FB727" s="1546"/>
      <c r="FC727" s="1546"/>
      <c r="FD727" s="1547"/>
      <c r="FE727" s="1545">
        <f t="shared" si="33"/>
        <v>1390</v>
      </c>
      <c r="FF727" s="1546"/>
      <c r="FG727" s="1546"/>
      <c r="FH727" s="1546"/>
      <c r="FI727" s="1547"/>
      <c r="FJ727" s="1545" t="str">
        <f t="shared" si="34"/>
        <v/>
      </c>
      <c r="FK727" s="1546"/>
      <c r="FL727" s="1546"/>
      <c r="FM727" s="1546"/>
      <c r="FN727" s="1547"/>
      <c r="FO727" s="1545" t="str">
        <f t="shared" si="35"/>
        <v/>
      </c>
      <c r="FP727" s="1546"/>
      <c r="FQ727" s="1546"/>
      <c r="FR727" s="1546"/>
      <c r="FS727" s="1547"/>
      <c r="FT727" s="1545" t="str">
        <f t="shared" si="36"/>
        <v/>
      </c>
      <c r="FU727" s="1546"/>
      <c r="FV727" s="1546"/>
      <c r="FW727" s="1546"/>
      <c r="FX727" s="1547"/>
      <c r="FY727" s="1545" t="str">
        <f t="shared" si="37"/>
        <v/>
      </c>
      <c r="FZ727" s="1546"/>
      <c r="GA727" s="1546"/>
      <c r="GB727" s="1546"/>
      <c r="GC727" s="1547"/>
    </row>
    <row r="728" spans="1:185" ht="13" customHeight="1">
      <c r="A728" s="4"/>
      <c r="B728" s="1363"/>
      <c r="C728" s="1364"/>
      <c r="D728" s="1364"/>
      <c r="E728" s="1364"/>
      <c r="F728" s="1365"/>
      <c r="G728" s="1357"/>
      <c r="H728" s="1358"/>
      <c r="I728" s="1358"/>
      <c r="J728" s="1359"/>
      <c r="K728" s="1360"/>
      <c r="L728" s="1361"/>
      <c r="M728" s="1361"/>
      <c r="N728" s="1362"/>
      <c r="O728" s="1409"/>
      <c r="P728" s="1410"/>
      <c r="Q728" s="1410"/>
      <c r="R728" s="1410"/>
      <c r="S728" s="1411"/>
      <c r="T728" s="1409"/>
      <c r="U728" s="1410"/>
      <c r="V728" s="1410"/>
      <c r="W728" s="1411"/>
      <c r="X728" s="1412">
        <f t="shared" si="10"/>
        <v>0</v>
      </c>
      <c r="Y728" s="1408"/>
      <c r="Z728" s="1408"/>
      <c r="AA728" s="1408"/>
      <c r="AB728" s="1413"/>
      <c r="AC728" s="1414"/>
      <c r="AD728" s="1415"/>
      <c r="AE728" s="1415"/>
      <c r="AF728" s="1415"/>
      <c r="AG728" s="1416"/>
      <c r="AH728" s="1432" t="str">
        <f t="shared" si="38"/>
        <v/>
      </c>
      <c r="AI728" s="1433"/>
      <c r="AJ728" s="1434"/>
      <c r="AK728" s="1363" t="s">
        <v>590</v>
      </c>
      <c r="AL728" s="1364"/>
      <c r="AM728" s="1364"/>
      <c r="AN728" s="1364"/>
      <c r="AO728" s="1365"/>
      <c r="AP728" s="3"/>
      <c r="AQ728" s="3"/>
      <c r="AR728" s="3"/>
      <c r="AS728" s="3"/>
      <c r="AZ728" s="118" t="str">
        <f t="shared" si="11"/>
        <v>N/A</v>
      </c>
      <c r="BA728" s="3"/>
      <c r="BB728" s="3"/>
      <c r="BC728" s="3"/>
      <c r="BD728" s="3"/>
      <c r="BE728" s="204"/>
      <c r="BF728" s="294">
        <f t="shared" si="12"/>
        <v>0</v>
      </c>
      <c r="BG728" s="297">
        <f t="shared" si="13"/>
        <v>0</v>
      </c>
      <c r="BH728" s="298" t="str">
        <f t="shared" si="14"/>
        <v/>
      </c>
      <c r="BI728" s="3"/>
      <c r="BJ728" s="3"/>
      <c r="BK728" s="3"/>
      <c r="BL728" s="3"/>
      <c r="BM728" s="3"/>
      <c r="BN728" s="3"/>
      <c r="BS728" s="294">
        <f t="shared" si="15"/>
        <v>0</v>
      </c>
      <c r="BT728" s="297">
        <f t="shared" si="16"/>
        <v>0</v>
      </c>
      <c r="BU728" s="298" t="str">
        <f t="shared" si="17"/>
        <v/>
      </c>
      <c r="CC728" s="3"/>
      <c r="CD728" s="3"/>
      <c r="CE728" s="3"/>
      <c r="CF728" s="3"/>
      <c r="CG728" s="1545">
        <f t="shared" si="39"/>
        <v>0</v>
      </c>
      <c r="CH728" s="1547"/>
      <c r="CI728" s="1548">
        <f t="shared" si="40"/>
        <v>0</v>
      </c>
      <c r="CJ728" s="1550"/>
      <c r="CK728" s="1545">
        <f t="shared" si="18"/>
        <v>0</v>
      </c>
      <c r="CL728" s="1547"/>
      <c r="CM728" s="1548">
        <f t="shared" si="19"/>
        <v>0</v>
      </c>
      <c r="CN728" s="1550"/>
      <c r="CO728" s="3"/>
      <c r="CP728" s="1540">
        <f t="shared" si="20"/>
        <v>0</v>
      </c>
      <c r="CQ728" s="1541"/>
      <c r="CR728" s="1541"/>
      <c r="CS728" s="1541"/>
      <c r="CT728" s="1542"/>
      <c r="CU728" s="1544">
        <f t="shared" si="21"/>
        <v>0</v>
      </c>
      <c r="CV728" s="1544"/>
      <c r="CW728" s="1544"/>
      <c r="CX728" s="1544"/>
      <c r="CY728" s="1544"/>
      <c r="CZ728" s="1544">
        <f t="shared" si="22"/>
        <v>0</v>
      </c>
      <c r="DA728" s="1544"/>
      <c r="DB728" s="1544"/>
      <c r="DC728" s="1544"/>
      <c r="DD728" s="1544"/>
      <c r="DE728" s="1544">
        <f t="shared" si="23"/>
        <v>0</v>
      </c>
      <c r="DF728" s="1544"/>
      <c r="DG728" s="1544"/>
      <c r="DH728" s="1544"/>
      <c r="DI728" s="1544"/>
      <c r="DJ728" s="1544">
        <f t="shared" si="24"/>
        <v>0</v>
      </c>
      <c r="DK728" s="1544"/>
      <c r="DL728" s="1544"/>
      <c r="DM728" s="1544"/>
      <c r="DN728" s="1544"/>
      <c r="DO728" s="1544">
        <f t="shared" si="25"/>
        <v>0</v>
      </c>
      <c r="DP728" s="1544"/>
      <c r="DQ728" s="1544"/>
      <c r="DR728" s="1544"/>
      <c r="DS728" s="1544"/>
      <c r="DT728" s="6"/>
      <c r="DU728" s="1539">
        <f t="shared" si="26"/>
        <v>0</v>
      </c>
      <c r="DV728" s="1539"/>
      <c r="DW728" s="1539"/>
      <c r="DX728" s="1539"/>
      <c r="DY728" s="1539"/>
      <c r="DZ728" s="1539">
        <f t="shared" si="27"/>
        <v>0</v>
      </c>
      <c r="EA728" s="1539"/>
      <c r="EB728" s="1539"/>
      <c r="EC728" s="1539"/>
      <c r="ED728" s="1539"/>
      <c r="EE728" s="1539">
        <f t="shared" si="28"/>
        <v>0</v>
      </c>
      <c r="EF728" s="1539"/>
      <c r="EG728" s="1539"/>
      <c r="EH728" s="1539"/>
      <c r="EI728" s="1539"/>
      <c r="EJ728" s="1539">
        <f t="shared" si="29"/>
        <v>0</v>
      </c>
      <c r="EK728" s="1539"/>
      <c r="EL728" s="1539"/>
      <c r="EM728" s="1539"/>
      <c r="EN728" s="1539"/>
      <c r="EO728" s="1539">
        <f t="shared" si="30"/>
        <v>0</v>
      </c>
      <c r="EP728" s="1539"/>
      <c r="EQ728" s="1539"/>
      <c r="ER728" s="1539"/>
      <c r="ES728" s="1539"/>
      <c r="ET728" s="1539">
        <f t="shared" si="31"/>
        <v>0</v>
      </c>
      <c r="EU728" s="1539"/>
      <c r="EV728" s="1539"/>
      <c r="EW728" s="1539"/>
      <c r="EX728" s="1539"/>
      <c r="EZ728" s="1545" t="str">
        <f t="shared" si="32"/>
        <v/>
      </c>
      <c r="FA728" s="1546"/>
      <c r="FB728" s="1546"/>
      <c r="FC728" s="1546"/>
      <c r="FD728" s="1547"/>
      <c r="FE728" s="1545" t="str">
        <f t="shared" si="33"/>
        <v/>
      </c>
      <c r="FF728" s="1546"/>
      <c r="FG728" s="1546"/>
      <c r="FH728" s="1546"/>
      <c r="FI728" s="1547"/>
      <c r="FJ728" s="1545" t="str">
        <f t="shared" si="34"/>
        <v/>
      </c>
      <c r="FK728" s="1546"/>
      <c r="FL728" s="1546"/>
      <c r="FM728" s="1546"/>
      <c r="FN728" s="1547"/>
      <c r="FO728" s="1545" t="str">
        <f t="shared" si="35"/>
        <v/>
      </c>
      <c r="FP728" s="1546"/>
      <c r="FQ728" s="1546"/>
      <c r="FR728" s="1546"/>
      <c r="FS728" s="1547"/>
      <c r="FT728" s="1545" t="str">
        <f t="shared" si="36"/>
        <v/>
      </c>
      <c r="FU728" s="1546"/>
      <c r="FV728" s="1546"/>
      <c r="FW728" s="1546"/>
      <c r="FX728" s="1547"/>
      <c r="FY728" s="1545" t="str">
        <f t="shared" si="37"/>
        <v/>
      </c>
      <c r="FZ728" s="1546"/>
      <c r="GA728" s="1546"/>
      <c r="GB728" s="1546"/>
      <c r="GC728" s="1547"/>
    </row>
    <row r="729" spans="1:185" ht="13" customHeight="1">
      <c r="B729" s="1363"/>
      <c r="C729" s="1364"/>
      <c r="D729" s="1364"/>
      <c r="E729" s="1364"/>
      <c r="F729" s="1365"/>
      <c r="G729" s="1357"/>
      <c r="H729" s="1358"/>
      <c r="I729" s="1358"/>
      <c r="J729" s="1359"/>
      <c r="K729" s="1360"/>
      <c r="L729" s="1361"/>
      <c r="M729" s="1361"/>
      <c r="N729" s="1362"/>
      <c r="O729" s="1409"/>
      <c r="P729" s="1410"/>
      <c r="Q729" s="1410"/>
      <c r="R729" s="1410"/>
      <c r="S729" s="1411"/>
      <c r="T729" s="1409"/>
      <c r="U729" s="1410"/>
      <c r="V729" s="1410"/>
      <c r="W729" s="1411"/>
      <c r="X729" s="1412">
        <f t="shared" si="10"/>
        <v>0</v>
      </c>
      <c r="Y729" s="1408"/>
      <c r="Z729" s="1408"/>
      <c r="AA729" s="1408"/>
      <c r="AB729" s="1413"/>
      <c r="AC729" s="1414"/>
      <c r="AD729" s="1415"/>
      <c r="AE729" s="1415"/>
      <c r="AF729" s="1415"/>
      <c r="AG729" s="1416"/>
      <c r="AH729" s="1432" t="str">
        <f t="shared" si="38"/>
        <v/>
      </c>
      <c r="AI729" s="1433"/>
      <c r="AJ729" s="1434"/>
      <c r="AK729" s="1363" t="s">
        <v>590</v>
      </c>
      <c r="AL729" s="1364"/>
      <c r="AM729" s="1364"/>
      <c r="AN729" s="1364"/>
      <c r="AO729" s="1365"/>
      <c r="AP729" s="3"/>
      <c r="AQ729" s="3"/>
      <c r="AR729" s="3"/>
      <c r="AS729" s="3"/>
      <c r="AY729" s="116"/>
      <c r="AZ729" s="118" t="str">
        <f t="shared" si="11"/>
        <v>N/A</v>
      </c>
      <c r="BA729" s="3"/>
      <c r="BB729" s="3"/>
      <c r="BC729" s="3"/>
      <c r="BD729" s="3"/>
      <c r="BE729" s="204"/>
      <c r="BF729" s="294">
        <f t="shared" si="12"/>
        <v>0</v>
      </c>
      <c r="BG729" s="297">
        <f t="shared" si="13"/>
        <v>0</v>
      </c>
      <c r="BH729" s="298" t="str">
        <f t="shared" si="14"/>
        <v/>
      </c>
      <c r="BI729" s="3"/>
      <c r="BJ729" s="3"/>
      <c r="BK729" s="3"/>
      <c r="BL729" s="3"/>
      <c r="BM729" s="3"/>
      <c r="BN729" s="3"/>
      <c r="BS729" s="294">
        <f t="shared" si="15"/>
        <v>0</v>
      </c>
      <c r="BT729" s="297">
        <f t="shared" si="16"/>
        <v>0</v>
      </c>
      <c r="BU729" s="298" t="str">
        <f t="shared" si="17"/>
        <v/>
      </c>
      <c r="CC729" s="3"/>
      <c r="CD729" s="3"/>
      <c r="CE729" s="3"/>
      <c r="CF729" s="3"/>
      <c r="CG729" s="1545">
        <f t="shared" si="39"/>
        <v>0</v>
      </c>
      <c r="CH729" s="1547"/>
      <c r="CI729" s="1548">
        <f t="shared" si="40"/>
        <v>0</v>
      </c>
      <c r="CJ729" s="1550"/>
      <c r="CK729" s="1545">
        <f t="shared" si="18"/>
        <v>0</v>
      </c>
      <c r="CL729" s="1547"/>
      <c r="CM729" s="1548">
        <f t="shared" si="19"/>
        <v>0</v>
      </c>
      <c r="CN729" s="1550"/>
      <c r="CO729" s="3"/>
      <c r="CP729" s="1540">
        <f t="shared" si="20"/>
        <v>0</v>
      </c>
      <c r="CQ729" s="1541"/>
      <c r="CR729" s="1541"/>
      <c r="CS729" s="1541"/>
      <c r="CT729" s="1542"/>
      <c r="CU729" s="1544">
        <f t="shared" si="21"/>
        <v>0</v>
      </c>
      <c r="CV729" s="1544"/>
      <c r="CW729" s="1544"/>
      <c r="CX729" s="1544"/>
      <c r="CY729" s="1544"/>
      <c r="CZ729" s="1544">
        <f t="shared" si="22"/>
        <v>0</v>
      </c>
      <c r="DA729" s="1544"/>
      <c r="DB729" s="1544"/>
      <c r="DC729" s="1544"/>
      <c r="DD729" s="1544"/>
      <c r="DE729" s="1544">
        <f t="shared" si="23"/>
        <v>0</v>
      </c>
      <c r="DF729" s="1544"/>
      <c r="DG729" s="1544"/>
      <c r="DH729" s="1544"/>
      <c r="DI729" s="1544"/>
      <c r="DJ729" s="1544">
        <f t="shared" si="24"/>
        <v>0</v>
      </c>
      <c r="DK729" s="1544"/>
      <c r="DL729" s="1544"/>
      <c r="DM729" s="1544"/>
      <c r="DN729" s="1544"/>
      <c r="DO729" s="1544">
        <f t="shared" si="25"/>
        <v>0</v>
      </c>
      <c r="DP729" s="1544"/>
      <c r="DQ729" s="1544"/>
      <c r="DR729" s="1544"/>
      <c r="DS729" s="1544"/>
      <c r="DT729" s="6"/>
      <c r="DU729" s="1539">
        <f t="shared" si="26"/>
        <v>0</v>
      </c>
      <c r="DV729" s="1539"/>
      <c r="DW729" s="1539"/>
      <c r="DX729" s="1539"/>
      <c r="DY729" s="1539"/>
      <c r="DZ729" s="1539">
        <f t="shared" si="27"/>
        <v>0</v>
      </c>
      <c r="EA729" s="1539"/>
      <c r="EB729" s="1539"/>
      <c r="EC729" s="1539"/>
      <c r="ED729" s="1539"/>
      <c r="EE729" s="1539">
        <f t="shared" si="28"/>
        <v>0</v>
      </c>
      <c r="EF729" s="1539"/>
      <c r="EG729" s="1539"/>
      <c r="EH729" s="1539"/>
      <c r="EI729" s="1539"/>
      <c r="EJ729" s="1539">
        <f t="shared" si="29"/>
        <v>0</v>
      </c>
      <c r="EK729" s="1539"/>
      <c r="EL729" s="1539"/>
      <c r="EM729" s="1539"/>
      <c r="EN729" s="1539"/>
      <c r="EO729" s="1539">
        <f t="shared" si="30"/>
        <v>0</v>
      </c>
      <c r="EP729" s="1539"/>
      <c r="EQ729" s="1539"/>
      <c r="ER729" s="1539"/>
      <c r="ES729" s="1539"/>
      <c r="ET729" s="1539">
        <f t="shared" si="31"/>
        <v>0</v>
      </c>
      <c r="EU729" s="1539"/>
      <c r="EV729" s="1539"/>
      <c r="EW729" s="1539"/>
      <c r="EX729" s="1539"/>
      <c r="EZ729" s="1545" t="str">
        <f t="shared" si="32"/>
        <v/>
      </c>
      <c r="FA729" s="1546"/>
      <c r="FB729" s="1546"/>
      <c r="FC729" s="1546"/>
      <c r="FD729" s="1547"/>
      <c r="FE729" s="1545" t="str">
        <f t="shared" si="33"/>
        <v/>
      </c>
      <c r="FF729" s="1546"/>
      <c r="FG729" s="1546"/>
      <c r="FH729" s="1546"/>
      <c r="FI729" s="1547"/>
      <c r="FJ729" s="1545" t="str">
        <f t="shared" si="34"/>
        <v/>
      </c>
      <c r="FK729" s="1546"/>
      <c r="FL729" s="1546"/>
      <c r="FM729" s="1546"/>
      <c r="FN729" s="1547"/>
      <c r="FO729" s="1545" t="str">
        <f t="shared" si="35"/>
        <v/>
      </c>
      <c r="FP729" s="1546"/>
      <c r="FQ729" s="1546"/>
      <c r="FR729" s="1546"/>
      <c r="FS729" s="1547"/>
      <c r="FT729" s="1545" t="str">
        <f t="shared" si="36"/>
        <v/>
      </c>
      <c r="FU729" s="1546"/>
      <c r="FV729" s="1546"/>
      <c r="FW729" s="1546"/>
      <c r="FX729" s="1547"/>
      <c r="FY729" s="1545" t="str">
        <f t="shared" si="37"/>
        <v/>
      </c>
      <c r="FZ729" s="1546"/>
      <c r="GA729" s="1546"/>
      <c r="GB729" s="1546"/>
      <c r="GC729" s="1547"/>
    </row>
    <row r="730" spans="1:185" ht="13" customHeight="1">
      <c r="B730" s="1363"/>
      <c r="C730" s="1364"/>
      <c r="D730" s="1364"/>
      <c r="E730" s="1364"/>
      <c r="F730" s="1365"/>
      <c r="G730" s="1357"/>
      <c r="H730" s="1358"/>
      <c r="I730" s="1358"/>
      <c r="J730" s="1359"/>
      <c r="K730" s="1360"/>
      <c r="L730" s="1361"/>
      <c r="M730" s="1361"/>
      <c r="N730" s="1362"/>
      <c r="O730" s="1409"/>
      <c r="P730" s="1410"/>
      <c r="Q730" s="1410"/>
      <c r="R730" s="1410"/>
      <c r="S730" s="1411"/>
      <c r="T730" s="1409"/>
      <c r="U730" s="1410"/>
      <c r="V730" s="1410"/>
      <c r="W730" s="1411"/>
      <c r="X730" s="1412">
        <f t="shared" si="10"/>
        <v>0</v>
      </c>
      <c r="Y730" s="1408"/>
      <c r="Z730" s="1408"/>
      <c r="AA730" s="1408"/>
      <c r="AB730" s="1413"/>
      <c r="AC730" s="1414"/>
      <c r="AD730" s="1415"/>
      <c r="AE730" s="1415"/>
      <c r="AF730" s="1415"/>
      <c r="AG730" s="1416"/>
      <c r="AH730" s="1432" t="str">
        <f t="shared" si="38"/>
        <v/>
      </c>
      <c r="AI730" s="1433"/>
      <c r="AJ730" s="1434"/>
      <c r="AK730" s="1363" t="s">
        <v>590</v>
      </c>
      <c r="AL730" s="1364"/>
      <c r="AM730" s="1364"/>
      <c r="AN730" s="1364"/>
      <c r="AO730" s="1365"/>
      <c r="AP730" s="3"/>
      <c r="AQ730" s="3"/>
      <c r="AR730" s="3"/>
      <c r="AS730" s="3"/>
      <c r="AY730" s="116"/>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CC730" s="3"/>
      <c r="CD730" s="3"/>
      <c r="CE730" s="3"/>
      <c r="CF730" s="3"/>
      <c r="CG730" s="1545">
        <f t="shared" si="39"/>
        <v>0</v>
      </c>
      <c r="CH730" s="1547"/>
      <c r="CI730" s="1548">
        <f t="shared" si="40"/>
        <v>0</v>
      </c>
      <c r="CJ730" s="1550"/>
      <c r="CK730" s="1545">
        <f t="shared" si="18"/>
        <v>0</v>
      </c>
      <c r="CL730" s="1547"/>
      <c r="CM730" s="1548">
        <f t="shared" si="19"/>
        <v>0</v>
      </c>
      <c r="CN730" s="1550"/>
      <c r="CO730" s="3"/>
      <c r="CP730" s="1540">
        <f t="shared" si="20"/>
        <v>0</v>
      </c>
      <c r="CQ730" s="1541"/>
      <c r="CR730" s="1541"/>
      <c r="CS730" s="1541"/>
      <c r="CT730" s="1542"/>
      <c r="CU730" s="1544">
        <f t="shared" si="21"/>
        <v>0</v>
      </c>
      <c r="CV730" s="1544"/>
      <c r="CW730" s="1544"/>
      <c r="CX730" s="1544"/>
      <c r="CY730" s="1544"/>
      <c r="CZ730" s="1544">
        <f t="shared" si="22"/>
        <v>0</v>
      </c>
      <c r="DA730" s="1544"/>
      <c r="DB730" s="1544"/>
      <c r="DC730" s="1544"/>
      <c r="DD730" s="1544"/>
      <c r="DE730" s="1544">
        <f t="shared" si="23"/>
        <v>0</v>
      </c>
      <c r="DF730" s="1544"/>
      <c r="DG730" s="1544"/>
      <c r="DH730" s="1544"/>
      <c r="DI730" s="1544"/>
      <c r="DJ730" s="1544">
        <f t="shared" si="24"/>
        <v>0</v>
      </c>
      <c r="DK730" s="1544"/>
      <c r="DL730" s="1544"/>
      <c r="DM730" s="1544"/>
      <c r="DN730" s="1544"/>
      <c r="DO730" s="1544">
        <f t="shared" si="25"/>
        <v>0</v>
      </c>
      <c r="DP730" s="1544"/>
      <c r="DQ730" s="1544"/>
      <c r="DR730" s="1544"/>
      <c r="DS730" s="1544"/>
      <c r="DT730" s="6"/>
      <c r="DU730" s="1539">
        <f t="shared" si="26"/>
        <v>0</v>
      </c>
      <c r="DV730" s="1539"/>
      <c r="DW730" s="1539"/>
      <c r="DX730" s="1539"/>
      <c r="DY730" s="1539"/>
      <c r="DZ730" s="1539">
        <f t="shared" si="27"/>
        <v>0</v>
      </c>
      <c r="EA730" s="1539"/>
      <c r="EB730" s="1539"/>
      <c r="EC730" s="1539"/>
      <c r="ED730" s="1539"/>
      <c r="EE730" s="1539">
        <f t="shared" si="28"/>
        <v>0</v>
      </c>
      <c r="EF730" s="1539"/>
      <c r="EG730" s="1539"/>
      <c r="EH730" s="1539"/>
      <c r="EI730" s="1539"/>
      <c r="EJ730" s="1539">
        <f t="shared" si="29"/>
        <v>0</v>
      </c>
      <c r="EK730" s="1539"/>
      <c r="EL730" s="1539"/>
      <c r="EM730" s="1539"/>
      <c r="EN730" s="1539"/>
      <c r="EO730" s="1539">
        <f t="shared" si="30"/>
        <v>0</v>
      </c>
      <c r="EP730" s="1539"/>
      <c r="EQ730" s="1539"/>
      <c r="ER730" s="1539"/>
      <c r="ES730" s="1539"/>
      <c r="ET730" s="1539">
        <f t="shared" si="31"/>
        <v>0</v>
      </c>
      <c r="EU730" s="1539"/>
      <c r="EV730" s="1539"/>
      <c r="EW730" s="1539"/>
      <c r="EX730" s="1539"/>
      <c r="EZ730" s="1545" t="str">
        <f t="shared" si="32"/>
        <v/>
      </c>
      <c r="FA730" s="1546"/>
      <c r="FB730" s="1546"/>
      <c r="FC730" s="1546"/>
      <c r="FD730" s="1547"/>
      <c r="FE730" s="1545" t="str">
        <f t="shared" si="33"/>
        <v/>
      </c>
      <c r="FF730" s="1546"/>
      <c r="FG730" s="1546"/>
      <c r="FH730" s="1546"/>
      <c r="FI730" s="1547"/>
      <c r="FJ730" s="1545" t="str">
        <f t="shared" si="34"/>
        <v/>
      </c>
      <c r="FK730" s="1546"/>
      <c r="FL730" s="1546"/>
      <c r="FM730" s="1546"/>
      <c r="FN730" s="1547"/>
      <c r="FO730" s="1545" t="str">
        <f t="shared" si="35"/>
        <v/>
      </c>
      <c r="FP730" s="1546"/>
      <c r="FQ730" s="1546"/>
      <c r="FR730" s="1546"/>
      <c r="FS730" s="1547"/>
      <c r="FT730" s="1545" t="str">
        <f t="shared" si="36"/>
        <v/>
      </c>
      <c r="FU730" s="1546"/>
      <c r="FV730" s="1546"/>
      <c r="FW730" s="1546"/>
      <c r="FX730" s="1547"/>
      <c r="FY730" s="1545" t="str">
        <f t="shared" si="37"/>
        <v/>
      </c>
      <c r="FZ730" s="1546"/>
      <c r="GA730" s="1546"/>
      <c r="GB730" s="1546"/>
      <c r="GC730" s="1547"/>
    </row>
    <row r="731" spans="1:185" ht="13" customHeight="1">
      <c r="B731" s="1363"/>
      <c r="C731" s="1364"/>
      <c r="D731" s="1364"/>
      <c r="E731" s="1364"/>
      <c r="F731" s="1365"/>
      <c r="G731" s="1357"/>
      <c r="H731" s="1358"/>
      <c r="I731" s="1358"/>
      <c r="J731" s="1359"/>
      <c r="K731" s="1360"/>
      <c r="L731" s="1361"/>
      <c r="M731" s="1361"/>
      <c r="N731" s="1362"/>
      <c r="O731" s="1409"/>
      <c r="P731" s="1410"/>
      <c r="Q731" s="1410"/>
      <c r="R731" s="1410"/>
      <c r="S731" s="1411"/>
      <c r="T731" s="1409"/>
      <c r="U731" s="1410"/>
      <c r="V731" s="1410"/>
      <c r="W731" s="1411"/>
      <c r="X731" s="1412">
        <f t="shared" si="10"/>
        <v>0</v>
      </c>
      <c r="Y731" s="1408"/>
      <c r="Z731" s="1408"/>
      <c r="AA731" s="1408"/>
      <c r="AB731" s="1413"/>
      <c r="AC731" s="1414"/>
      <c r="AD731" s="1415"/>
      <c r="AE731" s="1415"/>
      <c r="AF731" s="1415"/>
      <c r="AG731" s="1416"/>
      <c r="AH731" s="1432" t="str">
        <f t="shared" si="38"/>
        <v/>
      </c>
      <c r="AI731" s="1433"/>
      <c r="AJ731" s="1434"/>
      <c r="AK731" s="1363" t="s">
        <v>590</v>
      </c>
      <c r="AL731" s="1364"/>
      <c r="AM731" s="1364"/>
      <c r="AN731" s="1364"/>
      <c r="AO731" s="1365"/>
      <c r="AP731" s="3"/>
      <c r="AQ731" s="3"/>
      <c r="AR731" s="3"/>
      <c r="AS731" s="3"/>
      <c r="AY731" s="116"/>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CC731" s="3"/>
      <c r="CD731" s="3"/>
      <c r="CE731" s="3"/>
      <c r="CF731" s="3"/>
      <c r="CG731" s="1545">
        <f t="shared" si="39"/>
        <v>0</v>
      </c>
      <c r="CH731" s="1547"/>
      <c r="CI731" s="1548">
        <f t="shared" si="40"/>
        <v>0</v>
      </c>
      <c r="CJ731" s="1550"/>
      <c r="CK731" s="1545">
        <f t="shared" si="18"/>
        <v>0</v>
      </c>
      <c r="CL731" s="1547"/>
      <c r="CM731" s="1548">
        <f t="shared" si="19"/>
        <v>0</v>
      </c>
      <c r="CN731" s="1550"/>
      <c r="CO731" s="3"/>
      <c r="CP731" s="1540">
        <f t="shared" si="20"/>
        <v>0</v>
      </c>
      <c r="CQ731" s="1541"/>
      <c r="CR731" s="1541"/>
      <c r="CS731" s="1541"/>
      <c r="CT731" s="1542"/>
      <c r="CU731" s="1544">
        <f t="shared" si="21"/>
        <v>0</v>
      </c>
      <c r="CV731" s="1544"/>
      <c r="CW731" s="1544"/>
      <c r="CX731" s="1544"/>
      <c r="CY731" s="1544"/>
      <c r="CZ731" s="1544">
        <f t="shared" si="22"/>
        <v>0</v>
      </c>
      <c r="DA731" s="1544"/>
      <c r="DB731" s="1544"/>
      <c r="DC731" s="1544"/>
      <c r="DD731" s="1544"/>
      <c r="DE731" s="1544">
        <f t="shared" si="23"/>
        <v>0</v>
      </c>
      <c r="DF731" s="1544"/>
      <c r="DG731" s="1544"/>
      <c r="DH731" s="1544"/>
      <c r="DI731" s="1544"/>
      <c r="DJ731" s="1544">
        <f t="shared" si="24"/>
        <v>0</v>
      </c>
      <c r="DK731" s="1544"/>
      <c r="DL731" s="1544"/>
      <c r="DM731" s="1544"/>
      <c r="DN731" s="1544"/>
      <c r="DO731" s="1544">
        <f t="shared" si="25"/>
        <v>0</v>
      </c>
      <c r="DP731" s="1544"/>
      <c r="DQ731" s="1544"/>
      <c r="DR731" s="1544"/>
      <c r="DS731" s="1544"/>
      <c r="DT731" s="6"/>
      <c r="DU731" s="1539">
        <f t="shared" si="26"/>
        <v>0</v>
      </c>
      <c r="DV731" s="1539"/>
      <c r="DW731" s="1539"/>
      <c r="DX731" s="1539"/>
      <c r="DY731" s="1539"/>
      <c r="DZ731" s="1539">
        <f t="shared" si="27"/>
        <v>0</v>
      </c>
      <c r="EA731" s="1539"/>
      <c r="EB731" s="1539"/>
      <c r="EC731" s="1539"/>
      <c r="ED731" s="1539"/>
      <c r="EE731" s="1539">
        <f t="shared" si="28"/>
        <v>0</v>
      </c>
      <c r="EF731" s="1539"/>
      <c r="EG731" s="1539"/>
      <c r="EH731" s="1539"/>
      <c r="EI731" s="1539"/>
      <c r="EJ731" s="1539">
        <f t="shared" si="29"/>
        <v>0</v>
      </c>
      <c r="EK731" s="1539"/>
      <c r="EL731" s="1539"/>
      <c r="EM731" s="1539"/>
      <c r="EN731" s="1539"/>
      <c r="EO731" s="1539">
        <f t="shared" si="30"/>
        <v>0</v>
      </c>
      <c r="EP731" s="1539"/>
      <c r="EQ731" s="1539"/>
      <c r="ER731" s="1539"/>
      <c r="ES731" s="1539"/>
      <c r="ET731" s="1539">
        <f t="shared" si="31"/>
        <v>0</v>
      </c>
      <c r="EU731" s="1539"/>
      <c r="EV731" s="1539"/>
      <c r="EW731" s="1539"/>
      <c r="EX731" s="1539"/>
      <c r="EZ731" s="1545" t="str">
        <f t="shared" si="32"/>
        <v/>
      </c>
      <c r="FA731" s="1546"/>
      <c r="FB731" s="1546"/>
      <c r="FC731" s="1546"/>
      <c r="FD731" s="1547"/>
      <c r="FE731" s="1545" t="str">
        <f t="shared" si="33"/>
        <v/>
      </c>
      <c r="FF731" s="1546"/>
      <c r="FG731" s="1546"/>
      <c r="FH731" s="1546"/>
      <c r="FI731" s="1547"/>
      <c r="FJ731" s="1545" t="str">
        <f t="shared" si="34"/>
        <v/>
      </c>
      <c r="FK731" s="1546"/>
      <c r="FL731" s="1546"/>
      <c r="FM731" s="1546"/>
      <c r="FN731" s="1547"/>
      <c r="FO731" s="1545" t="str">
        <f t="shared" si="35"/>
        <v/>
      </c>
      <c r="FP731" s="1546"/>
      <c r="FQ731" s="1546"/>
      <c r="FR731" s="1546"/>
      <c r="FS731" s="1547"/>
      <c r="FT731" s="1545" t="str">
        <f t="shared" si="36"/>
        <v/>
      </c>
      <c r="FU731" s="1546"/>
      <c r="FV731" s="1546"/>
      <c r="FW731" s="1546"/>
      <c r="FX731" s="1547"/>
      <c r="FY731" s="1545" t="str">
        <f t="shared" si="37"/>
        <v/>
      </c>
      <c r="FZ731" s="1546"/>
      <c r="GA731" s="1546"/>
      <c r="GB731" s="1546"/>
      <c r="GC731" s="1547"/>
    </row>
    <row r="732" spans="1:185" ht="13" customHeight="1">
      <c r="B732" s="1363"/>
      <c r="C732" s="1364"/>
      <c r="D732" s="1364"/>
      <c r="E732" s="1364"/>
      <c r="F732" s="1365"/>
      <c r="G732" s="1357"/>
      <c r="H732" s="1358"/>
      <c r="I732" s="1358"/>
      <c r="J732" s="1359"/>
      <c r="K732" s="1360"/>
      <c r="L732" s="1361"/>
      <c r="M732" s="1361"/>
      <c r="N732" s="1362"/>
      <c r="O732" s="1409"/>
      <c r="P732" s="1410"/>
      <c r="Q732" s="1410"/>
      <c r="R732" s="1410"/>
      <c r="S732" s="1411"/>
      <c r="T732" s="1409"/>
      <c r="U732" s="1410"/>
      <c r="V732" s="1410"/>
      <c r="W732" s="1411"/>
      <c r="X732" s="1412">
        <f t="shared" si="10"/>
        <v>0</v>
      </c>
      <c r="Y732" s="1408"/>
      <c r="Z732" s="1408"/>
      <c r="AA732" s="1408"/>
      <c r="AB732" s="1413"/>
      <c r="AC732" s="1414"/>
      <c r="AD732" s="1415"/>
      <c r="AE732" s="1415"/>
      <c r="AF732" s="1415"/>
      <c r="AG732" s="1416"/>
      <c r="AH732" s="1432" t="str">
        <f t="shared" si="38"/>
        <v/>
      </c>
      <c r="AI732" s="1433"/>
      <c r="AJ732" s="1434"/>
      <c r="AK732" s="1363" t="s">
        <v>590</v>
      </c>
      <c r="AL732" s="1364"/>
      <c r="AM732" s="1364"/>
      <c r="AN732" s="1364"/>
      <c r="AO732" s="1365"/>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545">
        <f t="shared" si="39"/>
        <v>0</v>
      </c>
      <c r="CH732" s="1547"/>
      <c r="CI732" s="1548">
        <f t="shared" si="40"/>
        <v>0</v>
      </c>
      <c r="CJ732" s="1550"/>
      <c r="CK732" s="1545">
        <f t="shared" si="18"/>
        <v>0</v>
      </c>
      <c r="CL732" s="1547"/>
      <c r="CM732" s="1548">
        <f t="shared" si="19"/>
        <v>0</v>
      </c>
      <c r="CN732" s="1550"/>
      <c r="CO732" s="3"/>
      <c r="CP732" s="1540">
        <f t="shared" si="20"/>
        <v>0</v>
      </c>
      <c r="CQ732" s="1541"/>
      <c r="CR732" s="1541"/>
      <c r="CS732" s="1541"/>
      <c r="CT732" s="1542"/>
      <c r="CU732" s="1544">
        <f t="shared" si="21"/>
        <v>0</v>
      </c>
      <c r="CV732" s="1544"/>
      <c r="CW732" s="1544"/>
      <c r="CX732" s="1544"/>
      <c r="CY732" s="1544"/>
      <c r="CZ732" s="1544">
        <f t="shared" si="22"/>
        <v>0</v>
      </c>
      <c r="DA732" s="1544"/>
      <c r="DB732" s="1544"/>
      <c r="DC732" s="1544"/>
      <c r="DD732" s="1544"/>
      <c r="DE732" s="1544">
        <f t="shared" si="23"/>
        <v>0</v>
      </c>
      <c r="DF732" s="1544"/>
      <c r="DG732" s="1544"/>
      <c r="DH732" s="1544"/>
      <c r="DI732" s="1544"/>
      <c r="DJ732" s="1544">
        <f t="shared" si="24"/>
        <v>0</v>
      </c>
      <c r="DK732" s="1544"/>
      <c r="DL732" s="1544"/>
      <c r="DM732" s="1544"/>
      <c r="DN732" s="1544"/>
      <c r="DO732" s="1544">
        <f t="shared" si="25"/>
        <v>0</v>
      </c>
      <c r="DP732" s="1544"/>
      <c r="DQ732" s="1544"/>
      <c r="DR732" s="1544"/>
      <c r="DS732" s="1544"/>
      <c r="DT732" s="6"/>
      <c r="DU732" s="1539">
        <f t="shared" si="26"/>
        <v>0</v>
      </c>
      <c r="DV732" s="1539"/>
      <c r="DW732" s="1539"/>
      <c r="DX732" s="1539"/>
      <c r="DY732" s="1539"/>
      <c r="DZ732" s="1539">
        <f t="shared" si="27"/>
        <v>0</v>
      </c>
      <c r="EA732" s="1539"/>
      <c r="EB732" s="1539"/>
      <c r="EC732" s="1539"/>
      <c r="ED732" s="1539"/>
      <c r="EE732" s="1539">
        <f t="shared" si="28"/>
        <v>0</v>
      </c>
      <c r="EF732" s="1539"/>
      <c r="EG732" s="1539"/>
      <c r="EH732" s="1539"/>
      <c r="EI732" s="1539"/>
      <c r="EJ732" s="1539">
        <f t="shared" si="29"/>
        <v>0</v>
      </c>
      <c r="EK732" s="1539"/>
      <c r="EL732" s="1539"/>
      <c r="EM732" s="1539"/>
      <c r="EN732" s="1539"/>
      <c r="EO732" s="1539">
        <f t="shared" si="30"/>
        <v>0</v>
      </c>
      <c r="EP732" s="1539"/>
      <c r="EQ732" s="1539"/>
      <c r="ER732" s="1539"/>
      <c r="ES732" s="1539"/>
      <c r="ET732" s="1539">
        <f t="shared" si="31"/>
        <v>0</v>
      </c>
      <c r="EU732" s="1539"/>
      <c r="EV732" s="1539"/>
      <c r="EW732" s="1539"/>
      <c r="EX732" s="1539"/>
      <c r="EZ732" s="1545" t="str">
        <f t="shared" si="32"/>
        <v/>
      </c>
      <c r="FA732" s="1546"/>
      <c r="FB732" s="1546"/>
      <c r="FC732" s="1546"/>
      <c r="FD732" s="1547"/>
      <c r="FE732" s="1545" t="str">
        <f t="shared" si="33"/>
        <v/>
      </c>
      <c r="FF732" s="1546"/>
      <c r="FG732" s="1546"/>
      <c r="FH732" s="1546"/>
      <c r="FI732" s="1547"/>
      <c r="FJ732" s="1545" t="str">
        <f t="shared" si="34"/>
        <v/>
      </c>
      <c r="FK732" s="1546"/>
      <c r="FL732" s="1546"/>
      <c r="FM732" s="1546"/>
      <c r="FN732" s="1547"/>
      <c r="FO732" s="1545" t="str">
        <f t="shared" si="35"/>
        <v/>
      </c>
      <c r="FP732" s="1546"/>
      <c r="FQ732" s="1546"/>
      <c r="FR732" s="1546"/>
      <c r="FS732" s="1547"/>
      <c r="FT732" s="1545" t="str">
        <f t="shared" si="36"/>
        <v/>
      </c>
      <c r="FU732" s="1546"/>
      <c r="FV732" s="1546"/>
      <c r="FW732" s="1546"/>
      <c r="FX732" s="1547"/>
      <c r="FY732" s="1545" t="str">
        <f t="shared" si="37"/>
        <v/>
      </c>
      <c r="FZ732" s="1546"/>
      <c r="GA732" s="1546"/>
      <c r="GB732" s="1546"/>
      <c r="GC732" s="1547"/>
    </row>
    <row r="733" spans="1:185" ht="13" customHeight="1">
      <c r="B733" s="1363"/>
      <c r="C733" s="1364"/>
      <c r="D733" s="1364"/>
      <c r="E733" s="1364"/>
      <c r="F733" s="1365"/>
      <c r="G733" s="1357"/>
      <c r="H733" s="1358"/>
      <c r="I733" s="1358"/>
      <c r="J733" s="1359"/>
      <c r="K733" s="1360"/>
      <c r="L733" s="1361"/>
      <c r="M733" s="1361"/>
      <c r="N733" s="1362"/>
      <c r="O733" s="1409"/>
      <c r="P733" s="1410"/>
      <c r="Q733" s="1410"/>
      <c r="R733" s="1410"/>
      <c r="S733" s="1411"/>
      <c r="T733" s="1409"/>
      <c r="U733" s="1410"/>
      <c r="V733" s="1410"/>
      <c r="W733" s="1411"/>
      <c r="X733" s="1412">
        <f t="shared" si="10"/>
        <v>0</v>
      </c>
      <c r="Y733" s="1408"/>
      <c r="Z733" s="1408"/>
      <c r="AA733" s="1408"/>
      <c r="AB733" s="1413"/>
      <c r="AC733" s="1414"/>
      <c r="AD733" s="1415"/>
      <c r="AE733" s="1415"/>
      <c r="AF733" s="1415"/>
      <c r="AG733" s="1416"/>
      <c r="AH733" s="1432" t="str">
        <f t="shared" si="38"/>
        <v/>
      </c>
      <c r="AI733" s="1433"/>
      <c r="AJ733" s="1434"/>
      <c r="AK733" s="1363" t="s">
        <v>590</v>
      </c>
      <c r="AL733" s="1364"/>
      <c r="AM733" s="1364"/>
      <c r="AN733" s="1364"/>
      <c r="AO733" s="1365"/>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545">
        <f t="shared" si="39"/>
        <v>0</v>
      </c>
      <c r="CH733" s="1547"/>
      <c r="CI733" s="1548">
        <f t="shared" si="40"/>
        <v>0</v>
      </c>
      <c r="CJ733" s="1550"/>
      <c r="CK733" s="1545">
        <f t="shared" si="18"/>
        <v>0</v>
      </c>
      <c r="CL733" s="1547"/>
      <c r="CM733" s="1548">
        <f t="shared" si="19"/>
        <v>0</v>
      </c>
      <c r="CN733" s="1550"/>
      <c r="CO733" s="3"/>
      <c r="CP733" s="1540">
        <f t="shared" si="20"/>
        <v>0</v>
      </c>
      <c r="CQ733" s="1541"/>
      <c r="CR733" s="1541"/>
      <c r="CS733" s="1541"/>
      <c r="CT733" s="1542"/>
      <c r="CU733" s="1544">
        <f t="shared" si="21"/>
        <v>0</v>
      </c>
      <c r="CV733" s="1544"/>
      <c r="CW733" s="1544"/>
      <c r="CX733" s="1544"/>
      <c r="CY733" s="1544"/>
      <c r="CZ733" s="1544">
        <f t="shared" si="22"/>
        <v>0</v>
      </c>
      <c r="DA733" s="1544"/>
      <c r="DB733" s="1544"/>
      <c r="DC733" s="1544"/>
      <c r="DD733" s="1544"/>
      <c r="DE733" s="1544">
        <f t="shared" si="23"/>
        <v>0</v>
      </c>
      <c r="DF733" s="1544"/>
      <c r="DG733" s="1544"/>
      <c r="DH733" s="1544"/>
      <c r="DI733" s="1544"/>
      <c r="DJ733" s="1544">
        <f t="shared" si="24"/>
        <v>0</v>
      </c>
      <c r="DK733" s="1544"/>
      <c r="DL733" s="1544"/>
      <c r="DM733" s="1544"/>
      <c r="DN733" s="1544"/>
      <c r="DO733" s="1544">
        <f t="shared" si="25"/>
        <v>0</v>
      </c>
      <c r="DP733" s="1544"/>
      <c r="DQ733" s="1544"/>
      <c r="DR733" s="1544"/>
      <c r="DS733" s="1544"/>
      <c r="DT733" s="6"/>
      <c r="DU733" s="1539">
        <f t="shared" si="26"/>
        <v>0</v>
      </c>
      <c r="DV733" s="1539"/>
      <c r="DW733" s="1539"/>
      <c r="DX733" s="1539"/>
      <c r="DY733" s="1539"/>
      <c r="DZ733" s="1539">
        <f t="shared" si="27"/>
        <v>0</v>
      </c>
      <c r="EA733" s="1539"/>
      <c r="EB733" s="1539"/>
      <c r="EC733" s="1539"/>
      <c r="ED733" s="1539"/>
      <c r="EE733" s="1539">
        <f t="shared" si="28"/>
        <v>0</v>
      </c>
      <c r="EF733" s="1539"/>
      <c r="EG733" s="1539"/>
      <c r="EH733" s="1539"/>
      <c r="EI733" s="1539"/>
      <c r="EJ733" s="1539">
        <f t="shared" si="29"/>
        <v>0</v>
      </c>
      <c r="EK733" s="1539"/>
      <c r="EL733" s="1539"/>
      <c r="EM733" s="1539"/>
      <c r="EN733" s="1539"/>
      <c r="EO733" s="1539">
        <f t="shared" si="30"/>
        <v>0</v>
      </c>
      <c r="EP733" s="1539"/>
      <c r="EQ733" s="1539"/>
      <c r="ER733" s="1539"/>
      <c r="ES733" s="1539"/>
      <c r="ET733" s="1539">
        <f t="shared" si="31"/>
        <v>0</v>
      </c>
      <c r="EU733" s="1539"/>
      <c r="EV733" s="1539"/>
      <c r="EW733" s="1539"/>
      <c r="EX733" s="1539"/>
      <c r="EZ733" s="1545" t="str">
        <f t="shared" si="32"/>
        <v/>
      </c>
      <c r="FA733" s="1546"/>
      <c r="FB733" s="1546"/>
      <c r="FC733" s="1546"/>
      <c r="FD733" s="1547"/>
      <c r="FE733" s="1545" t="str">
        <f t="shared" si="33"/>
        <v/>
      </c>
      <c r="FF733" s="1546"/>
      <c r="FG733" s="1546"/>
      <c r="FH733" s="1546"/>
      <c r="FI733" s="1547"/>
      <c r="FJ733" s="1545" t="str">
        <f t="shared" si="34"/>
        <v/>
      </c>
      <c r="FK733" s="1546"/>
      <c r="FL733" s="1546"/>
      <c r="FM733" s="1546"/>
      <c r="FN733" s="1547"/>
      <c r="FO733" s="1545" t="str">
        <f t="shared" si="35"/>
        <v/>
      </c>
      <c r="FP733" s="1546"/>
      <c r="FQ733" s="1546"/>
      <c r="FR733" s="1546"/>
      <c r="FS733" s="1547"/>
      <c r="FT733" s="1545" t="str">
        <f t="shared" si="36"/>
        <v/>
      </c>
      <c r="FU733" s="1546"/>
      <c r="FV733" s="1546"/>
      <c r="FW733" s="1546"/>
      <c r="FX733" s="1547"/>
      <c r="FY733" s="1545" t="str">
        <f t="shared" si="37"/>
        <v/>
      </c>
      <c r="FZ733" s="1546"/>
      <c r="GA733" s="1546"/>
      <c r="GB733" s="1546"/>
      <c r="GC733" s="1547"/>
    </row>
    <row r="734" spans="1:185" ht="13" customHeight="1">
      <c r="B734" s="1363"/>
      <c r="C734" s="1364"/>
      <c r="D734" s="1364"/>
      <c r="E734" s="1364"/>
      <c r="F734" s="1365"/>
      <c r="G734" s="1357"/>
      <c r="H734" s="1358"/>
      <c r="I734" s="1358"/>
      <c r="J734" s="1359"/>
      <c r="K734" s="1360"/>
      <c r="L734" s="1361"/>
      <c r="M734" s="1361"/>
      <c r="N734" s="1362"/>
      <c r="O734" s="1409"/>
      <c r="P734" s="1410"/>
      <c r="Q734" s="1410"/>
      <c r="R734" s="1410"/>
      <c r="S734" s="1411"/>
      <c r="T734" s="1409"/>
      <c r="U734" s="1410"/>
      <c r="V734" s="1410"/>
      <c r="W734" s="1411"/>
      <c r="X734" s="1412">
        <f t="shared" si="10"/>
        <v>0</v>
      </c>
      <c r="Y734" s="1408"/>
      <c r="Z734" s="1408"/>
      <c r="AA734" s="1408"/>
      <c r="AB734" s="1413"/>
      <c r="AC734" s="1414"/>
      <c r="AD734" s="1415"/>
      <c r="AE734" s="1415"/>
      <c r="AF734" s="1415"/>
      <c r="AG734" s="1416"/>
      <c r="AH734" s="1432" t="str">
        <f t="shared" si="38"/>
        <v/>
      </c>
      <c r="AI734" s="1433"/>
      <c r="AJ734" s="1434"/>
      <c r="AK734" s="1363" t="s">
        <v>590</v>
      </c>
      <c r="AL734" s="1364"/>
      <c r="AM734" s="1364"/>
      <c r="AN734" s="1364"/>
      <c r="AO734" s="1365"/>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545">
        <f t="shared" si="39"/>
        <v>0</v>
      </c>
      <c r="CH734" s="1547"/>
      <c r="CI734" s="1548">
        <f t="shared" si="40"/>
        <v>0</v>
      </c>
      <c r="CJ734" s="1550"/>
      <c r="CK734" s="1545">
        <f t="shared" si="18"/>
        <v>0</v>
      </c>
      <c r="CL734" s="1547"/>
      <c r="CM734" s="1548">
        <f t="shared" si="19"/>
        <v>0</v>
      </c>
      <c r="CN734" s="1550"/>
      <c r="CO734" s="3"/>
      <c r="CP734" s="1540">
        <f t="shared" si="20"/>
        <v>0</v>
      </c>
      <c r="CQ734" s="1541"/>
      <c r="CR734" s="1541"/>
      <c r="CS734" s="1541"/>
      <c r="CT734" s="1542"/>
      <c r="CU734" s="1544">
        <f t="shared" si="21"/>
        <v>0</v>
      </c>
      <c r="CV734" s="1544"/>
      <c r="CW734" s="1544"/>
      <c r="CX734" s="1544"/>
      <c r="CY734" s="1544"/>
      <c r="CZ734" s="1544">
        <f t="shared" si="22"/>
        <v>0</v>
      </c>
      <c r="DA734" s="1544"/>
      <c r="DB734" s="1544"/>
      <c r="DC734" s="1544"/>
      <c r="DD734" s="1544"/>
      <c r="DE734" s="1544">
        <f t="shared" si="23"/>
        <v>0</v>
      </c>
      <c r="DF734" s="1544"/>
      <c r="DG734" s="1544"/>
      <c r="DH734" s="1544"/>
      <c r="DI734" s="1544"/>
      <c r="DJ734" s="1544">
        <f t="shared" si="24"/>
        <v>0</v>
      </c>
      <c r="DK734" s="1544"/>
      <c r="DL734" s="1544"/>
      <c r="DM734" s="1544"/>
      <c r="DN734" s="1544"/>
      <c r="DO734" s="1544">
        <f t="shared" si="25"/>
        <v>0</v>
      </c>
      <c r="DP734" s="1544"/>
      <c r="DQ734" s="1544"/>
      <c r="DR734" s="1544"/>
      <c r="DS734" s="1544"/>
      <c r="DT734" s="6"/>
      <c r="DU734" s="1539">
        <f t="shared" si="26"/>
        <v>0</v>
      </c>
      <c r="DV734" s="1539"/>
      <c r="DW734" s="1539"/>
      <c r="DX734" s="1539"/>
      <c r="DY734" s="1539"/>
      <c r="DZ734" s="1539">
        <f t="shared" si="27"/>
        <v>0</v>
      </c>
      <c r="EA734" s="1539"/>
      <c r="EB734" s="1539"/>
      <c r="EC734" s="1539"/>
      <c r="ED734" s="1539"/>
      <c r="EE734" s="1539">
        <f t="shared" si="28"/>
        <v>0</v>
      </c>
      <c r="EF734" s="1539"/>
      <c r="EG734" s="1539"/>
      <c r="EH734" s="1539"/>
      <c r="EI734" s="1539"/>
      <c r="EJ734" s="1539">
        <f t="shared" si="29"/>
        <v>0</v>
      </c>
      <c r="EK734" s="1539"/>
      <c r="EL734" s="1539"/>
      <c r="EM734" s="1539"/>
      <c r="EN734" s="1539"/>
      <c r="EO734" s="1539">
        <f t="shared" si="30"/>
        <v>0</v>
      </c>
      <c r="EP734" s="1539"/>
      <c r="EQ734" s="1539"/>
      <c r="ER734" s="1539"/>
      <c r="ES734" s="1539"/>
      <c r="ET734" s="1539">
        <f t="shared" si="31"/>
        <v>0</v>
      </c>
      <c r="EU734" s="1539"/>
      <c r="EV734" s="1539"/>
      <c r="EW734" s="1539"/>
      <c r="EX734" s="1539"/>
      <c r="EY734" s="4"/>
      <c r="EZ734" s="1545" t="str">
        <f t="shared" si="32"/>
        <v/>
      </c>
      <c r="FA734" s="1546"/>
      <c r="FB734" s="1546"/>
      <c r="FC734" s="1546"/>
      <c r="FD734" s="1547"/>
      <c r="FE734" s="1545" t="str">
        <f t="shared" si="33"/>
        <v/>
      </c>
      <c r="FF734" s="1546"/>
      <c r="FG734" s="1546"/>
      <c r="FH734" s="1546"/>
      <c r="FI734" s="1547"/>
      <c r="FJ734" s="1545" t="str">
        <f t="shared" si="34"/>
        <v/>
      </c>
      <c r="FK734" s="1546"/>
      <c r="FL734" s="1546"/>
      <c r="FM734" s="1546"/>
      <c r="FN734" s="1547"/>
      <c r="FO734" s="1545" t="str">
        <f t="shared" si="35"/>
        <v/>
      </c>
      <c r="FP734" s="1546"/>
      <c r="FQ734" s="1546"/>
      <c r="FR734" s="1546"/>
      <c r="FS734" s="1547"/>
      <c r="FT734" s="1545" t="str">
        <f t="shared" si="36"/>
        <v/>
      </c>
      <c r="FU734" s="1546"/>
      <c r="FV734" s="1546"/>
      <c r="FW734" s="1546"/>
      <c r="FX734" s="1547"/>
      <c r="FY734" s="1545" t="str">
        <f t="shared" si="37"/>
        <v/>
      </c>
      <c r="FZ734" s="1546"/>
      <c r="GA734" s="1546"/>
      <c r="GB734" s="1546"/>
      <c r="GC734" s="1547"/>
    </row>
    <row r="735" spans="1:185" ht="13" customHeight="1">
      <c r="A735" s="4"/>
      <c r="B735" s="1363"/>
      <c r="C735" s="1364"/>
      <c r="D735" s="1364"/>
      <c r="E735" s="1364"/>
      <c r="F735" s="1365"/>
      <c r="G735" s="1357"/>
      <c r="H735" s="1358"/>
      <c r="I735" s="1358"/>
      <c r="J735" s="1359"/>
      <c r="K735" s="1360"/>
      <c r="L735" s="1361"/>
      <c r="M735" s="1361"/>
      <c r="N735" s="1362"/>
      <c r="O735" s="1409"/>
      <c r="P735" s="1410"/>
      <c r="Q735" s="1410"/>
      <c r="R735" s="1410"/>
      <c r="S735" s="1411"/>
      <c r="T735" s="1409"/>
      <c r="U735" s="1410"/>
      <c r="V735" s="1410"/>
      <c r="W735" s="1411"/>
      <c r="X735" s="1412">
        <f t="shared" si="10"/>
        <v>0</v>
      </c>
      <c r="Y735" s="1408"/>
      <c r="Z735" s="1408"/>
      <c r="AA735" s="1408"/>
      <c r="AB735" s="1413"/>
      <c r="AC735" s="1414"/>
      <c r="AD735" s="1415"/>
      <c r="AE735" s="1415"/>
      <c r="AF735" s="1415"/>
      <c r="AG735" s="1416"/>
      <c r="AH735" s="1432" t="str">
        <f t="shared" si="38"/>
        <v/>
      </c>
      <c r="AI735" s="1433"/>
      <c r="AJ735" s="1434"/>
      <c r="AK735" s="1363" t="s">
        <v>590</v>
      </c>
      <c r="AL735" s="1364"/>
      <c r="AM735" s="1364"/>
      <c r="AN735" s="1364"/>
      <c r="AO735" s="1365"/>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545">
        <f t="shared" si="39"/>
        <v>0</v>
      </c>
      <c r="CH735" s="1547"/>
      <c r="CI735" s="1548">
        <f t="shared" si="40"/>
        <v>0</v>
      </c>
      <c r="CJ735" s="1550"/>
      <c r="CK735" s="1545">
        <f t="shared" si="18"/>
        <v>0</v>
      </c>
      <c r="CL735" s="1547"/>
      <c r="CM735" s="1548">
        <f t="shared" si="19"/>
        <v>0</v>
      </c>
      <c r="CN735" s="1550"/>
      <c r="CO735" s="3"/>
      <c r="CP735" s="1540">
        <f t="shared" si="20"/>
        <v>0</v>
      </c>
      <c r="CQ735" s="1541"/>
      <c r="CR735" s="1541"/>
      <c r="CS735" s="1541"/>
      <c r="CT735" s="1542"/>
      <c r="CU735" s="1544">
        <f t="shared" si="21"/>
        <v>0</v>
      </c>
      <c r="CV735" s="1544"/>
      <c r="CW735" s="1544"/>
      <c r="CX735" s="1544"/>
      <c r="CY735" s="1544"/>
      <c r="CZ735" s="1544">
        <f t="shared" si="22"/>
        <v>0</v>
      </c>
      <c r="DA735" s="1544"/>
      <c r="DB735" s="1544"/>
      <c r="DC735" s="1544"/>
      <c r="DD735" s="1544"/>
      <c r="DE735" s="1544">
        <f t="shared" si="23"/>
        <v>0</v>
      </c>
      <c r="DF735" s="1544"/>
      <c r="DG735" s="1544"/>
      <c r="DH735" s="1544"/>
      <c r="DI735" s="1544"/>
      <c r="DJ735" s="1544">
        <f t="shared" si="24"/>
        <v>0</v>
      </c>
      <c r="DK735" s="1544"/>
      <c r="DL735" s="1544"/>
      <c r="DM735" s="1544"/>
      <c r="DN735" s="1544"/>
      <c r="DO735" s="1544">
        <f t="shared" si="25"/>
        <v>0</v>
      </c>
      <c r="DP735" s="1544"/>
      <c r="DQ735" s="1544"/>
      <c r="DR735" s="1544"/>
      <c r="DS735" s="1544"/>
      <c r="DT735" s="6"/>
      <c r="DU735" s="1539">
        <f t="shared" si="26"/>
        <v>0</v>
      </c>
      <c r="DV735" s="1539"/>
      <c r="DW735" s="1539"/>
      <c r="DX735" s="1539"/>
      <c r="DY735" s="1539"/>
      <c r="DZ735" s="1539">
        <f t="shared" si="27"/>
        <v>0</v>
      </c>
      <c r="EA735" s="1539"/>
      <c r="EB735" s="1539"/>
      <c r="EC735" s="1539"/>
      <c r="ED735" s="1539"/>
      <c r="EE735" s="1539">
        <f t="shared" si="28"/>
        <v>0</v>
      </c>
      <c r="EF735" s="1539"/>
      <c r="EG735" s="1539"/>
      <c r="EH735" s="1539"/>
      <c r="EI735" s="1539"/>
      <c r="EJ735" s="1539">
        <f t="shared" si="29"/>
        <v>0</v>
      </c>
      <c r="EK735" s="1539"/>
      <c r="EL735" s="1539"/>
      <c r="EM735" s="1539"/>
      <c r="EN735" s="1539"/>
      <c r="EO735" s="1539">
        <f t="shared" si="30"/>
        <v>0</v>
      </c>
      <c r="EP735" s="1539"/>
      <c r="EQ735" s="1539"/>
      <c r="ER735" s="1539"/>
      <c r="ES735" s="1539"/>
      <c r="ET735" s="1539">
        <f t="shared" si="31"/>
        <v>0</v>
      </c>
      <c r="EU735" s="1539"/>
      <c r="EV735" s="1539"/>
      <c r="EW735" s="1539"/>
      <c r="EX735" s="1539"/>
      <c r="EY735" s="4"/>
      <c r="EZ735" s="1545" t="str">
        <f t="shared" si="32"/>
        <v/>
      </c>
      <c r="FA735" s="1546"/>
      <c r="FB735" s="1546"/>
      <c r="FC735" s="1546"/>
      <c r="FD735" s="1547"/>
      <c r="FE735" s="1545" t="str">
        <f t="shared" si="33"/>
        <v/>
      </c>
      <c r="FF735" s="1546"/>
      <c r="FG735" s="1546"/>
      <c r="FH735" s="1546"/>
      <c r="FI735" s="1547"/>
      <c r="FJ735" s="1545" t="str">
        <f t="shared" si="34"/>
        <v/>
      </c>
      <c r="FK735" s="1546"/>
      <c r="FL735" s="1546"/>
      <c r="FM735" s="1546"/>
      <c r="FN735" s="1547"/>
      <c r="FO735" s="1545" t="str">
        <f t="shared" si="35"/>
        <v/>
      </c>
      <c r="FP735" s="1546"/>
      <c r="FQ735" s="1546"/>
      <c r="FR735" s="1546"/>
      <c r="FS735" s="1547"/>
      <c r="FT735" s="1545" t="str">
        <f t="shared" si="36"/>
        <v/>
      </c>
      <c r="FU735" s="1546"/>
      <c r="FV735" s="1546"/>
      <c r="FW735" s="1546"/>
      <c r="FX735" s="1547"/>
      <c r="FY735" s="1545" t="str">
        <f t="shared" si="37"/>
        <v/>
      </c>
      <c r="FZ735" s="1546"/>
      <c r="GA735" s="1546"/>
      <c r="GB735" s="1546"/>
      <c r="GC735" s="1547"/>
    </row>
    <row r="736" spans="1:185" ht="13" customHeight="1">
      <c r="A736" s="4"/>
      <c r="B736" s="1363"/>
      <c r="C736" s="1364"/>
      <c r="D736" s="1364"/>
      <c r="E736" s="1364"/>
      <c r="F736" s="1365"/>
      <c r="G736" s="1357"/>
      <c r="H736" s="1358"/>
      <c r="I736" s="1358"/>
      <c r="J736" s="1359"/>
      <c r="K736" s="1360"/>
      <c r="L736" s="1361"/>
      <c r="M736" s="1361"/>
      <c r="N736" s="1362"/>
      <c r="O736" s="1409"/>
      <c r="P736" s="1410"/>
      <c r="Q736" s="1410"/>
      <c r="R736" s="1410"/>
      <c r="S736" s="1411"/>
      <c r="T736" s="1409"/>
      <c r="U736" s="1410"/>
      <c r="V736" s="1410"/>
      <c r="W736" s="1411"/>
      <c r="X736" s="1412">
        <f t="shared" si="10"/>
        <v>0</v>
      </c>
      <c r="Y736" s="1408"/>
      <c r="Z736" s="1408"/>
      <c r="AA736" s="1408"/>
      <c r="AB736" s="1413"/>
      <c r="AC736" s="1414"/>
      <c r="AD736" s="1415"/>
      <c r="AE736" s="1415"/>
      <c r="AF736" s="1415"/>
      <c r="AG736" s="1416"/>
      <c r="AH736" s="1432" t="str">
        <f t="shared" si="38"/>
        <v/>
      </c>
      <c r="AI736" s="1433"/>
      <c r="AJ736" s="1434"/>
      <c r="AK736" s="1363" t="s">
        <v>590</v>
      </c>
      <c r="AL736" s="1364"/>
      <c r="AM736" s="1364"/>
      <c r="AN736" s="1364"/>
      <c r="AO736" s="1365"/>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45">
        <f t="shared" si="39"/>
        <v>0</v>
      </c>
      <c r="CH736" s="1547"/>
      <c r="CI736" s="1548">
        <f t="shared" si="40"/>
        <v>0</v>
      </c>
      <c r="CJ736" s="1550"/>
      <c r="CK736" s="1545">
        <f t="shared" si="18"/>
        <v>0</v>
      </c>
      <c r="CL736" s="1547"/>
      <c r="CM736" s="1548">
        <f t="shared" si="19"/>
        <v>0</v>
      </c>
      <c r="CN736" s="1550"/>
      <c r="CO736" s="3"/>
      <c r="CP736" s="1540">
        <f t="shared" si="20"/>
        <v>0</v>
      </c>
      <c r="CQ736" s="1541"/>
      <c r="CR736" s="1541"/>
      <c r="CS736" s="1541"/>
      <c r="CT736" s="1542"/>
      <c r="CU736" s="1544">
        <f t="shared" si="21"/>
        <v>0</v>
      </c>
      <c r="CV736" s="1544"/>
      <c r="CW736" s="1544"/>
      <c r="CX736" s="1544"/>
      <c r="CY736" s="1544"/>
      <c r="CZ736" s="1544">
        <f t="shared" si="22"/>
        <v>0</v>
      </c>
      <c r="DA736" s="1544"/>
      <c r="DB736" s="1544"/>
      <c r="DC736" s="1544"/>
      <c r="DD736" s="1544"/>
      <c r="DE736" s="1544">
        <f t="shared" si="23"/>
        <v>0</v>
      </c>
      <c r="DF736" s="1544"/>
      <c r="DG736" s="1544"/>
      <c r="DH736" s="1544"/>
      <c r="DI736" s="1544"/>
      <c r="DJ736" s="1544">
        <f t="shared" si="24"/>
        <v>0</v>
      </c>
      <c r="DK736" s="1544"/>
      <c r="DL736" s="1544"/>
      <c r="DM736" s="1544"/>
      <c r="DN736" s="1544"/>
      <c r="DO736" s="1544">
        <f t="shared" si="25"/>
        <v>0</v>
      </c>
      <c r="DP736" s="1544"/>
      <c r="DQ736" s="1544"/>
      <c r="DR736" s="1544"/>
      <c r="DS736" s="1544"/>
      <c r="DT736" s="6"/>
      <c r="DU736" s="1539">
        <f t="shared" si="26"/>
        <v>0</v>
      </c>
      <c r="DV736" s="1539"/>
      <c r="DW736" s="1539"/>
      <c r="DX736" s="1539"/>
      <c r="DY736" s="1539"/>
      <c r="DZ736" s="1539">
        <f t="shared" si="27"/>
        <v>0</v>
      </c>
      <c r="EA736" s="1539"/>
      <c r="EB736" s="1539"/>
      <c r="EC736" s="1539"/>
      <c r="ED736" s="1539"/>
      <c r="EE736" s="1539">
        <f t="shared" si="28"/>
        <v>0</v>
      </c>
      <c r="EF736" s="1539"/>
      <c r="EG736" s="1539"/>
      <c r="EH736" s="1539"/>
      <c r="EI736" s="1539"/>
      <c r="EJ736" s="1539">
        <f t="shared" si="29"/>
        <v>0</v>
      </c>
      <c r="EK736" s="1539"/>
      <c r="EL736" s="1539"/>
      <c r="EM736" s="1539"/>
      <c r="EN736" s="1539"/>
      <c r="EO736" s="1539">
        <f t="shared" si="30"/>
        <v>0</v>
      </c>
      <c r="EP736" s="1539"/>
      <c r="EQ736" s="1539"/>
      <c r="ER736" s="1539"/>
      <c r="ES736" s="1539"/>
      <c r="ET736" s="1539">
        <f t="shared" si="31"/>
        <v>0</v>
      </c>
      <c r="EU736" s="1539"/>
      <c r="EV736" s="1539"/>
      <c r="EW736" s="1539"/>
      <c r="EX736" s="1539"/>
      <c r="EY736" s="4"/>
      <c r="EZ736" s="1545" t="str">
        <f t="shared" si="32"/>
        <v/>
      </c>
      <c r="FA736" s="1546"/>
      <c r="FB736" s="1546"/>
      <c r="FC736" s="1546"/>
      <c r="FD736" s="1547"/>
      <c r="FE736" s="1545" t="str">
        <f t="shared" si="33"/>
        <v/>
      </c>
      <c r="FF736" s="1546"/>
      <c r="FG736" s="1546"/>
      <c r="FH736" s="1546"/>
      <c r="FI736" s="1547"/>
      <c r="FJ736" s="1545" t="str">
        <f t="shared" si="34"/>
        <v/>
      </c>
      <c r="FK736" s="1546"/>
      <c r="FL736" s="1546"/>
      <c r="FM736" s="1546"/>
      <c r="FN736" s="1547"/>
      <c r="FO736" s="1545" t="str">
        <f t="shared" si="35"/>
        <v/>
      </c>
      <c r="FP736" s="1546"/>
      <c r="FQ736" s="1546"/>
      <c r="FR736" s="1546"/>
      <c r="FS736" s="1547"/>
      <c r="FT736" s="1545" t="str">
        <f t="shared" si="36"/>
        <v/>
      </c>
      <c r="FU736" s="1546"/>
      <c r="FV736" s="1546"/>
      <c r="FW736" s="1546"/>
      <c r="FX736" s="1547"/>
      <c r="FY736" s="1545" t="str">
        <f t="shared" si="37"/>
        <v/>
      </c>
      <c r="FZ736" s="1546"/>
      <c r="GA736" s="1546"/>
      <c r="GB736" s="1546"/>
      <c r="GC736" s="1547"/>
    </row>
    <row r="737" spans="1:185" ht="13" customHeight="1">
      <c r="A737" s="4"/>
      <c r="B737" s="1363"/>
      <c r="C737" s="1364"/>
      <c r="D737" s="1364"/>
      <c r="E737" s="1364"/>
      <c r="F737" s="1365"/>
      <c r="G737" s="1357"/>
      <c r="H737" s="1358"/>
      <c r="I737" s="1358"/>
      <c r="J737" s="1359"/>
      <c r="K737" s="1360"/>
      <c r="L737" s="1361"/>
      <c r="M737" s="1361"/>
      <c r="N737" s="1362"/>
      <c r="O737" s="1409"/>
      <c r="P737" s="1410"/>
      <c r="Q737" s="1410"/>
      <c r="R737" s="1410"/>
      <c r="S737" s="1411"/>
      <c r="T737" s="1409"/>
      <c r="U737" s="1410"/>
      <c r="V737" s="1410"/>
      <c r="W737" s="1411"/>
      <c r="X737" s="1412">
        <f t="shared" si="10"/>
        <v>0</v>
      </c>
      <c r="Y737" s="1408"/>
      <c r="Z737" s="1408"/>
      <c r="AA737" s="1408"/>
      <c r="AB737" s="1413"/>
      <c r="AC737" s="1414"/>
      <c r="AD737" s="1415"/>
      <c r="AE737" s="1415"/>
      <c r="AF737" s="1415"/>
      <c r="AG737" s="1416"/>
      <c r="AH737" s="1432" t="str">
        <f t="shared" si="38"/>
        <v/>
      </c>
      <c r="AI737" s="1433"/>
      <c r="AJ737" s="1434"/>
      <c r="AK737" s="1363" t="s">
        <v>590</v>
      </c>
      <c r="AL737" s="1364"/>
      <c r="AM737" s="1364"/>
      <c r="AN737" s="1364"/>
      <c r="AO737" s="1365"/>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45">
        <f t="shared" si="39"/>
        <v>0</v>
      </c>
      <c r="CH737" s="1547"/>
      <c r="CI737" s="1548">
        <f t="shared" si="40"/>
        <v>0</v>
      </c>
      <c r="CJ737" s="1550"/>
      <c r="CK737" s="1545">
        <f t="shared" si="18"/>
        <v>0</v>
      </c>
      <c r="CL737" s="1547"/>
      <c r="CM737" s="1548">
        <f t="shared" si="19"/>
        <v>0</v>
      </c>
      <c r="CN737" s="1550"/>
      <c r="CO737" s="3"/>
      <c r="CP737" s="1540">
        <f t="shared" si="20"/>
        <v>0</v>
      </c>
      <c r="CQ737" s="1541"/>
      <c r="CR737" s="1541"/>
      <c r="CS737" s="1541"/>
      <c r="CT737" s="1542"/>
      <c r="CU737" s="1544">
        <f t="shared" si="21"/>
        <v>0</v>
      </c>
      <c r="CV737" s="1544"/>
      <c r="CW737" s="1544"/>
      <c r="CX737" s="1544"/>
      <c r="CY737" s="1544"/>
      <c r="CZ737" s="1544">
        <f t="shared" si="22"/>
        <v>0</v>
      </c>
      <c r="DA737" s="1544"/>
      <c r="DB737" s="1544"/>
      <c r="DC737" s="1544"/>
      <c r="DD737" s="1544"/>
      <c r="DE737" s="1544">
        <f t="shared" si="23"/>
        <v>0</v>
      </c>
      <c r="DF737" s="1544"/>
      <c r="DG737" s="1544"/>
      <c r="DH737" s="1544"/>
      <c r="DI737" s="1544"/>
      <c r="DJ737" s="1544">
        <f t="shared" si="24"/>
        <v>0</v>
      </c>
      <c r="DK737" s="1544"/>
      <c r="DL737" s="1544"/>
      <c r="DM737" s="1544"/>
      <c r="DN737" s="1544"/>
      <c r="DO737" s="1544">
        <f t="shared" si="25"/>
        <v>0</v>
      </c>
      <c r="DP737" s="1544"/>
      <c r="DQ737" s="1544"/>
      <c r="DR737" s="1544"/>
      <c r="DS737" s="1544"/>
      <c r="DT737" s="6"/>
      <c r="DU737" s="1539">
        <f t="shared" si="26"/>
        <v>0</v>
      </c>
      <c r="DV737" s="1539"/>
      <c r="DW737" s="1539"/>
      <c r="DX737" s="1539"/>
      <c r="DY737" s="1539"/>
      <c r="DZ737" s="1539">
        <f t="shared" si="27"/>
        <v>0</v>
      </c>
      <c r="EA737" s="1539"/>
      <c r="EB737" s="1539"/>
      <c r="EC737" s="1539"/>
      <c r="ED737" s="1539"/>
      <c r="EE737" s="1539">
        <f t="shared" si="28"/>
        <v>0</v>
      </c>
      <c r="EF737" s="1539"/>
      <c r="EG737" s="1539"/>
      <c r="EH737" s="1539"/>
      <c r="EI737" s="1539"/>
      <c r="EJ737" s="1539">
        <f t="shared" si="29"/>
        <v>0</v>
      </c>
      <c r="EK737" s="1539"/>
      <c r="EL737" s="1539"/>
      <c r="EM737" s="1539"/>
      <c r="EN737" s="1539"/>
      <c r="EO737" s="1539">
        <f t="shared" si="30"/>
        <v>0</v>
      </c>
      <c r="EP737" s="1539"/>
      <c r="EQ737" s="1539"/>
      <c r="ER737" s="1539"/>
      <c r="ES737" s="1539"/>
      <c r="ET737" s="1539">
        <f t="shared" si="31"/>
        <v>0</v>
      </c>
      <c r="EU737" s="1539"/>
      <c r="EV737" s="1539"/>
      <c r="EW737" s="1539"/>
      <c r="EX737" s="1539"/>
      <c r="EZ737" s="1545" t="str">
        <f t="shared" si="32"/>
        <v/>
      </c>
      <c r="FA737" s="1546"/>
      <c r="FB737" s="1546"/>
      <c r="FC737" s="1546"/>
      <c r="FD737" s="1547"/>
      <c r="FE737" s="1545" t="str">
        <f t="shared" si="33"/>
        <v/>
      </c>
      <c r="FF737" s="1546"/>
      <c r="FG737" s="1546"/>
      <c r="FH737" s="1546"/>
      <c r="FI737" s="1547"/>
      <c r="FJ737" s="1545" t="str">
        <f t="shared" si="34"/>
        <v/>
      </c>
      <c r="FK737" s="1546"/>
      <c r="FL737" s="1546"/>
      <c r="FM737" s="1546"/>
      <c r="FN737" s="1547"/>
      <c r="FO737" s="1545" t="str">
        <f t="shared" si="35"/>
        <v/>
      </c>
      <c r="FP737" s="1546"/>
      <c r="FQ737" s="1546"/>
      <c r="FR737" s="1546"/>
      <c r="FS737" s="1547"/>
      <c r="FT737" s="1545" t="str">
        <f t="shared" si="36"/>
        <v/>
      </c>
      <c r="FU737" s="1546"/>
      <c r="FV737" s="1546"/>
      <c r="FW737" s="1546"/>
      <c r="FX737" s="1547"/>
      <c r="FY737" s="1545" t="str">
        <f t="shared" si="37"/>
        <v/>
      </c>
      <c r="FZ737" s="1546"/>
      <c r="GA737" s="1546"/>
      <c r="GB737" s="1546"/>
      <c r="GC737" s="1547"/>
    </row>
    <row r="738" spans="1:185" ht="13" customHeight="1">
      <c r="B738" s="1363"/>
      <c r="C738" s="1364"/>
      <c r="D738" s="1364"/>
      <c r="E738" s="1364"/>
      <c r="F738" s="1365"/>
      <c r="G738" s="1357"/>
      <c r="H738" s="1358"/>
      <c r="I738" s="1358"/>
      <c r="J738" s="1359"/>
      <c r="K738" s="1360"/>
      <c r="L738" s="1361"/>
      <c r="M738" s="1361"/>
      <c r="N738" s="1362"/>
      <c r="O738" s="1409"/>
      <c r="P738" s="1410"/>
      <c r="Q738" s="1410"/>
      <c r="R738" s="1410"/>
      <c r="S738" s="1411"/>
      <c r="T738" s="1409"/>
      <c r="U738" s="1410"/>
      <c r="V738" s="1410"/>
      <c r="W738" s="1411"/>
      <c r="X738" s="1412">
        <f t="shared" si="10"/>
        <v>0</v>
      </c>
      <c r="Y738" s="1408"/>
      <c r="Z738" s="1408"/>
      <c r="AA738" s="1408"/>
      <c r="AB738" s="1413"/>
      <c r="AC738" s="1414"/>
      <c r="AD738" s="1415"/>
      <c r="AE738" s="1415"/>
      <c r="AF738" s="1415"/>
      <c r="AG738" s="1416"/>
      <c r="AH738" s="1432" t="str">
        <f t="shared" si="38"/>
        <v/>
      </c>
      <c r="AI738" s="1433"/>
      <c r="AJ738" s="1434"/>
      <c r="AK738" s="1363" t="s">
        <v>590</v>
      </c>
      <c r="AL738" s="1364"/>
      <c r="AM738" s="1364"/>
      <c r="AN738" s="1364"/>
      <c r="AO738" s="1365"/>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45">
        <f t="shared" si="39"/>
        <v>0</v>
      </c>
      <c r="CH738" s="1547"/>
      <c r="CI738" s="1548">
        <f t="shared" si="40"/>
        <v>0</v>
      </c>
      <c r="CJ738" s="1550"/>
      <c r="CK738" s="1545">
        <f t="shared" si="18"/>
        <v>0</v>
      </c>
      <c r="CL738" s="1547"/>
      <c r="CM738" s="1548">
        <f t="shared" si="19"/>
        <v>0</v>
      </c>
      <c r="CN738" s="1550"/>
      <c r="CO738" s="3"/>
      <c r="CP738" s="1540">
        <f t="shared" si="20"/>
        <v>0</v>
      </c>
      <c r="CQ738" s="1541"/>
      <c r="CR738" s="1541"/>
      <c r="CS738" s="1541"/>
      <c r="CT738" s="1542"/>
      <c r="CU738" s="1544">
        <f t="shared" si="21"/>
        <v>0</v>
      </c>
      <c r="CV738" s="1544"/>
      <c r="CW738" s="1544"/>
      <c r="CX738" s="1544"/>
      <c r="CY738" s="1544"/>
      <c r="CZ738" s="1544">
        <f t="shared" si="22"/>
        <v>0</v>
      </c>
      <c r="DA738" s="1544"/>
      <c r="DB738" s="1544"/>
      <c r="DC738" s="1544"/>
      <c r="DD738" s="1544"/>
      <c r="DE738" s="1544">
        <f t="shared" si="23"/>
        <v>0</v>
      </c>
      <c r="DF738" s="1544"/>
      <c r="DG738" s="1544"/>
      <c r="DH738" s="1544"/>
      <c r="DI738" s="1544"/>
      <c r="DJ738" s="1544">
        <f t="shared" si="24"/>
        <v>0</v>
      </c>
      <c r="DK738" s="1544"/>
      <c r="DL738" s="1544"/>
      <c r="DM738" s="1544"/>
      <c r="DN738" s="1544"/>
      <c r="DO738" s="1544">
        <f t="shared" si="25"/>
        <v>0</v>
      </c>
      <c r="DP738" s="1544"/>
      <c r="DQ738" s="1544"/>
      <c r="DR738" s="1544"/>
      <c r="DS738" s="1544"/>
      <c r="DT738" s="6"/>
      <c r="DU738" s="1539">
        <f t="shared" si="26"/>
        <v>0</v>
      </c>
      <c r="DV738" s="1539"/>
      <c r="DW738" s="1539"/>
      <c r="DX738" s="1539"/>
      <c r="DY738" s="1539"/>
      <c r="DZ738" s="1539">
        <f t="shared" si="27"/>
        <v>0</v>
      </c>
      <c r="EA738" s="1539"/>
      <c r="EB738" s="1539"/>
      <c r="EC738" s="1539"/>
      <c r="ED738" s="1539"/>
      <c r="EE738" s="1539">
        <f t="shared" si="28"/>
        <v>0</v>
      </c>
      <c r="EF738" s="1539"/>
      <c r="EG738" s="1539"/>
      <c r="EH738" s="1539"/>
      <c r="EI738" s="1539"/>
      <c r="EJ738" s="1539">
        <f t="shared" si="29"/>
        <v>0</v>
      </c>
      <c r="EK738" s="1539"/>
      <c r="EL738" s="1539"/>
      <c r="EM738" s="1539"/>
      <c r="EN738" s="1539"/>
      <c r="EO738" s="1539">
        <f t="shared" si="30"/>
        <v>0</v>
      </c>
      <c r="EP738" s="1539"/>
      <c r="EQ738" s="1539"/>
      <c r="ER738" s="1539"/>
      <c r="ES738" s="1539"/>
      <c r="ET738" s="1539">
        <f t="shared" si="31"/>
        <v>0</v>
      </c>
      <c r="EU738" s="1539"/>
      <c r="EV738" s="1539"/>
      <c r="EW738" s="1539"/>
      <c r="EX738" s="1539"/>
      <c r="EZ738" s="1545" t="str">
        <f t="shared" si="32"/>
        <v/>
      </c>
      <c r="FA738" s="1546"/>
      <c r="FB738" s="1546"/>
      <c r="FC738" s="1546"/>
      <c r="FD738" s="1547"/>
      <c r="FE738" s="1545" t="str">
        <f t="shared" si="33"/>
        <v/>
      </c>
      <c r="FF738" s="1546"/>
      <c r="FG738" s="1546"/>
      <c r="FH738" s="1546"/>
      <c r="FI738" s="1547"/>
      <c r="FJ738" s="1545" t="str">
        <f t="shared" si="34"/>
        <v/>
      </c>
      <c r="FK738" s="1546"/>
      <c r="FL738" s="1546"/>
      <c r="FM738" s="1546"/>
      <c r="FN738" s="1547"/>
      <c r="FO738" s="1545" t="str">
        <f t="shared" si="35"/>
        <v/>
      </c>
      <c r="FP738" s="1546"/>
      <c r="FQ738" s="1546"/>
      <c r="FR738" s="1546"/>
      <c r="FS738" s="1547"/>
      <c r="FT738" s="1545" t="str">
        <f t="shared" si="36"/>
        <v/>
      </c>
      <c r="FU738" s="1546"/>
      <c r="FV738" s="1546"/>
      <c r="FW738" s="1546"/>
      <c r="FX738" s="1547"/>
      <c r="FY738" s="1545" t="str">
        <f t="shared" si="37"/>
        <v/>
      </c>
      <c r="FZ738" s="1546"/>
      <c r="GA738" s="1546"/>
      <c r="GB738" s="1546"/>
      <c r="GC738" s="1547"/>
    </row>
    <row r="739" spans="1:185" ht="13" customHeight="1">
      <c r="B739" s="1363"/>
      <c r="C739" s="1364"/>
      <c r="D739" s="1364"/>
      <c r="E739" s="1364"/>
      <c r="F739" s="1365"/>
      <c r="G739" s="1357"/>
      <c r="H739" s="1358"/>
      <c r="I739" s="1358"/>
      <c r="J739" s="1359"/>
      <c r="K739" s="1360"/>
      <c r="L739" s="1361"/>
      <c r="M739" s="1361"/>
      <c r="N739" s="1362"/>
      <c r="O739" s="1409"/>
      <c r="P739" s="1410"/>
      <c r="Q739" s="1410"/>
      <c r="R739" s="1410"/>
      <c r="S739" s="1411"/>
      <c r="T739" s="1409"/>
      <c r="U739" s="1410"/>
      <c r="V739" s="1410"/>
      <c r="W739" s="1411"/>
      <c r="X739" s="1412">
        <f t="shared" si="10"/>
        <v>0</v>
      </c>
      <c r="Y739" s="1408"/>
      <c r="Z739" s="1408"/>
      <c r="AA739" s="1408"/>
      <c r="AB739" s="1413"/>
      <c r="AC739" s="1414"/>
      <c r="AD739" s="1415"/>
      <c r="AE739" s="1415"/>
      <c r="AF739" s="1415"/>
      <c r="AG739" s="1416"/>
      <c r="AH739" s="1432" t="str">
        <f t="shared" si="38"/>
        <v/>
      </c>
      <c r="AI739" s="1433"/>
      <c r="AJ739" s="1434"/>
      <c r="AK739" s="1363" t="s">
        <v>590</v>
      </c>
      <c r="AL739" s="1364"/>
      <c r="AM739" s="1364"/>
      <c r="AN739" s="1364"/>
      <c r="AO739" s="136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45">
        <f t="shared" si="39"/>
        <v>0</v>
      </c>
      <c r="CH739" s="1547"/>
      <c r="CI739" s="1548">
        <f t="shared" si="40"/>
        <v>0</v>
      </c>
      <c r="CJ739" s="1550"/>
      <c r="CK739" s="1545">
        <f t="shared" si="18"/>
        <v>0</v>
      </c>
      <c r="CL739" s="1547"/>
      <c r="CM739" s="1548">
        <f t="shared" si="19"/>
        <v>0</v>
      </c>
      <c r="CN739" s="1550"/>
      <c r="CO739" s="3"/>
      <c r="CP739" s="1540">
        <f t="shared" si="20"/>
        <v>0</v>
      </c>
      <c r="CQ739" s="1541"/>
      <c r="CR739" s="1541"/>
      <c r="CS739" s="1541"/>
      <c r="CT739" s="1542"/>
      <c r="CU739" s="1544">
        <f t="shared" si="21"/>
        <v>0</v>
      </c>
      <c r="CV739" s="1544"/>
      <c r="CW739" s="1544"/>
      <c r="CX739" s="1544"/>
      <c r="CY739" s="1544"/>
      <c r="CZ739" s="1544">
        <f t="shared" si="22"/>
        <v>0</v>
      </c>
      <c r="DA739" s="1544"/>
      <c r="DB739" s="1544"/>
      <c r="DC739" s="1544"/>
      <c r="DD739" s="1544"/>
      <c r="DE739" s="1544">
        <f t="shared" si="23"/>
        <v>0</v>
      </c>
      <c r="DF739" s="1544"/>
      <c r="DG739" s="1544"/>
      <c r="DH739" s="1544"/>
      <c r="DI739" s="1544"/>
      <c r="DJ739" s="1544">
        <f t="shared" si="24"/>
        <v>0</v>
      </c>
      <c r="DK739" s="1544"/>
      <c r="DL739" s="1544"/>
      <c r="DM739" s="1544"/>
      <c r="DN739" s="1544"/>
      <c r="DO739" s="1544">
        <f t="shared" si="25"/>
        <v>0</v>
      </c>
      <c r="DP739" s="1544"/>
      <c r="DQ739" s="1544"/>
      <c r="DR739" s="1544"/>
      <c r="DS739" s="1544"/>
      <c r="DT739" s="6"/>
      <c r="DU739" s="1539">
        <f t="shared" si="26"/>
        <v>0</v>
      </c>
      <c r="DV739" s="1539"/>
      <c r="DW739" s="1539"/>
      <c r="DX739" s="1539"/>
      <c r="DY739" s="1539"/>
      <c r="DZ739" s="1539">
        <f t="shared" si="27"/>
        <v>0</v>
      </c>
      <c r="EA739" s="1539"/>
      <c r="EB739" s="1539"/>
      <c r="EC739" s="1539"/>
      <c r="ED739" s="1539"/>
      <c r="EE739" s="1539">
        <f t="shared" si="28"/>
        <v>0</v>
      </c>
      <c r="EF739" s="1539"/>
      <c r="EG739" s="1539"/>
      <c r="EH739" s="1539"/>
      <c r="EI739" s="1539"/>
      <c r="EJ739" s="1539">
        <f t="shared" si="29"/>
        <v>0</v>
      </c>
      <c r="EK739" s="1539"/>
      <c r="EL739" s="1539"/>
      <c r="EM739" s="1539"/>
      <c r="EN739" s="1539"/>
      <c r="EO739" s="1539">
        <f t="shared" si="30"/>
        <v>0</v>
      </c>
      <c r="EP739" s="1539"/>
      <c r="EQ739" s="1539"/>
      <c r="ER739" s="1539"/>
      <c r="ES739" s="1539"/>
      <c r="ET739" s="1539">
        <f t="shared" si="31"/>
        <v>0</v>
      </c>
      <c r="EU739" s="1539"/>
      <c r="EV739" s="1539"/>
      <c r="EW739" s="1539"/>
      <c r="EX739" s="1539"/>
      <c r="EZ739" s="1545" t="str">
        <f t="shared" si="32"/>
        <v/>
      </c>
      <c r="FA739" s="1546"/>
      <c r="FB739" s="1546"/>
      <c r="FC739" s="1546"/>
      <c r="FD739" s="1547"/>
      <c r="FE739" s="1545" t="str">
        <f t="shared" si="33"/>
        <v/>
      </c>
      <c r="FF739" s="1546"/>
      <c r="FG739" s="1546"/>
      <c r="FH739" s="1546"/>
      <c r="FI739" s="1547"/>
      <c r="FJ739" s="1545" t="str">
        <f t="shared" si="34"/>
        <v/>
      </c>
      <c r="FK739" s="1546"/>
      <c r="FL739" s="1546"/>
      <c r="FM739" s="1546"/>
      <c r="FN739" s="1547"/>
      <c r="FO739" s="1545" t="str">
        <f t="shared" si="35"/>
        <v/>
      </c>
      <c r="FP739" s="1546"/>
      <c r="FQ739" s="1546"/>
      <c r="FR739" s="1546"/>
      <c r="FS739" s="1547"/>
      <c r="FT739" s="1545" t="str">
        <f t="shared" si="36"/>
        <v/>
      </c>
      <c r="FU739" s="1546"/>
      <c r="FV739" s="1546"/>
      <c r="FW739" s="1546"/>
      <c r="FX739" s="1547"/>
      <c r="FY739" s="1545" t="str">
        <f t="shared" si="37"/>
        <v/>
      </c>
      <c r="FZ739" s="1546"/>
      <c r="GA739" s="1546"/>
      <c r="GB739" s="1546"/>
      <c r="GC739" s="1547"/>
    </row>
    <row r="740" spans="1:185" ht="13" customHeight="1">
      <c r="B740" s="1363"/>
      <c r="C740" s="1364"/>
      <c r="D740" s="1364"/>
      <c r="E740" s="1364"/>
      <c r="F740" s="1365"/>
      <c r="G740" s="1357"/>
      <c r="H740" s="1358"/>
      <c r="I740" s="1358"/>
      <c r="J740" s="1359"/>
      <c r="K740" s="1360"/>
      <c r="L740" s="1361"/>
      <c r="M740" s="1361"/>
      <c r="N740" s="1362"/>
      <c r="O740" s="1409"/>
      <c r="P740" s="1410"/>
      <c r="Q740" s="1410"/>
      <c r="R740" s="1410"/>
      <c r="S740" s="1411"/>
      <c r="T740" s="1409"/>
      <c r="U740" s="1410"/>
      <c r="V740" s="1410"/>
      <c r="W740" s="1411"/>
      <c r="X740" s="1412">
        <f t="shared" si="10"/>
        <v>0</v>
      </c>
      <c r="Y740" s="1408"/>
      <c r="Z740" s="1408"/>
      <c r="AA740" s="1408"/>
      <c r="AB740" s="1413"/>
      <c r="AC740" s="1414"/>
      <c r="AD740" s="1415"/>
      <c r="AE740" s="1415"/>
      <c r="AF740" s="1415"/>
      <c r="AG740" s="1416"/>
      <c r="AH740" s="1432" t="str">
        <f t="shared" si="38"/>
        <v/>
      </c>
      <c r="AI740" s="1433"/>
      <c r="AJ740" s="1434"/>
      <c r="AK740" s="1363" t="s">
        <v>590</v>
      </c>
      <c r="AL740" s="1364"/>
      <c r="AM740" s="1364"/>
      <c r="AN740" s="1364"/>
      <c r="AO740" s="136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45">
        <f t="shared" si="39"/>
        <v>0</v>
      </c>
      <c r="CH740" s="1547"/>
      <c r="CI740" s="1548">
        <f t="shared" si="40"/>
        <v>0</v>
      </c>
      <c r="CJ740" s="1550"/>
      <c r="CK740" s="1545">
        <f t="shared" si="18"/>
        <v>0</v>
      </c>
      <c r="CL740" s="1547"/>
      <c r="CM740" s="1548">
        <f t="shared" si="19"/>
        <v>0</v>
      </c>
      <c r="CN740" s="1550"/>
      <c r="CO740" s="3"/>
      <c r="CP740" s="1540">
        <f t="shared" si="20"/>
        <v>0</v>
      </c>
      <c r="CQ740" s="1541"/>
      <c r="CR740" s="1541"/>
      <c r="CS740" s="1541"/>
      <c r="CT740" s="1542"/>
      <c r="CU740" s="1544">
        <f t="shared" si="21"/>
        <v>0</v>
      </c>
      <c r="CV740" s="1544"/>
      <c r="CW740" s="1544"/>
      <c r="CX740" s="1544"/>
      <c r="CY740" s="1544"/>
      <c r="CZ740" s="1544">
        <f t="shared" si="22"/>
        <v>0</v>
      </c>
      <c r="DA740" s="1544"/>
      <c r="DB740" s="1544"/>
      <c r="DC740" s="1544"/>
      <c r="DD740" s="1544"/>
      <c r="DE740" s="1544">
        <f t="shared" si="23"/>
        <v>0</v>
      </c>
      <c r="DF740" s="1544"/>
      <c r="DG740" s="1544"/>
      <c r="DH740" s="1544"/>
      <c r="DI740" s="1544"/>
      <c r="DJ740" s="1544">
        <f t="shared" si="24"/>
        <v>0</v>
      </c>
      <c r="DK740" s="1544"/>
      <c r="DL740" s="1544"/>
      <c r="DM740" s="1544"/>
      <c r="DN740" s="1544"/>
      <c r="DO740" s="1544">
        <f t="shared" si="25"/>
        <v>0</v>
      </c>
      <c r="DP740" s="1544"/>
      <c r="DQ740" s="1544"/>
      <c r="DR740" s="1544"/>
      <c r="DS740" s="1544"/>
      <c r="DT740" s="6"/>
      <c r="DU740" s="1539">
        <f t="shared" si="26"/>
        <v>0</v>
      </c>
      <c r="DV740" s="1539"/>
      <c r="DW740" s="1539"/>
      <c r="DX740" s="1539"/>
      <c r="DY740" s="1539"/>
      <c r="DZ740" s="1539">
        <f t="shared" si="27"/>
        <v>0</v>
      </c>
      <c r="EA740" s="1539"/>
      <c r="EB740" s="1539"/>
      <c r="EC740" s="1539"/>
      <c r="ED740" s="1539"/>
      <c r="EE740" s="1539">
        <f t="shared" si="28"/>
        <v>0</v>
      </c>
      <c r="EF740" s="1539"/>
      <c r="EG740" s="1539"/>
      <c r="EH740" s="1539"/>
      <c r="EI740" s="1539"/>
      <c r="EJ740" s="1539">
        <f t="shared" si="29"/>
        <v>0</v>
      </c>
      <c r="EK740" s="1539"/>
      <c r="EL740" s="1539"/>
      <c r="EM740" s="1539"/>
      <c r="EN740" s="1539"/>
      <c r="EO740" s="1539">
        <f t="shared" si="30"/>
        <v>0</v>
      </c>
      <c r="EP740" s="1539"/>
      <c r="EQ740" s="1539"/>
      <c r="ER740" s="1539"/>
      <c r="ES740" s="1539"/>
      <c r="ET740" s="1539">
        <f t="shared" si="31"/>
        <v>0</v>
      </c>
      <c r="EU740" s="1539"/>
      <c r="EV740" s="1539"/>
      <c r="EW740" s="1539"/>
      <c r="EX740" s="1539"/>
      <c r="EZ740" s="1545" t="str">
        <f t="shared" si="32"/>
        <v/>
      </c>
      <c r="FA740" s="1546"/>
      <c r="FB740" s="1546"/>
      <c r="FC740" s="1546"/>
      <c r="FD740" s="1547"/>
      <c r="FE740" s="1545" t="str">
        <f t="shared" si="33"/>
        <v/>
      </c>
      <c r="FF740" s="1546"/>
      <c r="FG740" s="1546"/>
      <c r="FH740" s="1546"/>
      <c r="FI740" s="1547"/>
      <c r="FJ740" s="1545" t="str">
        <f t="shared" si="34"/>
        <v/>
      </c>
      <c r="FK740" s="1546"/>
      <c r="FL740" s="1546"/>
      <c r="FM740" s="1546"/>
      <c r="FN740" s="1547"/>
      <c r="FO740" s="1545" t="str">
        <f t="shared" si="35"/>
        <v/>
      </c>
      <c r="FP740" s="1546"/>
      <c r="FQ740" s="1546"/>
      <c r="FR740" s="1546"/>
      <c r="FS740" s="1547"/>
      <c r="FT740" s="1545" t="str">
        <f t="shared" si="36"/>
        <v/>
      </c>
      <c r="FU740" s="1546"/>
      <c r="FV740" s="1546"/>
      <c r="FW740" s="1546"/>
      <c r="FX740" s="1547"/>
      <c r="FY740" s="1545" t="str">
        <f t="shared" si="37"/>
        <v/>
      </c>
      <c r="FZ740" s="1546"/>
      <c r="GA740" s="1546"/>
      <c r="GB740" s="1546"/>
      <c r="GC740" s="1547"/>
    </row>
    <row r="741" spans="1:185" ht="13" customHeight="1">
      <c r="B741" s="1363"/>
      <c r="C741" s="1364"/>
      <c r="D741" s="1364"/>
      <c r="E741" s="1364"/>
      <c r="F741" s="1365"/>
      <c r="G741" s="1357"/>
      <c r="H741" s="1358"/>
      <c r="I741" s="1358"/>
      <c r="J741" s="1359"/>
      <c r="K741" s="1360"/>
      <c r="L741" s="1361"/>
      <c r="M741" s="1361"/>
      <c r="N741" s="1362"/>
      <c r="O741" s="1409"/>
      <c r="P741" s="1410"/>
      <c r="Q741" s="1410"/>
      <c r="R741" s="1410"/>
      <c r="S741" s="1411"/>
      <c r="T741" s="1409"/>
      <c r="U741" s="1410"/>
      <c r="V741" s="1410"/>
      <c r="W741" s="1411"/>
      <c r="X741" s="1412">
        <f t="shared" si="10"/>
        <v>0</v>
      </c>
      <c r="Y741" s="1408"/>
      <c r="Z741" s="1408"/>
      <c r="AA741" s="1408"/>
      <c r="AB741" s="1413"/>
      <c r="AC741" s="1414"/>
      <c r="AD741" s="1415"/>
      <c r="AE741" s="1415"/>
      <c r="AF741" s="1415"/>
      <c r="AG741" s="1416"/>
      <c r="AH741" s="1432" t="str">
        <f t="shared" si="38"/>
        <v/>
      </c>
      <c r="AI741" s="1433"/>
      <c r="AJ741" s="1434"/>
      <c r="AK741" s="1363" t="s">
        <v>590</v>
      </c>
      <c r="AL741" s="1364"/>
      <c r="AM741" s="1364"/>
      <c r="AN741" s="1364"/>
      <c r="AO741" s="136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45">
        <f t="shared" si="39"/>
        <v>0</v>
      </c>
      <c r="CH741" s="1547"/>
      <c r="CI741" s="1548">
        <f t="shared" si="40"/>
        <v>0</v>
      </c>
      <c r="CJ741" s="1550"/>
      <c r="CK741" s="1545">
        <f t="shared" si="18"/>
        <v>0</v>
      </c>
      <c r="CL741" s="1547"/>
      <c r="CM741" s="1548">
        <f t="shared" si="19"/>
        <v>0</v>
      </c>
      <c r="CN741" s="1550"/>
      <c r="CO741" s="3"/>
      <c r="CP741" s="1540">
        <f t="shared" si="20"/>
        <v>0</v>
      </c>
      <c r="CQ741" s="1541"/>
      <c r="CR741" s="1541"/>
      <c r="CS741" s="1541"/>
      <c r="CT741" s="1542"/>
      <c r="CU741" s="1544">
        <f t="shared" si="21"/>
        <v>0</v>
      </c>
      <c r="CV741" s="1544"/>
      <c r="CW741" s="1544"/>
      <c r="CX741" s="1544"/>
      <c r="CY741" s="1544"/>
      <c r="CZ741" s="1544">
        <f t="shared" si="22"/>
        <v>0</v>
      </c>
      <c r="DA741" s="1544"/>
      <c r="DB741" s="1544"/>
      <c r="DC741" s="1544"/>
      <c r="DD741" s="1544"/>
      <c r="DE741" s="1544">
        <f t="shared" si="23"/>
        <v>0</v>
      </c>
      <c r="DF741" s="1544"/>
      <c r="DG741" s="1544"/>
      <c r="DH741" s="1544"/>
      <c r="DI741" s="1544"/>
      <c r="DJ741" s="1544">
        <f t="shared" si="24"/>
        <v>0</v>
      </c>
      <c r="DK741" s="1544"/>
      <c r="DL741" s="1544"/>
      <c r="DM741" s="1544"/>
      <c r="DN741" s="1544"/>
      <c r="DO741" s="1544">
        <f t="shared" si="25"/>
        <v>0</v>
      </c>
      <c r="DP741" s="1544"/>
      <c r="DQ741" s="1544"/>
      <c r="DR741" s="1544"/>
      <c r="DS741" s="1544"/>
      <c r="DT741" s="6"/>
      <c r="DU741" s="1539">
        <f t="shared" si="26"/>
        <v>0</v>
      </c>
      <c r="DV741" s="1539"/>
      <c r="DW741" s="1539"/>
      <c r="DX741" s="1539"/>
      <c r="DY741" s="1539"/>
      <c r="DZ741" s="1539">
        <f t="shared" si="27"/>
        <v>0</v>
      </c>
      <c r="EA741" s="1539"/>
      <c r="EB741" s="1539"/>
      <c r="EC741" s="1539"/>
      <c r="ED741" s="1539"/>
      <c r="EE741" s="1539">
        <f t="shared" si="28"/>
        <v>0</v>
      </c>
      <c r="EF741" s="1539"/>
      <c r="EG741" s="1539"/>
      <c r="EH741" s="1539"/>
      <c r="EI741" s="1539"/>
      <c r="EJ741" s="1539">
        <f t="shared" si="29"/>
        <v>0</v>
      </c>
      <c r="EK741" s="1539"/>
      <c r="EL741" s="1539"/>
      <c r="EM741" s="1539"/>
      <c r="EN741" s="1539"/>
      <c r="EO741" s="1539">
        <f t="shared" si="30"/>
        <v>0</v>
      </c>
      <c r="EP741" s="1539"/>
      <c r="EQ741" s="1539"/>
      <c r="ER741" s="1539"/>
      <c r="ES741" s="1539"/>
      <c r="ET741" s="1539">
        <f t="shared" si="31"/>
        <v>0</v>
      </c>
      <c r="EU741" s="1539"/>
      <c r="EV741" s="1539"/>
      <c r="EW741" s="1539"/>
      <c r="EX741" s="1539"/>
      <c r="EZ741" s="1545" t="str">
        <f t="shared" si="32"/>
        <v/>
      </c>
      <c r="FA741" s="1546"/>
      <c r="FB741" s="1546"/>
      <c r="FC741" s="1546"/>
      <c r="FD741" s="1547"/>
      <c r="FE741" s="1545" t="str">
        <f t="shared" si="33"/>
        <v/>
      </c>
      <c r="FF741" s="1546"/>
      <c r="FG741" s="1546"/>
      <c r="FH741" s="1546"/>
      <c r="FI741" s="1547"/>
      <c r="FJ741" s="1545" t="str">
        <f t="shared" si="34"/>
        <v/>
      </c>
      <c r="FK741" s="1546"/>
      <c r="FL741" s="1546"/>
      <c r="FM741" s="1546"/>
      <c r="FN741" s="1547"/>
      <c r="FO741" s="1545" t="str">
        <f t="shared" si="35"/>
        <v/>
      </c>
      <c r="FP741" s="1546"/>
      <c r="FQ741" s="1546"/>
      <c r="FR741" s="1546"/>
      <c r="FS741" s="1547"/>
      <c r="FT741" s="1545" t="str">
        <f t="shared" si="36"/>
        <v/>
      </c>
      <c r="FU741" s="1546"/>
      <c r="FV741" s="1546"/>
      <c r="FW741" s="1546"/>
      <c r="FX741" s="1547"/>
      <c r="FY741" s="1545" t="str">
        <f t="shared" si="37"/>
        <v/>
      </c>
      <c r="FZ741" s="1546"/>
      <c r="GA741" s="1546"/>
      <c r="GB741" s="1546"/>
      <c r="GC741" s="1547"/>
    </row>
    <row r="742" spans="1:185" ht="13" customHeight="1">
      <c r="B742" s="1363"/>
      <c r="C742" s="1364"/>
      <c r="D742" s="1364"/>
      <c r="E742" s="1364"/>
      <c r="F742" s="1365"/>
      <c r="G742" s="1357"/>
      <c r="H742" s="1358"/>
      <c r="I742" s="1358"/>
      <c r="J742" s="1359"/>
      <c r="K742" s="1360"/>
      <c r="L742" s="1361"/>
      <c r="M742" s="1361"/>
      <c r="N742" s="1362"/>
      <c r="O742" s="1409"/>
      <c r="P742" s="1410"/>
      <c r="Q742" s="1410"/>
      <c r="R742" s="1410"/>
      <c r="S742" s="1411"/>
      <c r="T742" s="1409"/>
      <c r="U742" s="1410"/>
      <c r="V742" s="1410"/>
      <c r="W742" s="1411"/>
      <c r="X742" s="1412">
        <f t="shared" si="10"/>
        <v>0</v>
      </c>
      <c r="Y742" s="1408"/>
      <c r="Z742" s="1408"/>
      <c r="AA742" s="1408"/>
      <c r="AB742" s="1413"/>
      <c r="AC742" s="1414"/>
      <c r="AD742" s="1415"/>
      <c r="AE742" s="1415"/>
      <c r="AF742" s="1415"/>
      <c r="AG742" s="1416"/>
      <c r="AH742" s="1432" t="str">
        <f t="shared" si="38"/>
        <v/>
      </c>
      <c r="AI742" s="1433"/>
      <c r="AJ742" s="1434"/>
      <c r="AK742" s="1363" t="s">
        <v>590</v>
      </c>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45">
        <f t="shared" si="39"/>
        <v>0</v>
      </c>
      <c r="CH742" s="1547"/>
      <c r="CI742" s="1548">
        <f t="shared" si="40"/>
        <v>0</v>
      </c>
      <c r="CJ742" s="1550"/>
      <c r="CK742" s="1545">
        <f t="shared" si="18"/>
        <v>0</v>
      </c>
      <c r="CL742" s="1547"/>
      <c r="CM742" s="1548">
        <f t="shared" si="19"/>
        <v>0</v>
      </c>
      <c r="CN742" s="1550"/>
      <c r="CO742" s="3"/>
      <c r="CP742" s="1540">
        <f t="shared" si="20"/>
        <v>0</v>
      </c>
      <c r="CQ742" s="1541"/>
      <c r="CR742" s="1541"/>
      <c r="CS742" s="1541"/>
      <c r="CT742" s="1542"/>
      <c r="CU742" s="1544">
        <f t="shared" si="21"/>
        <v>0</v>
      </c>
      <c r="CV742" s="1544"/>
      <c r="CW742" s="1544"/>
      <c r="CX742" s="1544"/>
      <c r="CY742" s="1544"/>
      <c r="CZ742" s="1544">
        <f t="shared" si="22"/>
        <v>0</v>
      </c>
      <c r="DA742" s="1544"/>
      <c r="DB742" s="1544"/>
      <c r="DC742" s="1544"/>
      <c r="DD742" s="1544"/>
      <c r="DE742" s="1544">
        <f t="shared" si="23"/>
        <v>0</v>
      </c>
      <c r="DF742" s="1544"/>
      <c r="DG742" s="1544"/>
      <c r="DH742" s="1544"/>
      <c r="DI742" s="1544"/>
      <c r="DJ742" s="1544">
        <f t="shared" si="24"/>
        <v>0</v>
      </c>
      <c r="DK742" s="1544"/>
      <c r="DL742" s="1544"/>
      <c r="DM742" s="1544"/>
      <c r="DN742" s="1544"/>
      <c r="DO742" s="1544">
        <f t="shared" si="25"/>
        <v>0</v>
      </c>
      <c r="DP742" s="1544"/>
      <c r="DQ742" s="1544"/>
      <c r="DR742" s="1544"/>
      <c r="DS742" s="1544"/>
      <c r="DT742" s="6"/>
      <c r="DU742" s="1539">
        <f t="shared" si="26"/>
        <v>0</v>
      </c>
      <c r="DV742" s="1539"/>
      <c r="DW742" s="1539"/>
      <c r="DX742" s="1539"/>
      <c r="DY742" s="1539"/>
      <c r="DZ742" s="1539">
        <f t="shared" si="27"/>
        <v>0</v>
      </c>
      <c r="EA742" s="1539"/>
      <c r="EB742" s="1539"/>
      <c r="EC742" s="1539"/>
      <c r="ED742" s="1539"/>
      <c r="EE742" s="1539">
        <f t="shared" si="28"/>
        <v>0</v>
      </c>
      <c r="EF742" s="1539"/>
      <c r="EG742" s="1539"/>
      <c r="EH742" s="1539"/>
      <c r="EI742" s="1539"/>
      <c r="EJ742" s="1539">
        <f t="shared" si="29"/>
        <v>0</v>
      </c>
      <c r="EK742" s="1539"/>
      <c r="EL742" s="1539"/>
      <c r="EM742" s="1539"/>
      <c r="EN742" s="1539"/>
      <c r="EO742" s="1539">
        <f t="shared" si="30"/>
        <v>0</v>
      </c>
      <c r="EP742" s="1539"/>
      <c r="EQ742" s="1539"/>
      <c r="ER742" s="1539"/>
      <c r="ES742" s="1539"/>
      <c r="ET742" s="1539">
        <f t="shared" si="31"/>
        <v>0</v>
      </c>
      <c r="EU742" s="1539"/>
      <c r="EV742" s="1539"/>
      <c r="EW742" s="1539"/>
      <c r="EX742" s="1539"/>
      <c r="EZ742" s="1545" t="str">
        <f t="shared" si="32"/>
        <v/>
      </c>
      <c r="FA742" s="1546"/>
      <c r="FB742" s="1546"/>
      <c r="FC742" s="1546"/>
      <c r="FD742" s="1547"/>
      <c r="FE742" s="1545" t="str">
        <f t="shared" si="33"/>
        <v/>
      </c>
      <c r="FF742" s="1546"/>
      <c r="FG742" s="1546"/>
      <c r="FH742" s="1546"/>
      <c r="FI742" s="1547"/>
      <c r="FJ742" s="1545" t="str">
        <f t="shared" si="34"/>
        <v/>
      </c>
      <c r="FK742" s="1546"/>
      <c r="FL742" s="1546"/>
      <c r="FM742" s="1546"/>
      <c r="FN742" s="1547"/>
      <c r="FO742" s="1545" t="str">
        <f t="shared" si="35"/>
        <v/>
      </c>
      <c r="FP742" s="1546"/>
      <c r="FQ742" s="1546"/>
      <c r="FR742" s="1546"/>
      <c r="FS742" s="1547"/>
      <c r="FT742" s="1545" t="str">
        <f t="shared" si="36"/>
        <v/>
      </c>
      <c r="FU742" s="1546"/>
      <c r="FV742" s="1546"/>
      <c r="FW742" s="1546"/>
      <c r="FX742" s="1547"/>
      <c r="FY742" s="1545" t="str">
        <f t="shared" si="37"/>
        <v/>
      </c>
      <c r="FZ742" s="1546"/>
      <c r="GA742" s="1546"/>
      <c r="GB742" s="1546"/>
      <c r="GC742" s="1547"/>
    </row>
    <row r="743" spans="1:185" ht="13" customHeight="1">
      <c r="B743" s="1363"/>
      <c r="C743" s="1364"/>
      <c r="D743" s="1364"/>
      <c r="E743" s="1364"/>
      <c r="F743" s="1365"/>
      <c r="G743" s="1357"/>
      <c r="H743" s="1358"/>
      <c r="I743" s="1358"/>
      <c r="J743" s="1359"/>
      <c r="K743" s="1360"/>
      <c r="L743" s="1361"/>
      <c r="M743" s="1361"/>
      <c r="N743" s="1362"/>
      <c r="O743" s="1409"/>
      <c r="P743" s="1410"/>
      <c r="Q743" s="1410"/>
      <c r="R743" s="1410"/>
      <c r="S743" s="1411"/>
      <c r="T743" s="1409"/>
      <c r="U743" s="1410"/>
      <c r="V743" s="1410"/>
      <c r="W743" s="1411"/>
      <c r="X743" s="1412">
        <f t="shared" si="10"/>
        <v>0</v>
      </c>
      <c r="Y743" s="1408"/>
      <c r="Z743" s="1408"/>
      <c r="AA743" s="1408"/>
      <c r="AB743" s="1413"/>
      <c r="AC743" s="1414"/>
      <c r="AD743" s="1415"/>
      <c r="AE743" s="1415"/>
      <c r="AF743" s="1415"/>
      <c r="AG743" s="1416"/>
      <c r="AH743" s="1432" t="str">
        <f t="shared" si="38"/>
        <v/>
      </c>
      <c r="AI743" s="1433"/>
      <c r="AJ743" s="1434"/>
      <c r="AK743" s="1363" t="s">
        <v>590</v>
      </c>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45">
        <f t="shared" si="39"/>
        <v>0</v>
      </c>
      <c r="CH743" s="1547"/>
      <c r="CI743" s="1548">
        <f t="shared" si="40"/>
        <v>0</v>
      </c>
      <c r="CJ743" s="1550"/>
      <c r="CK743" s="1545">
        <f t="shared" si="18"/>
        <v>0</v>
      </c>
      <c r="CL743" s="1547"/>
      <c r="CM743" s="1548">
        <f t="shared" si="19"/>
        <v>0</v>
      </c>
      <c r="CN743" s="1550"/>
      <c r="CO743" s="3"/>
      <c r="CP743" s="1540">
        <f t="shared" si="20"/>
        <v>0</v>
      </c>
      <c r="CQ743" s="1541"/>
      <c r="CR743" s="1541"/>
      <c r="CS743" s="1541"/>
      <c r="CT743" s="1542"/>
      <c r="CU743" s="1544">
        <f t="shared" si="21"/>
        <v>0</v>
      </c>
      <c r="CV743" s="1544"/>
      <c r="CW743" s="1544"/>
      <c r="CX743" s="1544"/>
      <c r="CY743" s="1544"/>
      <c r="CZ743" s="1544">
        <f t="shared" si="22"/>
        <v>0</v>
      </c>
      <c r="DA743" s="1544"/>
      <c r="DB743" s="1544"/>
      <c r="DC743" s="1544"/>
      <c r="DD743" s="1544"/>
      <c r="DE743" s="1544">
        <f t="shared" si="23"/>
        <v>0</v>
      </c>
      <c r="DF743" s="1544"/>
      <c r="DG743" s="1544"/>
      <c r="DH743" s="1544"/>
      <c r="DI743" s="1544"/>
      <c r="DJ743" s="1544">
        <f t="shared" si="24"/>
        <v>0</v>
      </c>
      <c r="DK743" s="1544"/>
      <c r="DL743" s="1544"/>
      <c r="DM743" s="1544"/>
      <c r="DN743" s="1544"/>
      <c r="DO743" s="1544">
        <f t="shared" si="25"/>
        <v>0</v>
      </c>
      <c r="DP743" s="1544"/>
      <c r="DQ743" s="1544"/>
      <c r="DR743" s="1544"/>
      <c r="DS743" s="1544"/>
      <c r="DT743" s="6"/>
      <c r="DU743" s="1539">
        <f t="shared" si="26"/>
        <v>0</v>
      </c>
      <c r="DV743" s="1539"/>
      <c r="DW743" s="1539"/>
      <c r="DX743" s="1539"/>
      <c r="DY743" s="1539"/>
      <c r="DZ743" s="1539">
        <f t="shared" si="27"/>
        <v>0</v>
      </c>
      <c r="EA743" s="1539"/>
      <c r="EB743" s="1539"/>
      <c r="EC743" s="1539"/>
      <c r="ED743" s="1539"/>
      <c r="EE743" s="1539">
        <f t="shared" si="28"/>
        <v>0</v>
      </c>
      <c r="EF743" s="1539"/>
      <c r="EG743" s="1539"/>
      <c r="EH743" s="1539"/>
      <c r="EI743" s="1539"/>
      <c r="EJ743" s="1539">
        <f t="shared" si="29"/>
        <v>0</v>
      </c>
      <c r="EK743" s="1539"/>
      <c r="EL743" s="1539"/>
      <c r="EM743" s="1539"/>
      <c r="EN743" s="1539"/>
      <c r="EO743" s="1539">
        <f t="shared" si="30"/>
        <v>0</v>
      </c>
      <c r="EP743" s="1539"/>
      <c r="EQ743" s="1539"/>
      <c r="ER743" s="1539"/>
      <c r="ES743" s="1539"/>
      <c r="ET743" s="1539">
        <f t="shared" si="31"/>
        <v>0</v>
      </c>
      <c r="EU743" s="1539"/>
      <c r="EV743" s="1539"/>
      <c r="EW743" s="1539"/>
      <c r="EX743" s="1539"/>
      <c r="EZ743" s="1545" t="str">
        <f t="shared" si="32"/>
        <v/>
      </c>
      <c r="FA743" s="1546"/>
      <c r="FB743" s="1546"/>
      <c r="FC743" s="1546"/>
      <c r="FD743" s="1547"/>
      <c r="FE743" s="1545" t="str">
        <f t="shared" si="33"/>
        <v/>
      </c>
      <c r="FF743" s="1546"/>
      <c r="FG743" s="1546"/>
      <c r="FH743" s="1546"/>
      <c r="FI743" s="1547"/>
      <c r="FJ743" s="1545" t="str">
        <f t="shared" si="34"/>
        <v/>
      </c>
      <c r="FK743" s="1546"/>
      <c r="FL743" s="1546"/>
      <c r="FM743" s="1546"/>
      <c r="FN743" s="1547"/>
      <c r="FO743" s="1545" t="str">
        <f t="shared" si="35"/>
        <v/>
      </c>
      <c r="FP743" s="1546"/>
      <c r="FQ743" s="1546"/>
      <c r="FR743" s="1546"/>
      <c r="FS743" s="1547"/>
      <c r="FT743" s="1545" t="str">
        <f t="shared" si="36"/>
        <v/>
      </c>
      <c r="FU743" s="1546"/>
      <c r="FV743" s="1546"/>
      <c r="FW743" s="1546"/>
      <c r="FX743" s="1547"/>
      <c r="FY743" s="1545" t="str">
        <f t="shared" si="37"/>
        <v/>
      </c>
      <c r="FZ743" s="1546"/>
      <c r="GA743" s="1546"/>
      <c r="GB743" s="1546"/>
      <c r="GC743" s="1547"/>
    </row>
    <row r="744" spans="1:185" ht="13" customHeight="1">
      <c r="B744" s="1363"/>
      <c r="C744" s="1364"/>
      <c r="D744" s="1364"/>
      <c r="E744" s="1364"/>
      <c r="F744" s="1365"/>
      <c r="G744" s="1357"/>
      <c r="H744" s="1358"/>
      <c r="I744" s="1358"/>
      <c r="J744" s="1359"/>
      <c r="K744" s="1360"/>
      <c r="L744" s="1361"/>
      <c r="M744" s="1361"/>
      <c r="N744" s="1362"/>
      <c r="O744" s="1409"/>
      <c r="P744" s="1410"/>
      <c r="Q744" s="1410"/>
      <c r="R744" s="1410"/>
      <c r="S744" s="1411"/>
      <c r="T744" s="1409"/>
      <c r="U744" s="1410"/>
      <c r="V744" s="1410"/>
      <c r="W744" s="1411"/>
      <c r="X744" s="1412">
        <f t="shared" si="10"/>
        <v>0</v>
      </c>
      <c r="Y744" s="1408"/>
      <c r="Z744" s="1408"/>
      <c r="AA744" s="1408"/>
      <c r="AB744" s="1413"/>
      <c r="AC744" s="1414"/>
      <c r="AD744" s="1415"/>
      <c r="AE744" s="1415"/>
      <c r="AF744" s="1415"/>
      <c r="AG744" s="1416"/>
      <c r="AH744" s="1432" t="str">
        <f t="shared" si="38"/>
        <v/>
      </c>
      <c r="AI744" s="1433"/>
      <c r="AJ744" s="1434"/>
      <c r="AK744" s="1363" t="s">
        <v>590</v>
      </c>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45">
        <f t="shared" si="39"/>
        <v>0</v>
      </c>
      <c r="CH744" s="1547"/>
      <c r="CI744" s="1548">
        <f t="shared" si="40"/>
        <v>0</v>
      </c>
      <c r="CJ744" s="1550"/>
      <c r="CK744" s="1545">
        <f t="shared" si="18"/>
        <v>0</v>
      </c>
      <c r="CL744" s="1547"/>
      <c r="CM744" s="1548">
        <f t="shared" si="19"/>
        <v>0</v>
      </c>
      <c r="CN744" s="1550"/>
      <c r="CO744" s="3"/>
      <c r="CP744" s="1540">
        <f t="shared" si="20"/>
        <v>0</v>
      </c>
      <c r="CQ744" s="1541"/>
      <c r="CR744" s="1541"/>
      <c r="CS744" s="1541"/>
      <c r="CT744" s="1542"/>
      <c r="CU744" s="1544">
        <f t="shared" si="21"/>
        <v>0</v>
      </c>
      <c r="CV744" s="1544"/>
      <c r="CW744" s="1544"/>
      <c r="CX744" s="1544"/>
      <c r="CY744" s="1544"/>
      <c r="CZ744" s="1544">
        <f t="shared" si="22"/>
        <v>0</v>
      </c>
      <c r="DA744" s="1544"/>
      <c r="DB744" s="1544"/>
      <c r="DC744" s="1544"/>
      <c r="DD744" s="1544"/>
      <c r="DE744" s="1544">
        <f t="shared" si="23"/>
        <v>0</v>
      </c>
      <c r="DF744" s="1544"/>
      <c r="DG744" s="1544"/>
      <c r="DH744" s="1544"/>
      <c r="DI744" s="1544"/>
      <c r="DJ744" s="1544">
        <f t="shared" si="24"/>
        <v>0</v>
      </c>
      <c r="DK744" s="1544"/>
      <c r="DL744" s="1544"/>
      <c r="DM744" s="1544"/>
      <c r="DN744" s="1544"/>
      <c r="DO744" s="1544">
        <f t="shared" si="25"/>
        <v>0</v>
      </c>
      <c r="DP744" s="1544"/>
      <c r="DQ744" s="1544"/>
      <c r="DR744" s="1544"/>
      <c r="DS744" s="1544"/>
      <c r="DT744" s="6"/>
      <c r="DU744" s="1539">
        <f t="shared" si="26"/>
        <v>0</v>
      </c>
      <c r="DV744" s="1539"/>
      <c r="DW744" s="1539"/>
      <c r="DX744" s="1539"/>
      <c r="DY744" s="1539"/>
      <c r="DZ744" s="1539">
        <f t="shared" si="27"/>
        <v>0</v>
      </c>
      <c r="EA744" s="1539"/>
      <c r="EB744" s="1539"/>
      <c r="EC744" s="1539"/>
      <c r="ED744" s="1539"/>
      <c r="EE744" s="1539">
        <f t="shared" si="28"/>
        <v>0</v>
      </c>
      <c r="EF744" s="1539"/>
      <c r="EG744" s="1539"/>
      <c r="EH744" s="1539"/>
      <c r="EI744" s="1539"/>
      <c r="EJ744" s="1539">
        <f t="shared" si="29"/>
        <v>0</v>
      </c>
      <c r="EK744" s="1539"/>
      <c r="EL744" s="1539"/>
      <c r="EM744" s="1539"/>
      <c r="EN744" s="1539"/>
      <c r="EO744" s="1539">
        <f t="shared" si="30"/>
        <v>0</v>
      </c>
      <c r="EP744" s="1539"/>
      <c r="EQ744" s="1539"/>
      <c r="ER744" s="1539"/>
      <c r="ES744" s="1539"/>
      <c r="ET744" s="1539">
        <f t="shared" si="31"/>
        <v>0</v>
      </c>
      <c r="EU744" s="1539"/>
      <c r="EV744" s="1539"/>
      <c r="EW744" s="1539"/>
      <c r="EX744" s="1539"/>
      <c r="EZ744" s="1545" t="str">
        <f t="shared" si="32"/>
        <v/>
      </c>
      <c r="FA744" s="1546"/>
      <c r="FB744" s="1546"/>
      <c r="FC744" s="1546"/>
      <c r="FD744" s="1547"/>
      <c r="FE744" s="1545" t="str">
        <f t="shared" si="33"/>
        <v/>
      </c>
      <c r="FF744" s="1546"/>
      <c r="FG744" s="1546"/>
      <c r="FH744" s="1546"/>
      <c r="FI744" s="1547"/>
      <c r="FJ744" s="1545" t="str">
        <f t="shared" si="34"/>
        <v/>
      </c>
      <c r="FK744" s="1546"/>
      <c r="FL744" s="1546"/>
      <c r="FM744" s="1546"/>
      <c r="FN744" s="1547"/>
      <c r="FO744" s="1545" t="str">
        <f t="shared" si="35"/>
        <v/>
      </c>
      <c r="FP744" s="1546"/>
      <c r="FQ744" s="1546"/>
      <c r="FR744" s="1546"/>
      <c r="FS744" s="1547"/>
      <c r="FT744" s="1545" t="str">
        <f t="shared" si="36"/>
        <v/>
      </c>
      <c r="FU744" s="1546"/>
      <c r="FV744" s="1546"/>
      <c r="FW744" s="1546"/>
      <c r="FX744" s="1547"/>
      <c r="FY744" s="1545" t="str">
        <f t="shared" si="37"/>
        <v/>
      </c>
      <c r="FZ744" s="1546"/>
      <c r="GA744" s="1546"/>
      <c r="GB744" s="1546"/>
      <c r="GC744" s="1547"/>
    </row>
    <row r="745" spans="1:185" ht="13" customHeight="1">
      <c r="B745" s="1363"/>
      <c r="C745" s="1364"/>
      <c r="D745" s="1364"/>
      <c r="E745" s="1364"/>
      <c r="F745" s="1365"/>
      <c r="G745" s="1357"/>
      <c r="H745" s="1358"/>
      <c r="I745" s="1358"/>
      <c r="J745" s="1359"/>
      <c r="K745" s="1360"/>
      <c r="L745" s="1361"/>
      <c r="M745" s="1361"/>
      <c r="N745" s="1362"/>
      <c r="O745" s="1409"/>
      <c r="P745" s="1410"/>
      <c r="Q745" s="1410"/>
      <c r="R745" s="1410"/>
      <c r="S745" s="1411"/>
      <c r="T745" s="1409"/>
      <c r="U745" s="1410"/>
      <c r="V745" s="1410"/>
      <c r="W745" s="1411"/>
      <c r="X745" s="1412">
        <f t="shared" si="10"/>
        <v>0</v>
      </c>
      <c r="Y745" s="1408"/>
      <c r="Z745" s="1408"/>
      <c r="AA745" s="1408"/>
      <c r="AB745" s="1413"/>
      <c r="AC745" s="1414"/>
      <c r="AD745" s="1415"/>
      <c r="AE745" s="1415"/>
      <c r="AF745" s="1415"/>
      <c r="AG745" s="1416"/>
      <c r="AH745" s="1432" t="str">
        <f t="shared" si="38"/>
        <v/>
      </c>
      <c r="AI745" s="1433"/>
      <c r="AJ745" s="1434"/>
      <c r="AK745" s="1363" t="s">
        <v>590</v>
      </c>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45">
        <f t="shared" si="39"/>
        <v>0</v>
      </c>
      <c r="CH745" s="1547"/>
      <c r="CI745" s="1548">
        <f t="shared" si="40"/>
        <v>0</v>
      </c>
      <c r="CJ745" s="1550"/>
      <c r="CK745" s="1545">
        <f t="shared" si="18"/>
        <v>0</v>
      </c>
      <c r="CL745" s="1547"/>
      <c r="CM745" s="1548">
        <f t="shared" si="19"/>
        <v>0</v>
      </c>
      <c r="CN745" s="1550"/>
      <c r="CO745" s="3"/>
      <c r="CP745" s="1540">
        <f t="shared" si="20"/>
        <v>0</v>
      </c>
      <c r="CQ745" s="1541"/>
      <c r="CR745" s="1541"/>
      <c r="CS745" s="1541"/>
      <c r="CT745" s="1542"/>
      <c r="CU745" s="1544">
        <f t="shared" si="21"/>
        <v>0</v>
      </c>
      <c r="CV745" s="1544"/>
      <c r="CW745" s="1544"/>
      <c r="CX745" s="1544"/>
      <c r="CY745" s="1544"/>
      <c r="CZ745" s="1544">
        <f t="shared" si="22"/>
        <v>0</v>
      </c>
      <c r="DA745" s="1544"/>
      <c r="DB745" s="1544"/>
      <c r="DC745" s="1544"/>
      <c r="DD745" s="1544"/>
      <c r="DE745" s="1544">
        <f t="shared" si="23"/>
        <v>0</v>
      </c>
      <c r="DF745" s="1544"/>
      <c r="DG745" s="1544"/>
      <c r="DH745" s="1544"/>
      <c r="DI745" s="1544"/>
      <c r="DJ745" s="1544">
        <f t="shared" si="24"/>
        <v>0</v>
      </c>
      <c r="DK745" s="1544"/>
      <c r="DL745" s="1544"/>
      <c r="DM745" s="1544"/>
      <c r="DN745" s="1544"/>
      <c r="DO745" s="1544">
        <f t="shared" si="25"/>
        <v>0</v>
      </c>
      <c r="DP745" s="1544"/>
      <c r="DQ745" s="1544"/>
      <c r="DR745" s="1544"/>
      <c r="DS745" s="1544"/>
      <c r="DT745" s="6"/>
      <c r="DU745" s="1539">
        <f t="shared" si="26"/>
        <v>0</v>
      </c>
      <c r="DV745" s="1539"/>
      <c r="DW745" s="1539"/>
      <c r="DX745" s="1539"/>
      <c r="DY745" s="1539"/>
      <c r="DZ745" s="1539">
        <f t="shared" si="27"/>
        <v>0</v>
      </c>
      <c r="EA745" s="1539"/>
      <c r="EB745" s="1539"/>
      <c r="EC745" s="1539"/>
      <c r="ED745" s="1539"/>
      <c r="EE745" s="1539">
        <f t="shared" si="28"/>
        <v>0</v>
      </c>
      <c r="EF745" s="1539"/>
      <c r="EG745" s="1539"/>
      <c r="EH745" s="1539"/>
      <c r="EI745" s="1539"/>
      <c r="EJ745" s="1539">
        <f t="shared" si="29"/>
        <v>0</v>
      </c>
      <c r="EK745" s="1539"/>
      <c r="EL745" s="1539"/>
      <c r="EM745" s="1539"/>
      <c r="EN745" s="1539"/>
      <c r="EO745" s="1539">
        <f t="shared" si="30"/>
        <v>0</v>
      </c>
      <c r="EP745" s="1539"/>
      <c r="EQ745" s="1539"/>
      <c r="ER745" s="1539"/>
      <c r="ES745" s="1539"/>
      <c r="ET745" s="1539">
        <f t="shared" si="31"/>
        <v>0</v>
      </c>
      <c r="EU745" s="1539"/>
      <c r="EV745" s="1539"/>
      <c r="EW745" s="1539"/>
      <c r="EX745" s="1539"/>
      <c r="EZ745" s="1545" t="str">
        <f t="shared" si="32"/>
        <v/>
      </c>
      <c r="FA745" s="1546"/>
      <c r="FB745" s="1546"/>
      <c r="FC745" s="1546"/>
      <c r="FD745" s="1547"/>
      <c r="FE745" s="1545" t="str">
        <f t="shared" si="33"/>
        <v/>
      </c>
      <c r="FF745" s="1546"/>
      <c r="FG745" s="1546"/>
      <c r="FH745" s="1546"/>
      <c r="FI745" s="1547"/>
      <c r="FJ745" s="1545" t="str">
        <f t="shared" si="34"/>
        <v/>
      </c>
      <c r="FK745" s="1546"/>
      <c r="FL745" s="1546"/>
      <c r="FM745" s="1546"/>
      <c r="FN745" s="1547"/>
      <c r="FO745" s="1545" t="str">
        <f t="shared" si="35"/>
        <v/>
      </c>
      <c r="FP745" s="1546"/>
      <c r="FQ745" s="1546"/>
      <c r="FR745" s="1546"/>
      <c r="FS745" s="1547"/>
      <c r="FT745" s="1545" t="str">
        <f t="shared" si="36"/>
        <v/>
      </c>
      <c r="FU745" s="1546"/>
      <c r="FV745" s="1546"/>
      <c r="FW745" s="1546"/>
      <c r="FX745" s="1547"/>
      <c r="FY745" s="1545" t="str">
        <f t="shared" si="37"/>
        <v/>
      </c>
      <c r="FZ745" s="1546"/>
      <c r="GA745" s="1546"/>
      <c r="GB745" s="1546"/>
      <c r="GC745" s="1547"/>
    </row>
    <row r="746" spans="1:185" ht="13" customHeight="1">
      <c r="B746" s="1363"/>
      <c r="C746" s="1364"/>
      <c r="D746" s="1364"/>
      <c r="E746" s="1364"/>
      <c r="F746" s="1365"/>
      <c r="G746" s="1357"/>
      <c r="H746" s="1358"/>
      <c r="I746" s="1358"/>
      <c r="J746" s="1359"/>
      <c r="K746" s="1360"/>
      <c r="L746" s="1361"/>
      <c r="M746" s="1361"/>
      <c r="N746" s="1362"/>
      <c r="O746" s="1409"/>
      <c r="P746" s="1410"/>
      <c r="Q746" s="1410"/>
      <c r="R746" s="1410"/>
      <c r="S746" s="1411"/>
      <c r="T746" s="1409"/>
      <c r="U746" s="1410"/>
      <c r="V746" s="1410"/>
      <c r="W746" s="1411"/>
      <c r="X746" s="1412">
        <f t="shared" si="10"/>
        <v>0</v>
      </c>
      <c r="Y746" s="1408"/>
      <c r="Z746" s="1408"/>
      <c r="AA746" s="1408"/>
      <c r="AB746" s="1413"/>
      <c r="AC746" s="1414"/>
      <c r="AD746" s="1415"/>
      <c r="AE746" s="1415"/>
      <c r="AF746" s="1415"/>
      <c r="AG746" s="1416"/>
      <c r="AH746" s="1432" t="str">
        <f t="shared" si="38"/>
        <v/>
      </c>
      <c r="AI746" s="1433"/>
      <c r="AJ746" s="1434"/>
      <c r="AK746" s="1363" t="s">
        <v>590</v>
      </c>
      <c r="AL746" s="1364"/>
      <c r="AM746" s="1364"/>
      <c r="AN746" s="1364"/>
      <c r="AO746" s="136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45">
        <f t="shared" si="39"/>
        <v>0</v>
      </c>
      <c r="CH746" s="1547"/>
      <c r="CI746" s="1548">
        <f t="shared" si="40"/>
        <v>0</v>
      </c>
      <c r="CJ746" s="1550"/>
      <c r="CK746" s="1545">
        <f t="shared" si="18"/>
        <v>0</v>
      </c>
      <c r="CL746" s="1547"/>
      <c r="CM746" s="1548">
        <f t="shared" si="19"/>
        <v>0</v>
      </c>
      <c r="CN746" s="1550"/>
      <c r="CO746" s="3"/>
      <c r="CP746" s="1540">
        <f t="shared" si="20"/>
        <v>0</v>
      </c>
      <c r="CQ746" s="1541"/>
      <c r="CR746" s="1541"/>
      <c r="CS746" s="1541"/>
      <c r="CT746" s="1542"/>
      <c r="CU746" s="1544">
        <f t="shared" si="21"/>
        <v>0</v>
      </c>
      <c r="CV746" s="1544"/>
      <c r="CW746" s="1544"/>
      <c r="CX746" s="1544"/>
      <c r="CY746" s="1544"/>
      <c r="CZ746" s="1544">
        <f t="shared" si="22"/>
        <v>0</v>
      </c>
      <c r="DA746" s="1544"/>
      <c r="DB746" s="1544"/>
      <c r="DC746" s="1544"/>
      <c r="DD746" s="1544"/>
      <c r="DE746" s="1544">
        <f t="shared" si="23"/>
        <v>0</v>
      </c>
      <c r="DF746" s="1544"/>
      <c r="DG746" s="1544"/>
      <c r="DH746" s="1544"/>
      <c r="DI746" s="1544"/>
      <c r="DJ746" s="1544">
        <f t="shared" si="24"/>
        <v>0</v>
      </c>
      <c r="DK746" s="1544"/>
      <c r="DL746" s="1544"/>
      <c r="DM746" s="1544"/>
      <c r="DN746" s="1544"/>
      <c r="DO746" s="1544">
        <f t="shared" si="25"/>
        <v>0</v>
      </c>
      <c r="DP746" s="1544"/>
      <c r="DQ746" s="1544"/>
      <c r="DR746" s="1544"/>
      <c r="DS746" s="1544"/>
      <c r="DT746" s="6"/>
      <c r="DU746" s="1539">
        <f t="shared" si="26"/>
        <v>0</v>
      </c>
      <c r="DV746" s="1539"/>
      <c r="DW746" s="1539"/>
      <c r="DX746" s="1539"/>
      <c r="DY746" s="1539"/>
      <c r="DZ746" s="1539">
        <f t="shared" si="27"/>
        <v>0</v>
      </c>
      <c r="EA746" s="1539"/>
      <c r="EB746" s="1539"/>
      <c r="EC746" s="1539"/>
      <c r="ED746" s="1539"/>
      <c r="EE746" s="1539">
        <f t="shared" si="28"/>
        <v>0</v>
      </c>
      <c r="EF746" s="1539"/>
      <c r="EG746" s="1539"/>
      <c r="EH746" s="1539"/>
      <c r="EI746" s="1539"/>
      <c r="EJ746" s="1539">
        <f t="shared" si="29"/>
        <v>0</v>
      </c>
      <c r="EK746" s="1539"/>
      <c r="EL746" s="1539"/>
      <c r="EM746" s="1539"/>
      <c r="EN746" s="1539"/>
      <c r="EO746" s="1539">
        <f t="shared" si="30"/>
        <v>0</v>
      </c>
      <c r="EP746" s="1539"/>
      <c r="EQ746" s="1539"/>
      <c r="ER746" s="1539"/>
      <c r="ES746" s="1539"/>
      <c r="ET746" s="1539">
        <f t="shared" si="31"/>
        <v>0</v>
      </c>
      <c r="EU746" s="1539"/>
      <c r="EV746" s="1539"/>
      <c r="EW746" s="1539"/>
      <c r="EX746" s="1539"/>
      <c r="EZ746" s="1545" t="str">
        <f t="shared" si="32"/>
        <v/>
      </c>
      <c r="FA746" s="1546"/>
      <c r="FB746" s="1546"/>
      <c r="FC746" s="1546"/>
      <c r="FD746" s="1547"/>
      <c r="FE746" s="1545" t="str">
        <f t="shared" si="33"/>
        <v/>
      </c>
      <c r="FF746" s="1546"/>
      <c r="FG746" s="1546"/>
      <c r="FH746" s="1546"/>
      <c r="FI746" s="1547"/>
      <c r="FJ746" s="1545" t="str">
        <f t="shared" si="34"/>
        <v/>
      </c>
      <c r="FK746" s="1546"/>
      <c r="FL746" s="1546"/>
      <c r="FM746" s="1546"/>
      <c r="FN746" s="1547"/>
      <c r="FO746" s="1545" t="str">
        <f t="shared" si="35"/>
        <v/>
      </c>
      <c r="FP746" s="1546"/>
      <c r="FQ746" s="1546"/>
      <c r="FR746" s="1546"/>
      <c r="FS746" s="1547"/>
      <c r="FT746" s="1545" t="str">
        <f t="shared" si="36"/>
        <v/>
      </c>
      <c r="FU746" s="1546"/>
      <c r="FV746" s="1546"/>
      <c r="FW746" s="1546"/>
      <c r="FX746" s="1547"/>
      <c r="FY746" s="1545" t="str">
        <f t="shared" si="37"/>
        <v/>
      </c>
      <c r="FZ746" s="1546"/>
      <c r="GA746" s="1546"/>
      <c r="GB746" s="1546"/>
      <c r="GC746" s="1547"/>
    </row>
    <row r="747" spans="1:185" ht="13" customHeight="1">
      <c r="B747" s="1363"/>
      <c r="C747" s="1364"/>
      <c r="D747" s="1364"/>
      <c r="E747" s="1364"/>
      <c r="F747" s="1365"/>
      <c r="G747" s="1357"/>
      <c r="H747" s="1358"/>
      <c r="I747" s="1358"/>
      <c r="J747" s="1359"/>
      <c r="K747" s="1360"/>
      <c r="L747" s="1361"/>
      <c r="M747" s="1361"/>
      <c r="N747" s="1362"/>
      <c r="O747" s="1409"/>
      <c r="P747" s="1410"/>
      <c r="Q747" s="1410"/>
      <c r="R747" s="1410"/>
      <c r="S747" s="1411"/>
      <c r="T747" s="1409"/>
      <c r="U747" s="1410"/>
      <c r="V747" s="1410"/>
      <c r="W747" s="1411"/>
      <c r="X747" s="1412">
        <f t="shared" si="10"/>
        <v>0</v>
      </c>
      <c r="Y747" s="1408"/>
      <c r="Z747" s="1408"/>
      <c r="AA747" s="1408"/>
      <c r="AB747" s="1413"/>
      <c r="AC747" s="1414"/>
      <c r="AD747" s="1415"/>
      <c r="AE747" s="1415"/>
      <c r="AF747" s="1415"/>
      <c r="AG747" s="1416"/>
      <c r="AH747" s="1432" t="str">
        <f t="shared" si="38"/>
        <v/>
      </c>
      <c r="AI747" s="1433"/>
      <c r="AJ747" s="1434"/>
      <c r="AK747" s="1363" t="s">
        <v>590</v>
      </c>
      <c r="AL747" s="1364"/>
      <c r="AM747" s="1364"/>
      <c r="AN747" s="1364"/>
      <c r="AO747" s="136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45">
        <f t="shared" si="39"/>
        <v>0</v>
      </c>
      <c r="CH747" s="1547"/>
      <c r="CI747" s="1548">
        <f t="shared" si="40"/>
        <v>0</v>
      </c>
      <c r="CJ747" s="1550"/>
      <c r="CK747" s="1545">
        <f t="shared" si="18"/>
        <v>0</v>
      </c>
      <c r="CL747" s="1547"/>
      <c r="CM747" s="1548">
        <f t="shared" si="19"/>
        <v>0</v>
      </c>
      <c r="CN747" s="1550"/>
      <c r="CO747" s="3"/>
      <c r="CP747" s="1540">
        <f t="shared" si="20"/>
        <v>0</v>
      </c>
      <c r="CQ747" s="1541"/>
      <c r="CR747" s="1541"/>
      <c r="CS747" s="1541"/>
      <c r="CT747" s="1542"/>
      <c r="CU747" s="1544">
        <f t="shared" si="21"/>
        <v>0</v>
      </c>
      <c r="CV747" s="1544"/>
      <c r="CW747" s="1544"/>
      <c r="CX747" s="1544"/>
      <c r="CY747" s="1544"/>
      <c r="CZ747" s="1544">
        <f t="shared" si="22"/>
        <v>0</v>
      </c>
      <c r="DA747" s="1544"/>
      <c r="DB747" s="1544"/>
      <c r="DC747" s="1544"/>
      <c r="DD747" s="1544"/>
      <c r="DE747" s="1544">
        <f t="shared" si="23"/>
        <v>0</v>
      </c>
      <c r="DF747" s="1544"/>
      <c r="DG747" s="1544"/>
      <c r="DH747" s="1544"/>
      <c r="DI747" s="1544"/>
      <c r="DJ747" s="1544">
        <f t="shared" si="24"/>
        <v>0</v>
      </c>
      <c r="DK747" s="1544"/>
      <c r="DL747" s="1544"/>
      <c r="DM747" s="1544"/>
      <c r="DN747" s="1544"/>
      <c r="DO747" s="1544">
        <f t="shared" si="25"/>
        <v>0</v>
      </c>
      <c r="DP747" s="1544"/>
      <c r="DQ747" s="1544"/>
      <c r="DR747" s="1544"/>
      <c r="DS747" s="1544"/>
      <c r="DT747" s="6"/>
      <c r="DU747" s="1539">
        <f t="shared" si="26"/>
        <v>0</v>
      </c>
      <c r="DV747" s="1539"/>
      <c r="DW747" s="1539"/>
      <c r="DX747" s="1539"/>
      <c r="DY747" s="1539"/>
      <c r="DZ747" s="1539">
        <f t="shared" si="27"/>
        <v>0</v>
      </c>
      <c r="EA747" s="1539"/>
      <c r="EB747" s="1539"/>
      <c r="EC747" s="1539"/>
      <c r="ED747" s="1539"/>
      <c r="EE747" s="1539">
        <f t="shared" si="28"/>
        <v>0</v>
      </c>
      <c r="EF747" s="1539"/>
      <c r="EG747" s="1539"/>
      <c r="EH747" s="1539"/>
      <c r="EI747" s="1539"/>
      <c r="EJ747" s="1539">
        <f t="shared" si="29"/>
        <v>0</v>
      </c>
      <c r="EK747" s="1539"/>
      <c r="EL747" s="1539"/>
      <c r="EM747" s="1539"/>
      <c r="EN747" s="1539"/>
      <c r="EO747" s="1539">
        <f t="shared" si="30"/>
        <v>0</v>
      </c>
      <c r="EP747" s="1539"/>
      <c r="EQ747" s="1539"/>
      <c r="ER747" s="1539"/>
      <c r="ES747" s="1539"/>
      <c r="ET747" s="1539">
        <f t="shared" si="31"/>
        <v>0</v>
      </c>
      <c r="EU747" s="1539"/>
      <c r="EV747" s="1539"/>
      <c r="EW747" s="1539"/>
      <c r="EX747" s="1539"/>
      <c r="EZ747" s="1545" t="str">
        <f t="shared" si="32"/>
        <v/>
      </c>
      <c r="FA747" s="1546"/>
      <c r="FB747" s="1546"/>
      <c r="FC747" s="1546"/>
      <c r="FD747" s="1547"/>
      <c r="FE747" s="1545" t="str">
        <f t="shared" si="33"/>
        <v/>
      </c>
      <c r="FF747" s="1546"/>
      <c r="FG747" s="1546"/>
      <c r="FH747" s="1546"/>
      <c r="FI747" s="1547"/>
      <c r="FJ747" s="1545" t="str">
        <f t="shared" si="34"/>
        <v/>
      </c>
      <c r="FK747" s="1546"/>
      <c r="FL747" s="1546"/>
      <c r="FM747" s="1546"/>
      <c r="FN747" s="1547"/>
      <c r="FO747" s="1545" t="str">
        <f t="shared" si="35"/>
        <v/>
      </c>
      <c r="FP747" s="1546"/>
      <c r="FQ747" s="1546"/>
      <c r="FR747" s="1546"/>
      <c r="FS747" s="1547"/>
      <c r="FT747" s="1545" t="str">
        <f t="shared" si="36"/>
        <v/>
      </c>
      <c r="FU747" s="1546"/>
      <c r="FV747" s="1546"/>
      <c r="FW747" s="1546"/>
      <c r="FX747" s="1547"/>
      <c r="FY747" s="1545" t="str">
        <f t="shared" si="37"/>
        <v/>
      </c>
      <c r="FZ747" s="1546"/>
      <c r="GA747" s="1546"/>
      <c r="GB747" s="1546"/>
      <c r="GC747" s="1547"/>
    </row>
    <row r="748" spans="1:185" ht="13" customHeight="1">
      <c r="B748" s="1363"/>
      <c r="C748" s="1364"/>
      <c r="D748" s="1364"/>
      <c r="E748" s="1364"/>
      <c r="F748" s="1365"/>
      <c r="G748" s="1357"/>
      <c r="H748" s="1358"/>
      <c r="I748" s="1358"/>
      <c r="J748" s="1359"/>
      <c r="K748" s="1360"/>
      <c r="L748" s="1361"/>
      <c r="M748" s="1361"/>
      <c r="N748" s="1362"/>
      <c r="O748" s="1409"/>
      <c r="P748" s="1410"/>
      <c r="Q748" s="1410"/>
      <c r="R748" s="1410"/>
      <c r="S748" s="1411"/>
      <c r="T748" s="1409"/>
      <c r="U748" s="1410"/>
      <c r="V748" s="1410"/>
      <c r="W748" s="1411"/>
      <c r="X748" s="1412">
        <f t="shared" si="10"/>
        <v>0</v>
      </c>
      <c r="Y748" s="1408"/>
      <c r="Z748" s="1408"/>
      <c r="AA748" s="1408"/>
      <c r="AB748" s="1413"/>
      <c r="AC748" s="1414"/>
      <c r="AD748" s="1415"/>
      <c r="AE748" s="1415"/>
      <c r="AF748" s="1415"/>
      <c r="AG748" s="1416"/>
      <c r="AH748" s="1432" t="str">
        <f t="shared" si="38"/>
        <v/>
      </c>
      <c r="AI748" s="1433"/>
      <c r="AJ748" s="1434"/>
      <c r="AK748" s="1363" t="s">
        <v>590</v>
      </c>
      <c r="AL748" s="1364"/>
      <c r="AM748" s="1364"/>
      <c r="AN748" s="1364"/>
      <c r="AO748" s="136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45">
        <f t="shared" si="39"/>
        <v>0</v>
      </c>
      <c r="CH748" s="1547"/>
      <c r="CI748" s="1548">
        <f t="shared" si="40"/>
        <v>0</v>
      </c>
      <c r="CJ748" s="1550"/>
      <c r="CK748" s="1545">
        <f t="shared" si="18"/>
        <v>0</v>
      </c>
      <c r="CL748" s="1547"/>
      <c r="CM748" s="1548">
        <f t="shared" si="19"/>
        <v>0</v>
      </c>
      <c r="CN748" s="1550"/>
      <c r="CO748" s="3"/>
      <c r="CP748" s="1540">
        <f t="shared" si="20"/>
        <v>0</v>
      </c>
      <c r="CQ748" s="1541"/>
      <c r="CR748" s="1541"/>
      <c r="CS748" s="1541"/>
      <c r="CT748" s="1542"/>
      <c r="CU748" s="1544">
        <f t="shared" si="21"/>
        <v>0</v>
      </c>
      <c r="CV748" s="1544"/>
      <c r="CW748" s="1544"/>
      <c r="CX748" s="1544"/>
      <c r="CY748" s="1544"/>
      <c r="CZ748" s="1544">
        <f t="shared" si="22"/>
        <v>0</v>
      </c>
      <c r="DA748" s="1544"/>
      <c r="DB748" s="1544"/>
      <c r="DC748" s="1544"/>
      <c r="DD748" s="1544"/>
      <c r="DE748" s="1544">
        <f t="shared" si="23"/>
        <v>0</v>
      </c>
      <c r="DF748" s="1544"/>
      <c r="DG748" s="1544"/>
      <c r="DH748" s="1544"/>
      <c r="DI748" s="1544"/>
      <c r="DJ748" s="1544">
        <f t="shared" si="24"/>
        <v>0</v>
      </c>
      <c r="DK748" s="1544"/>
      <c r="DL748" s="1544"/>
      <c r="DM748" s="1544"/>
      <c r="DN748" s="1544"/>
      <c r="DO748" s="1544">
        <f t="shared" si="25"/>
        <v>0</v>
      </c>
      <c r="DP748" s="1544"/>
      <c r="DQ748" s="1544"/>
      <c r="DR748" s="1544"/>
      <c r="DS748" s="1544"/>
      <c r="DT748" s="6"/>
      <c r="DU748" s="1539">
        <f t="shared" si="26"/>
        <v>0</v>
      </c>
      <c r="DV748" s="1539"/>
      <c r="DW748" s="1539"/>
      <c r="DX748" s="1539"/>
      <c r="DY748" s="1539"/>
      <c r="DZ748" s="1539">
        <f t="shared" si="27"/>
        <v>0</v>
      </c>
      <c r="EA748" s="1539"/>
      <c r="EB748" s="1539"/>
      <c r="EC748" s="1539"/>
      <c r="ED748" s="1539"/>
      <c r="EE748" s="1539">
        <f t="shared" si="28"/>
        <v>0</v>
      </c>
      <c r="EF748" s="1539"/>
      <c r="EG748" s="1539"/>
      <c r="EH748" s="1539"/>
      <c r="EI748" s="1539"/>
      <c r="EJ748" s="1539">
        <f t="shared" si="29"/>
        <v>0</v>
      </c>
      <c r="EK748" s="1539"/>
      <c r="EL748" s="1539"/>
      <c r="EM748" s="1539"/>
      <c r="EN748" s="1539"/>
      <c r="EO748" s="1539">
        <f t="shared" si="30"/>
        <v>0</v>
      </c>
      <c r="EP748" s="1539"/>
      <c r="EQ748" s="1539"/>
      <c r="ER748" s="1539"/>
      <c r="ES748" s="1539"/>
      <c r="ET748" s="1539">
        <f t="shared" si="31"/>
        <v>0</v>
      </c>
      <c r="EU748" s="1539"/>
      <c r="EV748" s="1539"/>
      <c r="EW748" s="1539"/>
      <c r="EX748" s="1539"/>
      <c r="EZ748" s="1545" t="str">
        <f t="shared" si="32"/>
        <v/>
      </c>
      <c r="FA748" s="1546"/>
      <c r="FB748" s="1546"/>
      <c r="FC748" s="1546"/>
      <c r="FD748" s="1547"/>
      <c r="FE748" s="1545" t="str">
        <f t="shared" si="33"/>
        <v/>
      </c>
      <c r="FF748" s="1546"/>
      <c r="FG748" s="1546"/>
      <c r="FH748" s="1546"/>
      <c r="FI748" s="1547"/>
      <c r="FJ748" s="1545" t="str">
        <f t="shared" si="34"/>
        <v/>
      </c>
      <c r="FK748" s="1546"/>
      <c r="FL748" s="1546"/>
      <c r="FM748" s="1546"/>
      <c r="FN748" s="1547"/>
      <c r="FO748" s="1545" t="str">
        <f t="shared" si="35"/>
        <v/>
      </c>
      <c r="FP748" s="1546"/>
      <c r="FQ748" s="1546"/>
      <c r="FR748" s="1546"/>
      <c r="FS748" s="1547"/>
      <c r="FT748" s="1545" t="str">
        <f t="shared" si="36"/>
        <v/>
      </c>
      <c r="FU748" s="1546"/>
      <c r="FV748" s="1546"/>
      <c r="FW748" s="1546"/>
      <c r="FX748" s="1547"/>
      <c r="FY748" s="1545" t="str">
        <f t="shared" si="37"/>
        <v/>
      </c>
      <c r="FZ748" s="1546"/>
      <c r="GA748" s="1546"/>
      <c r="GB748" s="1546"/>
      <c r="GC748" s="1547"/>
    </row>
    <row r="749" spans="1:185" ht="13" customHeight="1">
      <c r="B749" s="1363"/>
      <c r="C749" s="1364"/>
      <c r="D749" s="1364"/>
      <c r="E749" s="1364"/>
      <c r="F749" s="1365"/>
      <c r="G749" s="1357"/>
      <c r="H749" s="1358"/>
      <c r="I749" s="1358"/>
      <c r="J749" s="1359"/>
      <c r="K749" s="1360"/>
      <c r="L749" s="1361"/>
      <c r="M749" s="1361"/>
      <c r="N749" s="1362"/>
      <c r="O749" s="1409"/>
      <c r="P749" s="1410"/>
      <c r="Q749" s="1410"/>
      <c r="R749" s="1410"/>
      <c r="S749" s="1411"/>
      <c r="T749" s="1409"/>
      <c r="U749" s="1410"/>
      <c r="V749" s="1410"/>
      <c r="W749" s="1411"/>
      <c r="X749" s="1412">
        <f t="shared" si="10"/>
        <v>0</v>
      </c>
      <c r="Y749" s="1408"/>
      <c r="Z749" s="1408"/>
      <c r="AA749" s="1408"/>
      <c r="AB749" s="1413"/>
      <c r="AC749" s="1414"/>
      <c r="AD749" s="1415"/>
      <c r="AE749" s="1415"/>
      <c r="AF749" s="1415"/>
      <c r="AG749" s="1416"/>
      <c r="AH749" s="1432" t="str">
        <f t="shared" si="38"/>
        <v/>
      </c>
      <c r="AI749" s="1433"/>
      <c r="AJ749" s="1434"/>
      <c r="AK749" s="1363" t="s">
        <v>590</v>
      </c>
      <c r="AL749" s="1364"/>
      <c r="AM749" s="1364"/>
      <c r="AN749" s="1364"/>
      <c r="AO749" s="136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45">
        <f t="shared" si="39"/>
        <v>0</v>
      </c>
      <c r="CH749" s="1547"/>
      <c r="CI749" s="1548">
        <f t="shared" si="40"/>
        <v>0</v>
      </c>
      <c r="CJ749" s="1550"/>
      <c r="CK749" s="1545">
        <f t="shared" si="18"/>
        <v>0</v>
      </c>
      <c r="CL749" s="1547"/>
      <c r="CM749" s="1548">
        <f t="shared" si="19"/>
        <v>0</v>
      </c>
      <c r="CN749" s="1550"/>
      <c r="CO749" s="3"/>
      <c r="CP749" s="1540">
        <f t="shared" si="20"/>
        <v>0</v>
      </c>
      <c r="CQ749" s="1541"/>
      <c r="CR749" s="1541"/>
      <c r="CS749" s="1541"/>
      <c r="CT749" s="1542"/>
      <c r="CU749" s="1544">
        <f t="shared" si="21"/>
        <v>0</v>
      </c>
      <c r="CV749" s="1544"/>
      <c r="CW749" s="1544"/>
      <c r="CX749" s="1544"/>
      <c r="CY749" s="1544"/>
      <c r="CZ749" s="1544">
        <f t="shared" si="22"/>
        <v>0</v>
      </c>
      <c r="DA749" s="1544"/>
      <c r="DB749" s="1544"/>
      <c r="DC749" s="1544"/>
      <c r="DD749" s="1544"/>
      <c r="DE749" s="1544">
        <f t="shared" si="23"/>
        <v>0</v>
      </c>
      <c r="DF749" s="1544"/>
      <c r="DG749" s="1544"/>
      <c r="DH749" s="1544"/>
      <c r="DI749" s="1544"/>
      <c r="DJ749" s="1544">
        <f t="shared" si="24"/>
        <v>0</v>
      </c>
      <c r="DK749" s="1544"/>
      <c r="DL749" s="1544"/>
      <c r="DM749" s="1544"/>
      <c r="DN749" s="1544"/>
      <c r="DO749" s="1544">
        <f t="shared" si="25"/>
        <v>0</v>
      </c>
      <c r="DP749" s="1544"/>
      <c r="DQ749" s="1544"/>
      <c r="DR749" s="1544"/>
      <c r="DS749" s="1544"/>
      <c r="DT749" s="6"/>
      <c r="DU749" s="1539">
        <f t="shared" si="26"/>
        <v>0</v>
      </c>
      <c r="DV749" s="1539"/>
      <c r="DW749" s="1539"/>
      <c r="DX749" s="1539"/>
      <c r="DY749" s="1539"/>
      <c r="DZ749" s="1539">
        <f t="shared" si="27"/>
        <v>0</v>
      </c>
      <c r="EA749" s="1539"/>
      <c r="EB749" s="1539"/>
      <c r="EC749" s="1539"/>
      <c r="ED749" s="1539"/>
      <c r="EE749" s="1539">
        <f t="shared" si="28"/>
        <v>0</v>
      </c>
      <c r="EF749" s="1539"/>
      <c r="EG749" s="1539"/>
      <c r="EH749" s="1539"/>
      <c r="EI749" s="1539"/>
      <c r="EJ749" s="1539">
        <f t="shared" si="29"/>
        <v>0</v>
      </c>
      <c r="EK749" s="1539"/>
      <c r="EL749" s="1539"/>
      <c r="EM749" s="1539"/>
      <c r="EN749" s="1539"/>
      <c r="EO749" s="1539">
        <f t="shared" si="30"/>
        <v>0</v>
      </c>
      <c r="EP749" s="1539"/>
      <c r="EQ749" s="1539"/>
      <c r="ER749" s="1539"/>
      <c r="ES749" s="1539"/>
      <c r="ET749" s="1539">
        <f t="shared" si="31"/>
        <v>0</v>
      </c>
      <c r="EU749" s="1539"/>
      <c r="EV749" s="1539"/>
      <c r="EW749" s="1539"/>
      <c r="EX749" s="1539"/>
      <c r="EZ749" s="1545" t="str">
        <f t="shared" si="32"/>
        <v/>
      </c>
      <c r="FA749" s="1546"/>
      <c r="FB749" s="1546"/>
      <c r="FC749" s="1546"/>
      <c r="FD749" s="1547"/>
      <c r="FE749" s="1545" t="str">
        <f t="shared" si="33"/>
        <v/>
      </c>
      <c r="FF749" s="1546"/>
      <c r="FG749" s="1546"/>
      <c r="FH749" s="1546"/>
      <c r="FI749" s="1547"/>
      <c r="FJ749" s="1545" t="str">
        <f t="shared" si="34"/>
        <v/>
      </c>
      <c r="FK749" s="1546"/>
      <c r="FL749" s="1546"/>
      <c r="FM749" s="1546"/>
      <c r="FN749" s="1547"/>
      <c r="FO749" s="1545" t="str">
        <f t="shared" si="35"/>
        <v/>
      </c>
      <c r="FP749" s="1546"/>
      <c r="FQ749" s="1546"/>
      <c r="FR749" s="1546"/>
      <c r="FS749" s="1547"/>
      <c r="FT749" s="1545" t="str">
        <f t="shared" si="36"/>
        <v/>
      </c>
      <c r="FU749" s="1546"/>
      <c r="FV749" s="1546"/>
      <c r="FW749" s="1546"/>
      <c r="FX749" s="1547"/>
      <c r="FY749" s="1545" t="str">
        <f t="shared" si="37"/>
        <v/>
      </c>
      <c r="FZ749" s="1546"/>
      <c r="GA749" s="1546"/>
      <c r="GB749" s="1546"/>
      <c r="GC749" s="1547"/>
    </row>
    <row r="750" spans="1:185" ht="13" customHeight="1">
      <c r="B750" s="1363"/>
      <c r="C750" s="1364"/>
      <c r="D750" s="1364"/>
      <c r="E750" s="1364"/>
      <c r="F750" s="1365"/>
      <c r="G750" s="1357"/>
      <c r="H750" s="1358"/>
      <c r="I750" s="1358"/>
      <c r="J750" s="1359"/>
      <c r="K750" s="1360"/>
      <c r="L750" s="1361"/>
      <c r="M750" s="1361"/>
      <c r="N750" s="1362"/>
      <c r="O750" s="1409"/>
      <c r="P750" s="1410"/>
      <c r="Q750" s="1410"/>
      <c r="R750" s="1410"/>
      <c r="S750" s="1411"/>
      <c r="T750" s="1409"/>
      <c r="U750" s="1410"/>
      <c r="V750" s="1410"/>
      <c r="W750" s="1411"/>
      <c r="X750" s="1412">
        <f t="shared" ref="X750:X759" si="41">O750+T750</f>
        <v>0</v>
      </c>
      <c r="Y750" s="1408"/>
      <c r="Z750" s="1408"/>
      <c r="AA750" s="1408"/>
      <c r="AB750" s="1413"/>
      <c r="AC750" s="1414"/>
      <c r="AD750" s="1415"/>
      <c r="AE750" s="1415"/>
      <c r="AF750" s="1415"/>
      <c r="AG750" s="1416"/>
      <c r="AH750" s="1432" t="str">
        <f t="shared" si="38"/>
        <v/>
      </c>
      <c r="AI750" s="1433"/>
      <c r="AJ750" s="1434"/>
      <c r="AK750" s="1363" t="s">
        <v>590</v>
      </c>
      <c r="AL750" s="1364"/>
      <c r="AM750" s="1364"/>
      <c r="AN750" s="1364"/>
      <c r="AO750" s="136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45">
        <f t="shared" si="39"/>
        <v>0</v>
      </c>
      <c r="CH750" s="1547"/>
      <c r="CI750" s="1548">
        <f t="shared" si="40"/>
        <v>0</v>
      </c>
      <c r="CJ750" s="1550"/>
      <c r="CK750" s="1545">
        <f t="shared" si="18"/>
        <v>0</v>
      </c>
      <c r="CL750" s="1547"/>
      <c r="CM750" s="1548">
        <f t="shared" si="19"/>
        <v>0</v>
      </c>
      <c r="CN750" s="1550"/>
      <c r="CO750" s="3"/>
      <c r="CP750" s="1540">
        <f t="shared" si="20"/>
        <v>0</v>
      </c>
      <c r="CQ750" s="1541"/>
      <c r="CR750" s="1541"/>
      <c r="CS750" s="1541"/>
      <c r="CT750" s="1542"/>
      <c r="CU750" s="1544">
        <f t="shared" si="21"/>
        <v>0</v>
      </c>
      <c r="CV750" s="1544"/>
      <c r="CW750" s="1544"/>
      <c r="CX750" s="1544"/>
      <c r="CY750" s="1544"/>
      <c r="CZ750" s="1544">
        <f t="shared" si="22"/>
        <v>0</v>
      </c>
      <c r="DA750" s="1544"/>
      <c r="DB750" s="1544"/>
      <c r="DC750" s="1544"/>
      <c r="DD750" s="1544"/>
      <c r="DE750" s="1544">
        <f t="shared" si="23"/>
        <v>0</v>
      </c>
      <c r="DF750" s="1544"/>
      <c r="DG750" s="1544"/>
      <c r="DH750" s="1544"/>
      <c r="DI750" s="1544"/>
      <c r="DJ750" s="1544">
        <f t="shared" si="24"/>
        <v>0</v>
      </c>
      <c r="DK750" s="1544"/>
      <c r="DL750" s="1544"/>
      <c r="DM750" s="1544"/>
      <c r="DN750" s="1544"/>
      <c r="DO750" s="1544">
        <f t="shared" si="25"/>
        <v>0</v>
      </c>
      <c r="DP750" s="1544"/>
      <c r="DQ750" s="1544"/>
      <c r="DR750" s="1544"/>
      <c r="DS750" s="1544"/>
      <c r="DT750" s="6"/>
      <c r="DU750" s="1539">
        <f t="shared" si="26"/>
        <v>0</v>
      </c>
      <c r="DV750" s="1539"/>
      <c r="DW750" s="1539"/>
      <c r="DX750" s="1539"/>
      <c r="DY750" s="1539"/>
      <c r="DZ750" s="1539">
        <f t="shared" si="27"/>
        <v>0</v>
      </c>
      <c r="EA750" s="1539"/>
      <c r="EB750" s="1539"/>
      <c r="EC750" s="1539"/>
      <c r="ED750" s="1539"/>
      <c r="EE750" s="1539">
        <f t="shared" si="28"/>
        <v>0</v>
      </c>
      <c r="EF750" s="1539"/>
      <c r="EG750" s="1539"/>
      <c r="EH750" s="1539"/>
      <c r="EI750" s="1539"/>
      <c r="EJ750" s="1539">
        <f t="shared" si="29"/>
        <v>0</v>
      </c>
      <c r="EK750" s="1539"/>
      <c r="EL750" s="1539"/>
      <c r="EM750" s="1539"/>
      <c r="EN750" s="1539"/>
      <c r="EO750" s="1539">
        <f t="shared" si="30"/>
        <v>0</v>
      </c>
      <c r="EP750" s="1539"/>
      <c r="EQ750" s="1539"/>
      <c r="ER750" s="1539"/>
      <c r="ES750" s="1539"/>
      <c r="ET750" s="1539">
        <f t="shared" si="31"/>
        <v>0</v>
      </c>
      <c r="EU750" s="1539"/>
      <c r="EV750" s="1539"/>
      <c r="EW750" s="1539"/>
      <c r="EX750" s="1539"/>
      <c r="EZ750" s="1545" t="str">
        <f t="shared" si="32"/>
        <v/>
      </c>
      <c r="FA750" s="1546"/>
      <c r="FB750" s="1546"/>
      <c r="FC750" s="1546"/>
      <c r="FD750" s="1547"/>
      <c r="FE750" s="1545" t="str">
        <f t="shared" si="33"/>
        <v/>
      </c>
      <c r="FF750" s="1546"/>
      <c r="FG750" s="1546"/>
      <c r="FH750" s="1546"/>
      <c r="FI750" s="1547"/>
      <c r="FJ750" s="1545" t="str">
        <f t="shared" si="34"/>
        <v/>
      </c>
      <c r="FK750" s="1546"/>
      <c r="FL750" s="1546"/>
      <c r="FM750" s="1546"/>
      <c r="FN750" s="1547"/>
      <c r="FO750" s="1545" t="str">
        <f t="shared" si="35"/>
        <v/>
      </c>
      <c r="FP750" s="1546"/>
      <c r="FQ750" s="1546"/>
      <c r="FR750" s="1546"/>
      <c r="FS750" s="1547"/>
      <c r="FT750" s="1545" t="str">
        <f t="shared" si="36"/>
        <v/>
      </c>
      <c r="FU750" s="1546"/>
      <c r="FV750" s="1546"/>
      <c r="FW750" s="1546"/>
      <c r="FX750" s="1547"/>
      <c r="FY750" s="1545" t="str">
        <f t="shared" si="37"/>
        <v/>
      </c>
      <c r="FZ750" s="1546"/>
      <c r="GA750" s="1546"/>
      <c r="GB750" s="1546"/>
      <c r="GC750" s="1547"/>
    </row>
    <row r="751" spans="1:185" s="3" customFormat="1" ht="13" customHeight="1">
      <c r="A751"/>
      <c r="B751" s="1363"/>
      <c r="C751" s="1364"/>
      <c r="D751" s="1364"/>
      <c r="E751" s="1364"/>
      <c r="F751" s="1365"/>
      <c r="G751" s="1357"/>
      <c r="H751" s="1358"/>
      <c r="I751" s="1358"/>
      <c r="J751" s="1359"/>
      <c r="K751" s="1360"/>
      <c r="L751" s="1361"/>
      <c r="M751" s="1361"/>
      <c r="N751" s="1362"/>
      <c r="O751" s="1409"/>
      <c r="P751" s="1410"/>
      <c r="Q751" s="1410"/>
      <c r="R751" s="1410"/>
      <c r="S751" s="1411"/>
      <c r="T751" s="1409"/>
      <c r="U751" s="1410"/>
      <c r="V751" s="1410"/>
      <c r="W751" s="1411"/>
      <c r="X751" s="1412">
        <f t="shared" si="41"/>
        <v>0</v>
      </c>
      <c r="Y751" s="1408"/>
      <c r="Z751" s="1408"/>
      <c r="AA751" s="1408"/>
      <c r="AB751" s="1413"/>
      <c r="AC751" s="1414"/>
      <c r="AD751" s="1415"/>
      <c r="AE751" s="1415"/>
      <c r="AF751" s="1415"/>
      <c r="AG751" s="1416"/>
      <c r="AH751" s="1432" t="str">
        <f t="shared" si="38"/>
        <v/>
      </c>
      <c r="AI751" s="1433"/>
      <c r="AJ751" s="1434"/>
      <c r="AK751" s="1363" t="s">
        <v>590</v>
      </c>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45">
        <f t="shared" si="39"/>
        <v>0</v>
      </c>
      <c r="CH751" s="1547"/>
      <c r="CI751" s="1548">
        <f t="shared" si="40"/>
        <v>0</v>
      </c>
      <c r="CJ751" s="1550"/>
      <c r="CK751" s="1545">
        <f t="shared" si="18"/>
        <v>0</v>
      </c>
      <c r="CL751" s="1547"/>
      <c r="CM751" s="1548">
        <f t="shared" si="19"/>
        <v>0</v>
      </c>
      <c r="CN751" s="1550"/>
      <c r="CP751" s="1540">
        <f t="shared" si="20"/>
        <v>0</v>
      </c>
      <c r="CQ751" s="1541"/>
      <c r="CR751" s="1541"/>
      <c r="CS751" s="1541"/>
      <c r="CT751" s="1542"/>
      <c r="CU751" s="1544">
        <f t="shared" si="21"/>
        <v>0</v>
      </c>
      <c r="CV751" s="1544"/>
      <c r="CW751" s="1544"/>
      <c r="CX751" s="1544"/>
      <c r="CY751" s="1544"/>
      <c r="CZ751" s="1544">
        <f t="shared" si="22"/>
        <v>0</v>
      </c>
      <c r="DA751" s="1544"/>
      <c r="DB751" s="1544"/>
      <c r="DC751" s="1544"/>
      <c r="DD751" s="1544"/>
      <c r="DE751" s="1544">
        <f t="shared" si="23"/>
        <v>0</v>
      </c>
      <c r="DF751" s="1544"/>
      <c r="DG751" s="1544"/>
      <c r="DH751" s="1544"/>
      <c r="DI751" s="1544"/>
      <c r="DJ751" s="1544">
        <f t="shared" si="24"/>
        <v>0</v>
      </c>
      <c r="DK751" s="1544"/>
      <c r="DL751" s="1544"/>
      <c r="DM751" s="1544"/>
      <c r="DN751" s="1544"/>
      <c r="DO751" s="1544">
        <f t="shared" si="25"/>
        <v>0</v>
      </c>
      <c r="DP751" s="1544"/>
      <c r="DQ751" s="1544"/>
      <c r="DR751" s="1544"/>
      <c r="DS751" s="1544"/>
      <c r="DT751" s="6"/>
      <c r="DU751" s="1539">
        <f t="shared" si="26"/>
        <v>0</v>
      </c>
      <c r="DV751" s="1539"/>
      <c r="DW751" s="1539"/>
      <c r="DX751" s="1539"/>
      <c r="DY751" s="1539"/>
      <c r="DZ751" s="1539">
        <f t="shared" si="27"/>
        <v>0</v>
      </c>
      <c r="EA751" s="1539"/>
      <c r="EB751" s="1539"/>
      <c r="EC751" s="1539"/>
      <c r="ED751" s="1539"/>
      <c r="EE751" s="1539">
        <f t="shared" si="28"/>
        <v>0</v>
      </c>
      <c r="EF751" s="1539"/>
      <c r="EG751" s="1539"/>
      <c r="EH751" s="1539"/>
      <c r="EI751" s="1539"/>
      <c r="EJ751" s="1539">
        <f t="shared" si="29"/>
        <v>0</v>
      </c>
      <c r="EK751" s="1539"/>
      <c r="EL751" s="1539"/>
      <c r="EM751" s="1539"/>
      <c r="EN751" s="1539"/>
      <c r="EO751" s="1539">
        <f t="shared" si="30"/>
        <v>0</v>
      </c>
      <c r="EP751" s="1539"/>
      <c r="EQ751" s="1539"/>
      <c r="ER751" s="1539"/>
      <c r="ES751" s="1539"/>
      <c r="ET751" s="1539">
        <f t="shared" si="31"/>
        <v>0</v>
      </c>
      <c r="EU751" s="1539"/>
      <c r="EV751" s="1539"/>
      <c r="EW751" s="1539"/>
      <c r="EX751" s="1539"/>
      <c r="EY751"/>
      <c r="EZ751" s="1545" t="str">
        <f t="shared" si="32"/>
        <v/>
      </c>
      <c r="FA751" s="1546"/>
      <c r="FB751" s="1546"/>
      <c r="FC751" s="1546"/>
      <c r="FD751" s="1547"/>
      <c r="FE751" s="1545" t="str">
        <f t="shared" si="33"/>
        <v/>
      </c>
      <c r="FF751" s="1546"/>
      <c r="FG751" s="1546"/>
      <c r="FH751" s="1546"/>
      <c r="FI751" s="1547"/>
      <c r="FJ751" s="1545" t="str">
        <f t="shared" si="34"/>
        <v/>
      </c>
      <c r="FK751" s="1546"/>
      <c r="FL751" s="1546"/>
      <c r="FM751" s="1546"/>
      <c r="FN751" s="1547"/>
      <c r="FO751" s="1545" t="str">
        <f t="shared" si="35"/>
        <v/>
      </c>
      <c r="FP751" s="1546"/>
      <c r="FQ751" s="1546"/>
      <c r="FR751" s="1546"/>
      <c r="FS751" s="1547"/>
      <c r="FT751" s="1545" t="str">
        <f t="shared" si="36"/>
        <v/>
      </c>
      <c r="FU751" s="1546"/>
      <c r="FV751" s="1546"/>
      <c r="FW751" s="1546"/>
      <c r="FX751" s="1547"/>
      <c r="FY751" s="1545" t="str">
        <f t="shared" si="37"/>
        <v/>
      </c>
      <c r="FZ751" s="1546"/>
      <c r="GA751" s="1546"/>
      <c r="GB751" s="1546"/>
      <c r="GC751" s="1547"/>
    </row>
    <row r="752" spans="1:185" ht="13" customHeight="1">
      <c r="B752" s="1363"/>
      <c r="C752" s="1364"/>
      <c r="D752" s="1364"/>
      <c r="E752" s="1364"/>
      <c r="F752" s="1365"/>
      <c r="G752" s="1357"/>
      <c r="H752" s="1358"/>
      <c r="I752" s="1358"/>
      <c r="J752" s="1359"/>
      <c r="K752" s="1360"/>
      <c r="L752" s="1361"/>
      <c r="M752" s="1361"/>
      <c r="N752" s="1362"/>
      <c r="O752" s="1409"/>
      <c r="P752" s="1410"/>
      <c r="Q752" s="1410"/>
      <c r="R752" s="1410"/>
      <c r="S752" s="1411"/>
      <c r="T752" s="1409"/>
      <c r="U752" s="1410"/>
      <c r="V752" s="1410"/>
      <c r="W752" s="1411"/>
      <c r="X752" s="1412">
        <f t="shared" si="41"/>
        <v>0</v>
      </c>
      <c r="Y752" s="1408"/>
      <c r="Z752" s="1408"/>
      <c r="AA752" s="1408"/>
      <c r="AB752" s="1413"/>
      <c r="AC752" s="1414"/>
      <c r="AD752" s="1415"/>
      <c r="AE752" s="1415"/>
      <c r="AF752" s="1415"/>
      <c r="AG752" s="1416"/>
      <c r="AH752" s="1432" t="str">
        <f t="shared" si="38"/>
        <v/>
      </c>
      <c r="AI752" s="1433"/>
      <c r="AJ752" s="1434"/>
      <c r="AK752" s="1363" t="s">
        <v>590</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45">
        <f t="shared" si="39"/>
        <v>0</v>
      </c>
      <c r="CH752" s="1547"/>
      <c r="CI752" s="1548">
        <f t="shared" si="40"/>
        <v>0</v>
      </c>
      <c r="CJ752" s="1550"/>
      <c r="CK752" s="1545">
        <f t="shared" si="18"/>
        <v>0</v>
      </c>
      <c r="CL752" s="1547"/>
      <c r="CM752" s="1548">
        <f t="shared" si="19"/>
        <v>0</v>
      </c>
      <c r="CN752" s="1550"/>
      <c r="CO752" s="3"/>
      <c r="CP752" s="1540">
        <f t="shared" si="20"/>
        <v>0</v>
      </c>
      <c r="CQ752" s="1541"/>
      <c r="CR752" s="1541"/>
      <c r="CS752" s="1541"/>
      <c r="CT752" s="1542"/>
      <c r="CU752" s="1544">
        <f t="shared" si="21"/>
        <v>0</v>
      </c>
      <c r="CV752" s="1544"/>
      <c r="CW752" s="1544"/>
      <c r="CX752" s="1544"/>
      <c r="CY752" s="1544"/>
      <c r="CZ752" s="1544">
        <f t="shared" si="22"/>
        <v>0</v>
      </c>
      <c r="DA752" s="1544"/>
      <c r="DB752" s="1544"/>
      <c r="DC752" s="1544"/>
      <c r="DD752" s="1544"/>
      <c r="DE752" s="1544">
        <f t="shared" si="23"/>
        <v>0</v>
      </c>
      <c r="DF752" s="1544"/>
      <c r="DG752" s="1544"/>
      <c r="DH752" s="1544"/>
      <c r="DI752" s="1544"/>
      <c r="DJ752" s="1544">
        <f t="shared" si="24"/>
        <v>0</v>
      </c>
      <c r="DK752" s="1544"/>
      <c r="DL752" s="1544"/>
      <c r="DM752" s="1544"/>
      <c r="DN752" s="1544"/>
      <c r="DO752" s="1544">
        <f t="shared" si="25"/>
        <v>0</v>
      </c>
      <c r="DP752" s="1544"/>
      <c r="DQ752" s="1544"/>
      <c r="DR752" s="1544"/>
      <c r="DS752" s="1544"/>
      <c r="DT752" s="6"/>
      <c r="DU752" s="1539">
        <f t="shared" si="26"/>
        <v>0</v>
      </c>
      <c r="DV752" s="1539"/>
      <c r="DW752" s="1539"/>
      <c r="DX752" s="1539"/>
      <c r="DY752" s="1539"/>
      <c r="DZ752" s="1539">
        <f t="shared" si="27"/>
        <v>0</v>
      </c>
      <c r="EA752" s="1539"/>
      <c r="EB752" s="1539"/>
      <c r="EC752" s="1539"/>
      <c r="ED752" s="1539"/>
      <c r="EE752" s="1539">
        <f t="shared" si="28"/>
        <v>0</v>
      </c>
      <c r="EF752" s="1539"/>
      <c r="EG752" s="1539"/>
      <c r="EH752" s="1539"/>
      <c r="EI752" s="1539"/>
      <c r="EJ752" s="1539">
        <f t="shared" si="29"/>
        <v>0</v>
      </c>
      <c r="EK752" s="1539"/>
      <c r="EL752" s="1539"/>
      <c r="EM752" s="1539"/>
      <c r="EN752" s="1539"/>
      <c r="EO752" s="1539">
        <f t="shared" si="30"/>
        <v>0</v>
      </c>
      <c r="EP752" s="1539"/>
      <c r="EQ752" s="1539"/>
      <c r="ER752" s="1539"/>
      <c r="ES752" s="1539"/>
      <c r="ET752" s="1539">
        <f t="shared" si="31"/>
        <v>0</v>
      </c>
      <c r="EU752" s="1539"/>
      <c r="EV752" s="1539"/>
      <c r="EW752" s="1539"/>
      <c r="EX752" s="1539"/>
      <c r="EZ752" s="1545" t="str">
        <f t="shared" si="32"/>
        <v/>
      </c>
      <c r="FA752" s="1546"/>
      <c r="FB752" s="1546"/>
      <c r="FC752" s="1546"/>
      <c r="FD752" s="1547"/>
      <c r="FE752" s="1545" t="str">
        <f t="shared" si="33"/>
        <v/>
      </c>
      <c r="FF752" s="1546"/>
      <c r="FG752" s="1546"/>
      <c r="FH752" s="1546"/>
      <c r="FI752" s="1547"/>
      <c r="FJ752" s="1545" t="str">
        <f t="shared" si="34"/>
        <v/>
      </c>
      <c r="FK752" s="1546"/>
      <c r="FL752" s="1546"/>
      <c r="FM752" s="1546"/>
      <c r="FN752" s="1547"/>
      <c r="FO752" s="1545" t="str">
        <f t="shared" si="35"/>
        <v/>
      </c>
      <c r="FP752" s="1546"/>
      <c r="FQ752" s="1546"/>
      <c r="FR752" s="1546"/>
      <c r="FS752" s="1547"/>
      <c r="FT752" s="1545" t="str">
        <f t="shared" si="36"/>
        <v/>
      </c>
      <c r="FU752" s="1546"/>
      <c r="FV752" s="1546"/>
      <c r="FW752" s="1546"/>
      <c r="FX752" s="1547"/>
      <c r="FY752" s="1545" t="str">
        <f t="shared" si="37"/>
        <v/>
      </c>
      <c r="FZ752" s="1546"/>
      <c r="GA752" s="1546"/>
      <c r="GB752" s="1546"/>
      <c r="GC752" s="1547"/>
    </row>
    <row r="753" spans="1:185" ht="13" customHeight="1">
      <c r="B753" s="1363"/>
      <c r="C753" s="1364"/>
      <c r="D753" s="1364"/>
      <c r="E753" s="1364"/>
      <c r="F753" s="1365"/>
      <c r="G753" s="1357"/>
      <c r="H753" s="1358"/>
      <c r="I753" s="1358"/>
      <c r="J753" s="1359"/>
      <c r="K753" s="1360"/>
      <c r="L753" s="1361"/>
      <c r="M753" s="1361"/>
      <c r="N753" s="1362"/>
      <c r="O753" s="1409"/>
      <c r="P753" s="1410"/>
      <c r="Q753" s="1410"/>
      <c r="R753" s="1410"/>
      <c r="S753" s="1411"/>
      <c r="T753" s="1409"/>
      <c r="U753" s="1410"/>
      <c r="V753" s="1410"/>
      <c r="W753" s="1411"/>
      <c r="X753" s="1412">
        <f t="shared" si="41"/>
        <v>0</v>
      </c>
      <c r="Y753" s="1408"/>
      <c r="Z753" s="1408"/>
      <c r="AA753" s="1408"/>
      <c r="AB753" s="1413"/>
      <c r="AC753" s="1414"/>
      <c r="AD753" s="1415"/>
      <c r="AE753" s="1415"/>
      <c r="AF753" s="1415"/>
      <c r="AG753" s="1416"/>
      <c r="AH753" s="1432" t="str">
        <f t="shared" si="38"/>
        <v/>
      </c>
      <c r="AI753" s="1433"/>
      <c r="AJ753" s="1434"/>
      <c r="AK753" s="1363" t="s">
        <v>590</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45">
        <f t="shared" si="39"/>
        <v>0</v>
      </c>
      <c r="CH753" s="1547"/>
      <c r="CI753" s="1548">
        <f t="shared" si="40"/>
        <v>0</v>
      </c>
      <c r="CJ753" s="1550"/>
      <c r="CK753" s="1545">
        <f t="shared" si="18"/>
        <v>0</v>
      </c>
      <c r="CL753" s="1547"/>
      <c r="CM753" s="1548">
        <f t="shared" si="19"/>
        <v>0</v>
      </c>
      <c r="CN753" s="1550"/>
      <c r="CO753" s="3"/>
      <c r="CP753" s="1540">
        <f t="shared" si="20"/>
        <v>0</v>
      </c>
      <c r="CQ753" s="1541"/>
      <c r="CR753" s="1541"/>
      <c r="CS753" s="1541"/>
      <c r="CT753" s="1542"/>
      <c r="CU753" s="1544">
        <f t="shared" si="21"/>
        <v>0</v>
      </c>
      <c r="CV753" s="1544"/>
      <c r="CW753" s="1544"/>
      <c r="CX753" s="1544"/>
      <c r="CY753" s="1544"/>
      <c r="CZ753" s="1544">
        <f t="shared" si="22"/>
        <v>0</v>
      </c>
      <c r="DA753" s="1544"/>
      <c r="DB753" s="1544"/>
      <c r="DC753" s="1544"/>
      <c r="DD753" s="1544"/>
      <c r="DE753" s="1544">
        <f t="shared" si="23"/>
        <v>0</v>
      </c>
      <c r="DF753" s="1544"/>
      <c r="DG753" s="1544"/>
      <c r="DH753" s="1544"/>
      <c r="DI753" s="1544"/>
      <c r="DJ753" s="1544">
        <f t="shared" si="24"/>
        <v>0</v>
      </c>
      <c r="DK753" s="1544"/>
      <c r="DL753" s="1544"/>
      <c r="DM753" s="1544"/>
      <c r="DN753" s="1544"/>
      <c r="DO753" s="1544">
        <f t="shared" si="25"/>
        <v>0</v>
      </c>
      <c r="DP753" s="1544"/>
      <c r="DQ753" s="1544"/>
      <c r="DR753" s="1544"/>
      <c r="DS753" s="1544"/>
      <c r="DT753" s="6"/>
      <c r="DU753" s="1539">
        <f t="shared" si="26"/>
        <v>0</v>
      </c>
      <c r="DV753" s="1539"/>
      <c r="DW753" s="1539"/>
      <c r="DX753" s="1539"/>
      <c r="DY753" s="1539"/>
      <c r="DZ753" s="1539">
        <f t="shared" si="27"/>
        <v>0</v>
      </c>
      <c r="EA753" s="1539"/>
      <c r="EB753" s="1539"/>
      <c r="EC753" s="1539"/>
      <c r="ED753" s="1539"/>
      <c r="EE753" s="1539">
        <f t="shared" si="28"/>
        <v>0</v>
      </c>
      <c r="EF753" s="1539"/>
      <c r="EG753" s="1539"/>
      <c r="EH753" s="1539"/>
      <c r="EI753" s="1539"/>
      <c r="EJ753" s="1539">
        <f t="shared" si="29"/>
        <v>0</v>
      </c>
      <c r="EK753" s="1539"/>
      <c r="EL753" s="1539"/>
      <c r="EM753" s="1539"/>
      <c r="EN753" s="1539"/>
      <c r="EO753" s="1539">
        <f t="shared" si="30"/>
        <v>0</v>
      </c>
      <c r="EP753" s="1539"/>
      <c r="EQ753" s="1539"/>
      <c r="ER753" s="1539"/>
      <c r="ES753" s="1539"/>
      <c r="ET753" s="1539">
        <f t="shared" si="31"/>
        <v>0</v>
      </c>
      <c r="EU753" s="1539"/>
      <c r="EV753" s="1539"/>
      <c r="EW753" s="1539"/>
      <c r="EX753" s="1539"/>
      <c r="EZ753" s="1545" t="str">
        <f t="shared" si="32"/>
        <v/>
      </c>
      <c r="FA753" s="1546"/>
      <c r="FB753" s="1546"/>
      <c r="FC753" s="1546"/>
      <c r="FD753" s="1547"/>
      <c r="FE753" s="1545" t="str">
        <f t="shared" si="33"/>
        <v/>
      </c>
      <c r="FF753" s="1546"/>
      <c r="FG753" s="1546"/>
      <c r="FH753" s="1546"/>
      <c r="FI753" s="1547"/>
      <c r="FJ753" s="1545" t="str">
        <f t="shared" si="34"/>
        <v/>
      </c>
      <c r="FK753" s="1546"/>
      <c r="FL753" s="1546"/>
      <c r="FM753" s="1546"/>
      <c r="FN753" s="1547"/>
      <c r="FO753" s="1545" t="str">
        <f t="shared" si="35"/>
        <v/>
      </c>
      <c r="FP753" s="1546"/>
      <c r="FQ753" s="1546"/>
      <c r="FR753" s="1546"/>
      <c r="FS753" s="1547"/>
      <c r="FT753" s="1545" t="str">
        <f t="shared" si="36"/>
        <v/>
      </c>
      <c r="FU753" s="1546"/>
      <c r="FV753" s="1546"/>
      <c r="FW753" s="1546"/>
      <c r="FX753" s="1547"/>
      <c r="FY753" s="1545" t="str">
        <f t="shared" si="37"/>
        <v/>
      </c>
      <c r="FZ753" s="1546"/>
      <c r="GA753" s="1546"/>
      <c r="GB753" s="1546"/>
      <c r="GC753" s="1547"/>
    </row>
    <row r="754" spans="1:185" ht="13" customHeight="1">
      <c r="B754" s="1363"/>
      <c r="C754" s="1364"/>
      <c r="D754" s="1364"/>
      <c r="E754" s="1364"/>
      <c r="F754" s="1365"/>
      <c r="G754" s="1357"/>
      <c r="H754" s="1358"/>
      <c r="I754" s="1358"/>
      <c r="J754" s="1359"/>
      <c r="K754" s="1360"/>
      <c r="L754" s="1361"/>
      <c r="M754" s="1361"/>
      <c r="N754" s="1362"/>
      <c r="O754" s="1409"/>
      <c r="P754" s="1410"/>
      <c r="Q754" s="1410"/>
      <c r="R754" s="1410"/>
      <c r="S754" s="1411"/>
      <c r="T754" s="1409"/>
      <c r="U754" s="1410"/>
      <c r="V754" s="1410"/>
      <c r="W754" s="1411"/>
      <c r="X754" s="1412">
        <f t="shared" si="41"/>
        <v>0</v>
      </c>
      <c r="Y754" s="1408"/>
      <c r="Z754" s="1408"/>
      <c r="AA754" s="1408"/>
      <c r="AB754" s="1413"/>
      <c r="AC754" s="1414"/>
      <c r="AD754" s="1415"/>
      <c r="AE754" s="1415"/>
      <c r="AF754" s="1415"/>
      <c r="AG754" s="1416"/>
      <c r="AH754" s="1432" t="str">
        <f t="shared" si="38"/>
        <v/>
      </c>
      <c r="AI754" s="1433"/>
      <c r="AJ754" s="1434"/>
      <c r="AK754" s="1363" t="s">
        <v>590</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45">
        <f t="shared" si="39"/>
        <v>0</v>
      </c>
      <c r="CH754" s="1547"/>
      <c r="CI754" s="1548">
        <f t="shared" si="40"/>
        <v>0</v>
      </c>
      <c r="CJ754" s="1550"/>
      <c r="CK754" s="1545">
        <f t="shared" si="18"/>
        <v>0</v>
      </c>
      <c r="CL754" s="1547"/>
      <c r="CM754" s="1548">
        <f t="shared" si="19"/>
        <v>0</v>
      </c>
      <c r="CN754" s="1550"/>
      <c r="CO754" s="3"/>
      <c r="CP754" s="1540">
        <f t="shared" si="20"/>
        <v>0</v>
      </c>
      <c r="CQ754" s="1541"/>
      <c r="CR754" s="1541"/>
      <c r="CS754" s="1541"/>
      <c r="CT754" s="1542"/>
      <c r="CU754" s="1544">
        <f t="shared" si="21"/>
        <v>0</v>
      </c>
      <c r="CV754" s="1544"/>
      <c r="CW754" s="1544"/>
      <c r="CX754" s="1544"/>
      <c r="CY754" s="1544"/>
      <c r="CZ754" s="1544">
        <f t="shared" si="22"/>
        <v>0</v>
      </c>
      <c r="DA754" s="1544"/>
      <c r="DB754" s="1544"/>
      <c r="DC754" s="1544"/>
      <c r="DD754" s="1544"/>
      <c r="DE754" s="1544">
        <f t="shared" si="23"/>
        <v>0</v>
      </c>
      <c r="DF754" s="1544"/>
      <c r="DG754" s="1544"/>
      <c r="DH754" s="1544"/>
      <c r="DI754" s="1544"/>
      <c r="DJ754" s="1544">
        <f t="shared" si="24"/>
        <v>0</v>
      </c>
      <c r="DK754" s="1544"/>
      <c r="DL754" s="1544"/>
      <c r="DM754" s="1544"/>
      <c r="DN754" s="1544"/>
      <c r="DO754" s="1544">
        <f t="shared" si="25"/>
        <v>0</v>
      </c>
      <c r="DP754" s="1544"/>
      <c r="DQ754" s="1544"/>
      <c r="DR754" s="1544"/>
      <c r="DS754" s="1544"/>
      <c r="DT754" s="6"/>
      <c r="DU754" s="1539">
        <f t="shared" si="26"/>
        <v>0</v>
      </c>
      <c r="DV754" s="1539"/>
      <c r="DW754" s="1539"/>
      <c r="DX754" s="1539"/>
      <c r="DY754" s="1539"/>
      <c r="DZ754" s="1539">
        <f t="shared" si="27"/>
        <v>0</v>
      </c>
      <c r="EA754" s="1539"/>
      <c r="EB754" s="1539"/>
      <c r="EC754" s="1539"/>
      <c r="ED754" s="1539"/>
      <c r="EE754" s="1539">
        <f t="shared" si="28"/>
        <v>0</v>
      </c>
      <c r="EF754" s="1539"/>
      <c r="EG754" s="1539"/>
      <c r="EH754" s="1539"/>
      <c r="EI754" s="1539"/>
      <c r="EJ754" s="1539">
        <f t="shared" si="29"/>
        <v>0</v>
      </c>
      <c r="EK754" s="1539"/>
      <c r="EL754" s="1539"/>
      <c r="EM754" s="1539"/>
      <c r="EN754" s="1539"/>
      <c r="EO754" s="1539">
        <f t="shared" si="30"/>
        <v>0</v>
      </c>
      <c r="EP754" s="1539"/>
      <c r="EQ754" s="1539"/>
      <c r="ER754" s="1539"/>
      <c r="ES754" s="1539"/>
      <c r="ET754" s="1539">
        <f t="shared" si="31"/>
        <v>0</v>
      </c>
      <c r="EU754" s="1539"/>
      <c r="EV754" s="1539"/>
      <c r="EW754" s="1539"/>
      <c r="EX754" s="1539"/>
      <c r="EZ754" s="1545" t="str">
        <f t="shared" si="32"/>
        <v/>
      </c>
      <c r="FA754" s="1546"/>
      <c r="FB754" s="1546"/>
      <c r="FC754" s="1546"/>
      <c r="FD754" s="1547"/>
      <c r="FE754" s="1545" t="str">
        <f t="shared" si="33"/>
        <v/>
      </c>
      <c r="FF754" s="1546"/>
      <c r="FG754" s="1546"/>
      <c r="FH754" s="1546"/>
      <c r="FI754" s="1547"/>
      <c r="FJ754" s="1545" t="str">
        <f t="shared" si="34"/>
        <v/>
      </c>
      <c r="FK754" s="1546"/>
      <c r="FL754" s="1546"/>
      <c r="FM754" s="1546"/>
      <c r="FN754" s="1547"/>
      <c r="FO754" s="1545" t="str">
        <f t="shared" si="35"/>
        <v/>
      </c>
      <c r="FP754" s="1546"/>
      <c r="FQ754" s="1546"/>
      <c r="FR754" s="1546"/>
      <c r="FS754" s="1547"/>
      <c r="FT754" s="1545" t="str">
        <f t="shared" si="36"/>
        <v/>
      </c>
      <c r="FU754" s="1546"/>
      <c r="FV754" s="1546"/>
      <c r="FW754" s="1546"/>
      <c r="FX754" s="1547"/>
      <c r="FY754" s="1545" t="str">
        <f t="shared" si="37"/>
        <v/>
      </c>
      <c r="FZ754" s="1546"/>
      <c r="GA754" s="1546"/>
      <c r="GB754" s="1546"/>
      <c r="GC754" s="1547"/>
    </row>
    <row r="755" spans="1:185" ht="13" customHeight="1">
      <c r="B755" s="1363"/>
      <c r="C755" s="1364"/>
      <c r="D755" s="1364"/>
      <c r="E755" s="1364"/>
      <c r="F755" s="1365"/>
      <c r="G755" s="1357"/>
      <c r="H755" s="1358"/>
      <c r="I755" s="1358"/>
      <c r="J755" s="1359"/>
      <c r="K755" s="1360"/>
      <c r="L755" s="1361"/>
      <c r="M755" s="1361"/>
      <c r="N755" s="1362"/>
      <c r="O755" s="1409"/>
      <c r="P755" s="1410"/>
      <c r="Q755" s="1410"/>
      <c r="R755" s="1410"/>
      <c r="S755" s="1411"/>
      <c r="T755" s="1409"/>
      <c r="U755" s="1410"/>
      <c r="V755" s="1410"/>
      <c r="W755" s="1411"/>
      <c r="X755" s="1412">
        <f t="shared" si="41"/>
        <v>0</v>
      </c>
      <c r="Y755" s="1408"/>
      <c r="Z755" s="1408"/>
      <c r="AA755" s="1408"/>
      <c r="AB755" s="1413"/>
      <c r="AC755" s="1414"/>
      <c r="AD755" s="1415"/>
      <c r="AE755" s="1415"/>
      <c r="AF755" s="1415"/>
      <c r="AG755" s="1416"/>
      <c r="AH755" s="1432" t="str">
        <f t="shared" si="38"/>
        <v/>
      </c>
      <c r="AI755" s="1433"/>
      <c r="AJ755" s="1434"/>
      <c r="AK755" s="1363" t="s">
        <v>590</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45">
        <f t="shared" si="39"/>
        <v>0</v>
      </c>
      <c r="CH755" s="1547"/>
      <c r="CI755" s="1548">
        <f t="shared" si="40"/>
        <v>0</v>
      </c>
      <c r="CJ755" s="1550"/>
      <c r="CK755" s="1545">
        <f t="shared" si="18"/>
        <v>0</v>
      </c>
      <c r="CL755" s="1547"/>
      <c r="CM755" s="1548">
        <f t="shared" si="19"/>
        <v>0</v>
      </c>
      <c r="CN755" s="1550"/>
      <c r="CO755" s="3"/>
      <c r="CP755" s="1540">
        <f t="shared" si="20"/>
        <v>0</v>
      </c>
      <c r="CQ755" s="1541"/>
      <c r="CR755" s="1541"/>
      <c r="CS755" s="1541"/>
      <c r="CT755" s="1542"/>
      <c r="CU755" s="1544">
        <f t="shared" si="21"/>
        <v>0</v>
      </c>
      <c r="CV755" s="1544"/>
      <c r="CW755" s="1544"/>
      <c r="CX755" s="1544"/>
      <c r="CY755" s="1544"/>
      <c r="CZ755" s="1544">
        <f t="shared" si="22"/>
        <v>0</v>
      </c>
      <c r="DA755" s="1544"/>
      <c r="DB755" s="1544"/>
      <c r="DC755" s="1544"/>
      <c r="DD755" s="1544"/>
      <c r="DE755" s="1544">
        <f t="shared" si="23"/>
        <v>0</v>
      </c>
      <c r="DF755" s="1544"/>
      <c r="DG755" s="1544"/>
      <c r="DH755" s="1544"/>
      <c r="DI755" s="1544"/>
      <c r="DJ755" s="1544">
        <f t="shared" si="24"/>
        <v>0</v>
      </c>
      <c r="DK755" s="1544"/>
      <c r="DL755" s="1544"/>
      <c r="DM755" s="1544"/>
      <c r="DN755" s="1544"/>
      <c r="DO755" s="1544">
        <f t="shared" si="25"/>
        <v>0</v>
      </c>
      <c r="DP755" s="1544"/>
      <c r="DQ755" s="1544"/>
      <c r="DR755" s="1544"/>
      <c r="DS755" s="1544"/>
      <c r="DT755" s="6"/>
      <c r="DU755" s="1539">
        <f t="shared" si="26"/>
        <v>0</v>
      </c>
      <c r="DV755" s="1539"/>
      <c r="DW755" s="1539"/>
      <c r="DX755" s="1539"/>
      <c r="DY755" s="1539"/>
      <c r="DZ755" s="1539">
        <f t="shared" si="27"/>
        <v>0</v>
      </c>
      <c r="EA755" s="1539"/>
      <c r="EB755" s="1539"/>
      <c r="EC755" s="1539"/>
      <c r="ED755" s="1539"/>
      <c r="EE755" s="1539">
        <f t="shared" si="28"/>
        <v>0</v>
      </c>
      <c r="EF755" s="1539"/>
      <c r="EG755" s="1539"/>
      <c r="EH755" s="1539"/>
      <c r="EI755" s="1539"/>
      <c r="EJ755" s="1539">
        <f t="shared" si="29"/>
        <v>0</v>
      </c>
      <c r="EK755" s="1539"/>
      <c r="EL755" s="1539"/>
      <c r="EM755" s="1539"/>
      <c r="EN755" s="1539"/>
      <c r="EO755" s="1539">
        <f t="shared" si="30"/>
        <v>0</v>
      </c>
      <c r="EP755" s="1539"/>
      <c r="EQ755" s="1539"/>
      <c r="ER755" s="1539"/>
      <c r="ES755" s="1539"/>
      <c r="ET755" s="1539">
        <f t="shared" si="31"/>
        <v>0</v>
      </c>
      <c r="EU755" s="1539"/>
      <c r="EV755" s="1539"/>
      <c r="EW755" s="1539"/>
      <c r="EX755" s="1539"/>
      <c r="EZ755" s="1545" t="str">
        <f t="shared" si="32"/>
        <v/>
      </c>
      <c r="FA755" s="1546"/>
      <c r="FB755" s="1546"/>
      <c r="FC755" s="1546"/>
      <c r="FD755" s="1547"/>
      <c r="FE755" s="1545" t="str">
        <f t="shared" si="33"/>
        <v/>
      </c>
      <c r="FF755" s="1546"/>
      <c r="FG755" s="1546"/>
      <c r="FH755" s="1546"/>
      <c r="FI755" s="1547"/>
      <c r="FJ755" s="1545" t="str">
        <f t="shared" si="34"/>
        <v/>
      </c>
      <c r="FK755" s="1546"/>
      <c r="FL755" s="1546"/>
      <c r="FM755" s="1546"/>
      <c r="FN755" s="1547"/>
      <c r="FO755" s="1545" t="str">
        <f t="shared" si="35"/>
        <v/>
      </c>
      <c r="FP755" s="1546"/>
      <c r="FQ755" s="1546"/>
      <c r="FR755" s="1546"/>
      <c r="FS755" s="1547"/>
      <c r="FT755" s="1545" t="str">
        <f t="shared" si="36"/>
        <v/>
      </c>
      <c r="FU755" s="1546"/>
      <c r="FV755" s="1546"/>
      <c r="FW755" s="1546"/>
      <c r="FX755" s="1547"/>
      <c r="FY755" s="1545" t="str">
        <f t="shared" si="37"/>
        <v/>
      </c>
      <c r="FZ755" s="1546"/>
      <c r="GA755" s="1546"/>
      <c r="GB755" s="1546"/>
      <c r="GC755" s="1547"/>
    </row>
    <row r="756" spans="1:185" s="3" customFormat="1" ht="13" customHeight="1">
      <c r="A756"/>
      <c r="B756" s="1363"/>
      <c r="C756" s="1364"/>
      <c r="D756" s="1364"/>
      <c r="E756" s="1364"/>
      <c r="F756" s="1365"/>
      <c r="G756" s="1357"/>
      <c r="H756" s="1358"/>
      <c r="I756" s="1358"/>
      <c r="J756" s="1359"/>
      <c r="K756" s="1360"/>
      <c r="L756" s="1361"/>
      <c r="M756" s="1361"/>
      <c r="N756" s="1362"/>
      <c r="O756" s="1409"/>
      <c r="P756" s="1410"/>
      <c r="Q756" s="1410"/>
      <c r="R756" s="1410"/>
      <c r="S756" s="1411"/>
      <c r="T756" s="1409"/>
      <c r="U756" s="1410"/>
      <c r="V756" s="1410"/>
      <c r="W756" s="1411"/>
      <c r="X756" s="1412">
        <f t="shared" si="41"/>
        <v>0</v>
      </c>
      <c r="Y756" s="1408"/>
      <c r="Z756" s="1408"/>
      <c r="AA756" s="1408"/>
      <c r="AB756" s="1413"/>
      <c r="AC756" s="1414"/>
      <c r="AD756" s="1415"/>
      <c r="AE756" s="1415"/>
      <c r="AF756" s="1415"/>
      <c r="AG756" s="1416"/>
      <c r="AH756" s="1432" t="str">
        <f t="shared" si="38"/>
        <v/>
      </c>
      <c r="AI756" s="1433"/>
      <c r="AJ756" s="1434"/>
      <c r="AK756" s="1363" t="s">
        <v>590</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45">
        <f t="shared" si="39"/>
        <v>0</v>
      </c>
      <c r="CH756" s="1547"/>
      <c r="CI756" s="1548">
        <f t="shared" si="40"/>
        <v>0</v>
      </c>
      <c r="CJ756" s="1550"/>
      <c r="CK756" s="1545">
        <f t="shared" si="18"/>
        <v>0</v>
      </c>
      <c r="CL756" s="1547"/>
      <c r="CM756" s="1548">
        <f t="shared" si="19"/>
        <v>0</v>
      </c>
      <c r="CN756" s="1550"/>
      <c r="CP756" s="1540">
        <f t="shared" si="20"/>
        <v>0</v>
      </c>
      <c r="CQ756" s="1541"/>
      <c r="CR756" s="1541"/>
      <c r="CS756" s="1541"/>
      <c r="CT756" s="1542"/>
      <c r="CU756" s="1544">
        <f t="shared" si="21"/>
        <v>0</v>
      </c>
      <c r="CV756" s="1544"/>
      <c r="CW756" s="1544"/>
      <c r="CX756" s="1544"/>
      <c r="CY756" s="1544"/>
      <c r="CZ756" s="1544">
        <f t="shared" si="22"/>
        <v>0</v>
      </c>
      <c r="DA756" s="1544"/>
      <c r="DB756" s="1544"/>
      <c r="DC756" s="1544"/>
      <c r="DD756" s="1544"/>
      <c r="DE756" s="1544">
        <f t="shared" si="23"/>
        <v>0</v>
      </c>
      <c r="DF756" s="1544"/>
      <c r="DG756" s="1544"/>
      <c r="DH756" s="1544"/>
      <c r="DI756" s="1544"/>
      <c r="DJ756" s="1544">
        <f t="shared" si="24"/>
        <v>0</v>
      </c>
      <c r="DK756" s="1544"/>
      <c r="DL756" s="1544"/>
      <c r="DM756" s="1544"/>
      <c r="DN756" s="1544"/>
      <c r="DO756" s="1544">
        <f t="shared" si="25"/>
        <v>0</v>
      </c>
      <c r="DP756" s="1544"/>
      <c r="DQ756" s="1544"/>
      <c r="DR756" s="1544"/>
      <c r="DS756" s="1544"/>
      <c r="DT756" s="6"/>
      <c r="DU756" s="1539">
        <f t="shared" si="26"/>
        <v>0</v>
      </c>
      <c r="DV756" s="1539"/>
      <c r="DW756" s="1539"/>
      <c r="DX756" s="1539"/>
      <c r="DY756" s="1539"/>
      <c r="DZ756" s="1539">
        <f t="shared" si="27"/>
        <v>0</v>
      </c>
      <c r="EA756" s="1539"/>
      <c r="EB756" s="1539"/>
      <c r="EC756" s="1539"/>
      <c r="ED756" s="1539"/>
      <c r="EE756" s="1539">
        <f t="shared" si="28"/>
        <v>0</v>
      </c>
      <c r="EF756" s="1539"/>
      <c r="EG756" s="1539"/>
      <c r="EH756" s="1539"/>
      <c r="EI756" s="1539"/>
      <c r="EJ756" s="1539">
        <f t="shared" si="29"/>
        <v>0</v>
      </c>
      <c r="EK756" s="1539"/>
      <c r="EL756" s="1539"/>
      <c r="EM756" s="1539"/>
      <c r="EN756" s="1539"/>
      <c r="EO756" s="1539">
        <f t="shared" si="30"/>
        <v>0</v>
      </c>
      <c r="EP756" s="1539"/>
      <c r="EQ756" s="1539"/>
      <c r="ER756" s="1539"/>
      <c r="ES756" s="1539"/>
      <c r="ET756" s="1539">
        <f t="shared" si="31"/>
        <v>0</v>
      </c>
      <c r="EU756" s="1539"/>
      <c r="EV756" s="1539"/>
      <c r="EW756" s="1539"/>
      <c r="EX756" s="1539"/>
      <c r="EY756"/>
      <c r="EZ756" s="1545" t="str">
        <f t="shared" si="32"/>
        <v/>
      </c>
      <c r="FA756" s="1546"/>
      <c r="FB756" s="1546"/>
      <c r="FC756" s="1546"/>
      <c r="FD756" s="1547"/>
      <c r="FE756" s="1545" t="str">
        <f t="shared" si="33"/>
        <v/>
      </c>
      <c r="FF756" s="1546"/>
      <c r="FG756" s="1546"/>
      <c r="FH756" s="1546"/>
      <c r="FI756" s="1547"/>
      <c r="FJ756" s="1545" t="str">
        <f t="shared" si="34"/>
        <v/>
      </c>
      <c r="FK756" s="1546"/>
      <c r="FL756" s="1546"/>
      <c r="FM756" s="1546"/>
      <c r="FN756" s="1547"/>
      <c r="FO756" s="1545" t="str">
        <f t="shared" si="35"/>
        <v/>
      </c>
      <c r="FP756" s="1546"/>
      <c r="FQ756" s="1546"/>
      <c r="FR756" s="1546"/>
      <c r="FS756" s="1547"/>
      <c r="FT756" s="1545" t="str">
        <f t="shared" si="36"/>
        <v/>
      </c>
      <c r="FU756" s="1546"/>
      <c r="FV756" s="1546"/>
      <c r="FW756" s="1546"/>
      <c r="FX756" s="1547"/>
      <c r="FY756" s="1545" t="str">
        <f t="shared" si="37"/>
        <v/>
      </c>
      <c r="FZ756" s="1546"/>
      <c r="GA756" s="1546"/>
      <c r="GB756" s="1546"/>
      <c r="GC756" s="1547"/>
    </row>
    <row r="757" spans="1:185" s="3" customFormat="1" ht="13" customHeight="1">
      <c r="A757"/>
      <c r="B757" s="1363"/>
      <c r="C757" s="1364"/>
      <c r="D757" s="1364"/>
      <c r="E757" s="1364"/>
      <c r="F757" s="1365"/>
      <c r="G757" s="1357"/>
      <c r="H757" s="1358"/>
      <c r="I757" s="1358"/>
      <c r="J757" s="1359"/>
      <c r="K757" s="1360"/>
      <c r="L757" s="1361"/>
      <c r="M757" s="1361"/>
      <c r="N757" s="1362"/>
      <c r="O757" s="1409"/>
      <c r="P757" s="1410"/>
      <c r="Q757" s="1410"/>
      <c r="R757" s="1410"/>
      <c r="S757" s="1411"/>
      <c r="T757" s="1409"/>
      <c r="U757" s="1410"/>
      <c r="V757" s="1410"/>
      <c r="W757" s="1411"/>
      <c r="X757" s="1412">
        <f t="shared" si="41"/>
        <v>0</v>
      </c>
      <c r="Y757" s="1408"/>
      <c r="Z757" s="1408"/>
      <c r="AA757" s="1408"/>
      <c r="AB757" s="1413"/>
      <c r="AC757" s="1414"/>
      <c r="AD757" s="1415"/>
      <c r="AE757" s="1415"/>
      <c r="AF757" s="1415"/>
      <c r="AG757" s="1416"/>
      <c r="AH757" s="1432" t="str">
        <f t="shared" si="38"/>
        <v/>
      </c>
      <c r="AI757" s="1433"/>
      <c r="AJ757" s="1434"/>
      <c r="AK757" s="1363" t="s">
        <v>590</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45">
        <f t="shared" si="39"/>
        <v>0</v>
      </c>
      <c r="CH757" s="1547"/>
      <c r="CI757" s="1548">
        <f t="shared" si="40"/>
        <v>0</v>
      </c>
      <c r="CJ757" s="1550"/>
      <c r="CK757" s="1545">
        <f t="shared" si="18"/>
        <v>0</v>
      </c>
      <c r="CL757" s="1547"/>
      <c r="CM757" s="1548">
        <f t="shared" si="19"/>
        <v>0</v>
      </c>
      <c r="CN757" s="1550"/>
      <c r="CP757" s="1540">
        <f t="shared" si="20"/>
        <v>0</v>
      </c>
      <c r="CQ757" s="1541"/>
      <c r="CR757" s="1541"/>
      <c r="CS757" s="1541"/>
      <c r="CT757" s="1542"/>
      <c r="CU757" s="1544">
        <f t="shared" si="21"/>
        <v>0</v>
      </c>
      <c r="CV757" s="1544"/>
      <c r="CW757" s="1544"/>
      <c r="CX757" s="1544"/>
      <c r="CY757" s="1544"/>
      <c r="CZ757" s="1544">
        <f t="shared" si="22"/>
        <v>0</v>
      </c>
      <c r="DA757" s="1544"/>
      <c r="DB757" s="1544"/>
      <c r="DC757" s="1544"/>
      <c r="DD757" s="1544"/>
      <c r="DE757" s="1544">
        <f t="shared" si="23"/>
        <v>0</v>
      </c>
      <c r="DF757" s="1544"/>
      <c r="DG757" s="1544"/>
      <c r="DH757" s="1544"/>
      <c r="DI757" s="1544"/>
      <c r="DJ757" s="1544">
        <f t="shared" si="24"/>
        <v>0</v>
      </c>
      <c r="DK757" s="1544"/>
      <c r="DL757" s="1544"/>
      <c r="DM757" s="1544"/>
      <c r="DN757" s="1544"/>
      <c r="DO757" s="1544">
        <f t="shared" si="25"/>
        <v>0</v>
      </c>
      <c r="DP757" s="1544"/>
      <c r="DQ757" s="1544"/>
      <c r="DR757" s="1544"/>
      <c r="DS757" s="1544"/>
      <c r="DT757" s="6"/>
      <c r="DU757" s="1539">
        <f t="shared" si="26"/>
        <v>0</v>
      </c>
      <c r="DV757" s="1539"/>
      <c r="DW757" s="1539"/>
      <c r="DX757" s="1539"/>
      <c r="DY757" s="1539"/>
      <c r="DZ757" s="1539">
        <f t="shared" si="27"/>
        <v>0</v>
      </c>
      <c r="EA757" s="1539"/>
      <c r="EB757" s="1539"/>
      <c r="EC757" s="1539"/>
      <c r="ED757" s="1539"/>
      <c r="EE757" s="1539">
        <f t="shared" si="28"/>
        <v>0</v>
      </c>
      <c r="EF757" s="1539"/>
      <c r="EG757" s="1539"/>
      <c r="EH757" s="1539"/>
      <c r="EI757" s="1539"/>
      <c r="EJ757" s="1539">
        <f t="shared" si="29"/>
        <v>0</v>
      </c>
      <c r="EK757" s="1539"/>
      <c r="EL757" s="1539"/>
      <c r="EM757" s="1539"/>
      <c r="EN757" s="1539"/>
      <c r="EO757" s="1539">
        <f t="shared" si="30"/>
        <v>0</v>
      </c>
      <c r="EP757" s="1539"/>
      <c r="EQ757" s="1539"/>
      <c r="ER757" s="1539"/>
      <c r="ES757" s="1539"/>
      <c r="ET757" s="1539">
        <f t="shared" si="31"/>
        <v>0</v>
      </c>
      <c r="EU757" s="1539"/>
      <c r="EV757" s="1539"/>
      <c r="EW757" s="1539"/>
      <c r="EX757" s="1539"/>
      <c r="EY757"/>
      <c r="EZ757" s="1545" t="str">
        <f t="shared" si="32"/>
        <v/>
      </c>
      <c r="FA757" s="1546"/>
      <c r="FB757" s="1546"/>
      <c r="FC757" s="1546"/>
      <c r="FD757" s="1547"/>
      <c r="FE757" s="1545" t="str">
        <f t="shared" si="33"/>
        <v/>
      </c>
      <c r="FF757" s="1546"/>
      <c r="FG757" s="1546"/>
      <c r="FH757" s="1546"/>
      <c r="FI757" s="1547"/>
      <c r="FJ757" s="1545" t="str">
        <f t="shared" si="34"/>
        <v/>
      </c>
      <c r="FK757" s="1546"/>
      <c r="FL757" s="1546"/>
      <c r="FM757" s="1546"/>
      <c r="FN757" s="1547"/>
      <c r="FO757" s="1545" t="str">
        <f t="shared" si="35"/>
        <v/>
      </c>
      <c r="FP757" s="1546"/>
      <c r="FQ757" s="1546"/>
      <c r="FR757" s="1546"/>
      <c r="FS757" s="1547"/>
      <c r="FT757" s="1545" t="str">
        <f t="shared" si="36"/>
        <v/>
      </c>
      <c r="FU757" s="1546"/>
      <c r="FV757" s="1546"/>
      <c r="FW757" s="1546"/>
      <c r="FX757" s="1547"/>
      <c r="FY757" s="1545" t="str">
        <f t="shared" si="37"/>
        <v/>
      </c>
      <c r="FZ757" s="1546"/>
      <c r="GA757" s="1546"/>
      <c r="GB757" s="1546"/>
      <c r="GC757" s="1547"/>
    </row>
    <row r="758" spans="1:185" s="3" customFormat="1" ht="13" customHeight="1">
      <c r="A758"/>
      <c r="B758" s="1363"/>
      <c r="C758" s="1364"/>
      <c r="D758" s="1364"/>
      <c r="E758" s="1364"/>
      <c r="F758" s="1365"/>
      <c r="G758" s="1357"/>
      <c r="H758" s="1358"/>
      <c r="I758" s="1358"/>
      <c r="J758" s="1359"/>
      <c r="K758" s="1360"/>
      <c r="L758" s="1361"/>
      <c r="M758" s="1361"/>
      <c r="N758" s="1362"/>
      <c r="O758" s="1409"/>
      <c r="P758" s="1410"/>
      <c r="Q758" s="1410"/>
      <c r="R758" s="1410"/>
      <c r="S758" s="1411"/>
      <c r="T758" s="1409"/>
      <c r="U758" s="1410"/>
      <c r="V758" s="1410"/>
      <c r="W758" s="1411"/>
      <c r="X758" s="1412">
        <f t="shared" si="41"/>
        <v>0</v>
      </c>
      <c r="Y758" s="1408"/>
      <c r="Z758" s="1408"/>
      <c r="AA758" s="1408"/>
      <c r="AB758" s="1413"/>
      <c r="AC758" s="1414"/>
      <c r="AD758" s="1415"/>
      <c r="AE758" s="1415"/>
      <c r="AF758" s="1415"/>
      <c r="AG758" s="1416"/>
      <c r="AH758" s="1432" t="str">
        <f t="shared" si="38"/>
        <v/>
      </c>
      <c r="AI758" s="1433"/>
      <c r="AJ758" s="1434"/>
      <c r="AK758" s="1363" t="s">
        <v>590</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45">
        <f t="shared" si="39"/>
        <v>0</v>
      </c>
      <c r="CH758" s="1547"/>
      <c r="CI758" s="1548">
        <f t="shared" si="40"/>
        <v>0</v>
      </c>
      <c r="CJ758" s="1550"/>
      <c r="CK758" s="1545">
        <f t="shared" si="18"/>
        <v>0</v>
      </c>
      <c r="CL758" s="1547"/>
      <c r="CM758" s="1548">
        <f t="shared" si="19"/>
        <v>0</v>
      </c>
      <c r="CN758" s="1550"/>
      <c r="CP758" s="1540">
        <f t="shared" si="20"/>
        <v>0</v>
      </c>
      <c r="CQ758" s="1541"/>
      <c r="CR758" s="1541"/>
      <c r="CS758" s="1541"/>
      <c r="CT758" s="1542"/>
      <c r="CU758" s="1544">
        <f t="shared" si="21"/>
        <v>0</v>
      </c>
      <c r="CV758" s="1544"/>
      <c r="CW758" s="1544"/>
      <c r="CX758" s="1544"/>
      <c r="CY758" s="1544"/>
      <c r="CZ758" s="1544">
        <f t="shared" si="22"/>
        <v>0</v>
      </c>
      <c r="DA758" s="1544"/>
      <c r="DB758" s="1544"/>
      <c r="DC758" s="1544"/>
      <c r="DD758" s="1544"/>
      <c r="DE758" s="1544">
        <f t="shared" si="23"/>
        <v>0</v>
      </c>
      <c r="DF758" s="1544"/>
      <c r="DG758" s="1544"/>
      <c r="DH758" s="1544"/>
      <c r="DI758" s="1544"/>
      <c r="DJ758" s="1544">
        <f t="shared" si="24"/>
        <v>0</v>
      </c>
      <c r="DK758" s="1544"/>
      <c r="DL758" s="1544"/>
      <c r="DM758" s="1544"/>
      <c r="DN758" s="1544"/>
      <c r="DO758" s="1544">
        <f t="shared" si="25"/>
        <v>0</v>
      </c>
      <c r="DP758" s="1544"/>
      <c r="DQ758" s="1544"/>
      <c r="DR758" s="1544"/>
      <c r="DS758" s="1544"/>
      <c r="DT758" s="6"/>
      <c r="DU758" s="1539">
        <f t="shared" si="26"/>
        <v>0</v>
      </c>
      <c r="DV758" s="1539"/>
      <c r="DW758" s="1539"/>
      <c r="DX758" s="1539"/>
      <c r="DY758" s="1539"/>
      <c r="DZ758" s="1539">
        <f t="shared" si="27"/>
        <v>0</v>
      </c>
      <c r="EA758" s="1539"/>
      <c r="EB758" s="1539"/>
      <c r="EC758" s="1539"/>
      <c r="ED758" s="1539"/>
      <c r="EE758" s="1539">
        <f t="shared" si="28"/>
        <v>0</v>
      </c>
      <c r="EF758" s="1539"/>
      <c r="EG758" s="1539"/>
      <c r="EH758" s="1539"/>
      <c r="EI758" s="1539"/>
      <c r="EJ758" s="1539">
        <f t="shared" si="29"/>
        <v>0</v>
      </c>
      <c r="EK758" s="1539"/>
      <c r="EL758" s="1539"/>
      <c r="EM758" s="1539"/>
      <c r="EN758" s="1539"/>
      <c r="EO758" s="1539">
        <f t="shared" si="30"/>
        <v>0</v>
      </c>
      <c r="EP758" s="1539"/>
      <c r="EQ758" s="1539"/>
      <c r="ER758" s="1539"/>
      <c r="ES758" s="1539"/>
      <c r="ET758" s="1539">
        <f t="shared" si="31"/>
        <v>0</v>
      </c>
      <c r="EU758" s="1539"/>
      <c r="EV758" s="1539"/>
      <c r="EW758" s="1539"/>
      <c r="EX758" s="1539"/>
      <c r="EY758"/>
      <c r="EZ758" s="1545" t="str">
        <f t="shared" si="32"/>
        <v/>
      </c>
      <c r="FA758" s="1546"/>
      <c r="FB758" s="1546"/>
      <c r="FC758" s="1546"/>
      <c r="FD758" s="1547"/>
      <c r="FE758" s="1545" t="str">
        <f t="shared" si="33"/>
        <v/>
      </c>
      <c r="FF758" s="1546"/>
      <c r="FG758" s="1546"/>
      <c r="FH758" s="1546"/>
      <c r="FI758" s="1547"/>
      <c r="FJ758" s="1545" t="str">
        <f t="shared" si="34"/>
        <v/>
      </c>
      <c r="FK758" s="1546"/>
      <c r="FL758" s="1546"/>
      <c r="FM758" s="1546"/>
      <c r="FN758" s="1547"/>
      <c r="FO758" s="1545" t="str">
        <f t="shared" si="35"/>
        <v/>
      </c>
      <c r="FP758" s="1546"/>
      <c r="FQ758" s="1546"/>
      <c r="FR758" s="1546"/>
      <c r="FS758" s="1547"/>
      <c r="FT758" s="1545" t="str">
        <f t="shared" si="36"/>
        <v/>
      </c>
      <c r="FU758" s="1546"/>
      <c r="FV758" s="1546"/>
      <c r="FW758" s="1546"/>
      <c r="FX758" s="1547"/>
      <c r="FY758" s="1545" t="str">
        <f t="shared" si="37"/>
        <v/>
      </c>
      <c r="FZ758" s="1546"/>
      <c r="GA758" s="1546"/>
      <c r="GB758" s="1546"/>
      <c r="GC758" s="1547"/>
    </row>
    <row r="759" spans="1:185" s="3" customFormat="1" ht="13" customHeight="1">
      <c r="A759"/>
      <c r="B759" s="1363"/>
      <c r="C759" s="1364"/>
      <c r="D759" s="1364"/>
      <c r="E759" s="1364"/>
      <c r="F759" s="1365"/>
      <c r="G759" s="1357"/>
      <c r="H759" s="1358"/>
      <c r="I759" s="1358"/>
      <c r="J759" s="1359"/>
      <c r="K759" s="1360"/>
      <c r="L759" s="1361"/>
      <c r="M759" s="1361"/>
      <c r="N759" s="1362"/>
      <c r="O759" s="1409"/>
      <c r="P759" s="1410"/>
      <c r="Q759" s="1410"/>
      <c r="R759" s="1410"/>
      <c r="S759" s="1411"/>
      <c r="T759" s="1409"/>
      <c r="U759" s="1410"/>
      <c r="V759" s="1410"/>
      <c r="W759" s="1411"/>
      <c r="X759" s="1412">
        <f t="shared" si="41"/>
        <v>0</v>
      </c>
      <c r="Y759" s="1408"/>
      <c r="Z759" s="1408"/>
      <c r="AA759" s="1408"/>
      <c r="AB759" s="1413"/>
      <c r="AC759" s="1414"/>
      <c r="AD759" s="1415"/>
      <c r="AE759" s="1415"/>
      <c r="AF759" s="1415"/>
      <c r="AG759" s="1416"/>
      <c r="AH759" s="1432" t="str">
        <f t="shared" si="38"/>
        <v/>
      </c>
      <c r="AI759" s="1433"/>
      <c r="AJ759" s="1434"/>
      <c r="AK759" s="1363" t="s">
        <v>590</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45">
        <f t="shared" si="39"/>
        <v>0</v>
      </c>
      <c r="CH759" s="1547"/>
      <c r="CI759" s="1548">
        <f t="shared" si="40"/>
        <v>0</v>
      </c>
      <c r="CJ759" s="1550"/>
      <c r="CK759" s="1545">
        <f t="shared" si="18"/>
        <v>0</v>
      </c>
      <c r="CL759" s="1547"/>
      <c r="CM759" s="1548">
        <f t="shared" si="19"/>
        <v>0</v>
      </c>
      <c r="CN759" s="1550"/>
      <c r="CP759" s="1540">
        <f t="shared" si="20"/>
        <v>0</v>
      </c>
      <c r="CQ759" s="1541"/>
      <c r="CR759" s="1541"/>
      <c r="CS759" s="1541"/>
      <c r="CT759" s="1542"/>
      <c r="CU759" s="1544">
        <f t="shared" si="21"/>
        <v>0</v>
      </c>
      <c r="CV759" s="1544"/>
      <c r="CW759" s="1544"/>
      <c r="CX759" s="1544"/>
      <c r="CY759" s="1544"/>
      <c r="CZ759" s="1544">
        <f t="shared" si="22"/>
        <v>0</v>
      </c>
      <c r="DA759" s="1544"/>
      <c r="DB759" s="1544"/>
      <c r="DC759" s="1544"/>
      <c r="DD759" s="1544"/>
      <c r="DE759" s="1544">
        <f t="shared" si="23"/>
        <v>0</v>
      </c>
      <c r="DF759" s="1544"/>
      <c r="DG759" s="1544"/>
      <c r="DH759" s="1544"/>
      <c r="DI759" s="1544"/>
      <c r="DJ759" s="1544">
        <f t="shared" si="24"/>
        <v>0</v>
      </c>
      <c r="DK759" s="1544"/>
      <c r="DL759" s="1544"/>
      <c r="DM759" s="1544"/>
      <c r="DN759" s="1544"/>
      <c r="DO759" s="1544">
        <f t="shared" si="25"/>
        <v>0</v>
      </c>
      <c r="DP759" s="1544"/>
      <c r="DQ759" s="1544"/>
      <c r="DR759" s="1544"/>
      <c r="DS759" s="1544"/>
      <c r="DT759" s="6"/>
      <c r="DU759" s="1539">
        <f t="shared" si="26"/>
        <v>0</v>
      </c>
      <c r="DV759" s="1539"/>
      <c r="DW759" s="1539"/>
      <c r="DX759" s="1539"/>
      <c r="DY759" s="1539"/>
      <c r="DZ759" s="1539">
        <f t="shared" si="27"/>
        <v>0</v>
      </c>
      <c r="EA759" s="1539"/>
      <c r="EB759" s="1539"/>
      <c r="EC759" s="1539"/>
      <c r="ED759" s="1539"/>
      <c r="EE759" s="1539">
        <f t="shared" si="28"/>
        <v>0</v>
      </c>
      <c r="EF759" s="1539"/>
      <c r="EG759" s="1539"/>
      <c r="EH759" s="1539"/>
      <c r="EI759" s="1539"/>
      <c r="EJ759" s="1539">
        <f t="shared" si="29"/>
        <v>0</v>
      </c>
      <c r="EK759" s="1539"/>
      <c r="EL759" s="1539"/>
      <c r="EM759" s="1539"/>
      <c r="EN759" s="1539"/>
      <c r="EO759" s="1539">
        <f t="shared" si="30"/>
        <v>0</v>
      </c>
      <c r="EP759" s="1539"/>
      <c r="EQ759" s="1539"/>
      <c r="ER759" s="1539"/>
      <c r="ES759" s="1539"/>
      <c r="ET759" s="1539">
        <f t="shared" si="31"/>
        <v>0</v>
      </c>
      <c r="EU759" s="1539"/>
      <c r="EV759" s="1539"/>
      <c r="EW759" s="1539"/>
      <c r="EX759" s="1539"/>
      <c r="EY759"/>
      <c r="EZ759" s="1545" t="str">
        <f t="shared" si="32"/>
        <v/>
      </c>
      <c r="FA759" s="1546"/>
      <c r="FB759" s="1546"/>
      <c r="FC759" s="1546"/>
      <c r="FD759" s="1547"/>
      <c r="FE759" s="1545" t="str">
        <f t="shared" si="33"/>
        <v/>
      </c>
      <c r="FF759" s="1546"/>
      <c r="FG759" s="1546"/>
      <c r="FH759" s="1546"/>
      <c r="FI759" s="1547"/>
      <c r="FJ759" s="1545" t="str">
        <f t="shared" si="34"/>
        <v/>
      </c>
      <c r="FK759" s="1546"/>
      <c r="FL759" s="1546"/>
      <c r="FM759" s="1546"/>
      <c r="FN759" s="1547"/>
      <c r="FO759" s="1545" t="str">
        <f t="shared" si="35"/>
        <v/>
      </c>
      <c r="FP759" s="1546"/>
      <c r="FQ759" s="1546"/>
      <c r="FR759" s="1546"/>
      <c r="FS759" s="1547"/>
      <c r="FT759" s="1545" t="str">
        <f t="shared" si="36"/>
        <v/>
      </c>
      <c r="FU759" s="1546"/>
      <c r="FV759" s="1546"/>
      <c r="FW759" s="1546"/>
      <c r="FX759" s="1547"/>
      <c r="FY759" s="1545" t="str">
        <f t="shared" si="37"/>
        <v/>
      </c>
      <c r="FZ759" s="1546"/>
      <c r="GA759" s="1546"/>
      <c r="GB759" s="1546"/>
      <c r="GC759" s="1547"/>
    </row>
    <row r="760" spans="1:185" s="3" customFormat="1" ht="13" customHeight="1">
      <c r="A760"/>
      <c r="B760" s="1363"/>
      <c r="C760" s="1364"/>
      <c r="D760" s="1364"/>
      <c r="E760" s="1364"/>
      <c r="F760" s="1365"/>
      <c r="G760" s="1357"/>
      <c r="H760" s="1358"/>
      <c r="I760" s="1358"/>
      <c r="J760" s="1359"/>
      <c r="K760" s="1360"/>
      <c r="L760" s="1361"/>
      <c r="M760" s="1361"/>
      <c r="N760" s="1362"/>
      <c r="O760" s="1409"/>
      <c r="P760" s="1410"/>
      <c r="Q760" s="1410"/>
      <c r="R760" s="1410"/>
      <c r="S760" s="1411"/>
      <c r="T760" s="1409"/>
      <c r="U760" s="1410"/>
      <c r="V760" s="1410"/>
      <c r="W760" s="1411"/>
      <c r="X760" s="1412">
        <f>O760+T760</f>
        <v>0</v>
      </c>
      <c r="Y760" s="1408"/>
      <c r="Z760" s="1408"/>
      <c r="AA760" s="1408"/>
      <c r="AB760" s="1413"/>
      <c r="AC760" s="1414"/>
      <c r="AD760" s="1415"/>
      <c r="AE760" s="1415"/>
      <c r="AF760" s="1415"/>
      <c r="AG760" s="1416"/>
      <c r="AH760" s="1432" t="str">
        <f t="shared" si="38"/>
        <v/>
      </c>
      <c r="AI760" s="1433"/>
      <c r="AJ760" s="1434"/>
      <c r="AK760" s="1363" t="s">
        <v>590</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45">
        <f t="shared" si="39"/>
        <v>0</v>
      </c>
      <c r="CH760" s="1547"/>
      <c r="CI760" s="1548">
        <f t="shared" si="40"/>
        <v>0</v>
      </c>
      <c r="CJ760" s="1550"/>
      <c r="CK760" s="1545">
        <f t="shared" si="18"/>
        <v>0</v>
      </c>
      <c r="CL760" s="1547"/>
      <c r="CM760" s="1548">
        <f t="shared" si="19"/>
        <v>0</v>
      </c>
      <c r="CN760" s="1550"/>
      <c r="CP760" s="1540">
        <f t="shared" si="20"/>
        <v>0</v>
      </c>
      <c r="CQ760" s="1541"/>
      <c r="CR760" s="1541"/>
      <c r="CS760" s="1541"/>
      <c r="CT760" s="1542"/>
      <c r="CU760" s="1544">
        <f t="shared" si="21"/>
        <v>0</v>
      </c>
      <c r="CV760" s="1544"/>
      <c r="CW760" s="1544"/>
      <c r="CX760" s="1544"/>
      <c r="CY760" s="1544"/>
      <c r="CZ760" s="1544">
        <f t="shared" si="22"/>
        <v>0</v>
      </c>
      <c r="DA760" s="1544"/>
      <c r="DB760" s="1544"/>
      <c r="DC760" s="1544"/>
      <c r="DD760" s="1544"/>
      <c r="DE760" s="1544">
        <f t="shared" si="23"/>
        <v>0</v>
      </c>
      <c r="DF760" s="1544"/>
      <c r="DG760" s="1544"/>
      <c r="DH760" s="1544"/>
      <c r="DI760" s="1544"/>
      <c r="DJ760" s="1544">
        <f t="shared" si="24"/>
        <v>0</v>
      </c>
      <c r="DK760" s="1544"/>
      <c r="DL760" s="1544"/>
      <c r="DM760" s="1544"/>
      <c r="DN760" s="1544"/>
      <c r="DO760" s="1544">
        <f t="shared" si="25"/>
        <v>0</v>
      </c>
      <c r="DP760" s="1544"/>
      <c r="DQ760" s="1544"/>
      <c r="DR760" s="1544"/>
      <c r="DS760" s="1544"/>
      <c r="DT760" s="6"/>
      <c r="DU760" s="1539">
        <f t="shared" si="26"/>
        <v>0</v>
      </c>
      <c r="DV760" s="1539"/>
      <c r="DW760" s="1539"/>
      <c r="DX760" s="1539"/>
      <c r="DY760" s="1539"/>
      <c r="DZ760" s="1539">
        <f t="shared" si="27"/>
        <v>0</v>
      </c>
      <c r="EA760" s="1539"/>
      <c r="EB760" s="1539"/>
      <c r="EC760" s="1539"/>
      <c r="ED760" s="1539"/>
      <c r="EE760" s="1539">
        <f t="shared" si="28"/>
        <v>0</v>
      </c>
      <c r="EF760" s="1539"/>
      <c r="EG760" s="1539"/>
      <c r="EH760" s="1539"/>
      <c r="EI760" s="1539"/>
      <c r="EJ760" s="1539">
        <f t="shared" si="29"/>
        <v>0</v>
      </c>
      <c r="EK760" s="1539"/>
      <c r="EL760" s="1539"/>
      <c r="EM760" s="1539"/>
      <c r="EN760" s="1539"/>
      <c r="EO760" s="1539">
        <f t="shared" si="30"/>
        <v>0</v>
      </c>
      <c r="EP760" s="1539"/>
      <c r="EQ760" s="1539"/>
      <c r="ER760" s="1539"/>
      <c r="ES760" s="1539"/>
      <c r="ET760" s="1539">
        <f t="shared" si="31"/>
        <v>0</v>
      </c>
      <c r="EU760" s="1539"/>
      <c r="EV760" s="1539"/>
      <c r="EW760" s="1539"/>
      <c r="EX760" s="1539"/>
      <c r="EY760"/>
      <c r="EZ760" s="1545" t="str">
        <f t="shared" si="32"/>
        <v/>
      </c>
      <c r="FA760" s="1546"/>
      <c r="FB760" s="1546"/>
      <c r="FC760" s="1546"/>
      <c r="FD760" s="1547"/>
      <c r="FE760" s="1545" t="str">
        <f t="shared" si="33"/>
        <v/>
      </c>
      <c r="FF760" s="1546"/>
      <c r="FG760" s="1546"/>
      <c r="FH760" s="1546"/>
      <c r="FI760" s="1547"/>
      <c r="FJ760" s="1545" t="str">
        <f t="shared" si="34"/>
        <v/>
      </c>
      <c r="FK760" s="1546"/>
      <c r="FL760" s="1546"/>
      <c r="FM760" s="1546"/>
      <c r="FN760" s="1547"/>
      <c r="FO760" s="1545" t="str">
        <f t="shared" si="35"/>
        <v/>
      </c>
      <c r="FP760" s="1546"/>
      <c r="FQ760" s="1546"/>
      <c r="FR760" s="1546"/>
      <c r="FS760" s="1547"/>
      <c r="FT760" s="1545" t="str">
        <f t="shared" si="36"/>
        <v/>
      </c>
      <c r="FU760" s="1546"/>
      <c r="FV760" s="1546"/>
      <c r="FW760" s="1546"/>
      <c r="FX760" s="1547"/>
      <c r="FY760" s="1545" t="str">
        <f t="shared" si="37"/>
        <v/>
      </c>
      <c r="FZ760" s="1546"/>
      <c r="GA760" s="1546"/>
      <c r="GB760" s="1546"/>
      <c r="GC760" s="1547"/>
    </row>
    <row r="761" spans="1:185" s="3" customFormat="1" ht="13" customHeight="1">
      <c r="A761"/>
      <c r="B761" s="1528" t="s">
        <v>125</v>
      </c>
      <c r="C761" s="1529"/>
      <c r="D761" s="1529"/>
      <c r="E761" s="1529"/>
      <c r="F761" s="1530"/>
      <c r="G761" s="1673">
        <f>SUM(G726:G760)</f>
        <v>60</v>
      </c>
      <c r="H761" s="1674"/>
      <c r="I761" s="1674"/>
      <c r="J761" s="1675"/>
      <c r="K761" s="898" t="s">
        <v>124</v>
      </c>
      <c r="L761" s="5"/>
      <c r="M761" s="5"/>
      <c r="N761" s="46"/>
      <c r="O761" s="1412">
        <f>SUMPRODUCT(G726:G760,O726:O760)</f>
        <v>66360</v>
      </c>
      <c r="P761" s="1408"/>
      <c r="Q761" s="1408"/>
      <c r="R761" s="1408"/>
      <c r="S761" s="1413"/>
      <c r="T761"/>
      <c r="U761"/>
      <c r="V761"/>
      <c r="W761"/>
      <c r="X761" s="900" t="s">
        <v>899</v>
      </c>
      <c r="Y761" s="899"/>
      <c r="Z761" s="899"/>
      <c r="AA761" s="899"/>
      <c r="AB761" s="901"/>
      <c r="AC761" s="1603">
        <f>BH761</f>
        <v>0.4</v>
      </c>
      <c r="AD761" s="1604"/>
      <c r="AE761" s="1604"/>
      <c r="AF761" s="1604"/>
      <c r="AG761" s="1605"/>
      <c r="AH761" s="1603">
        <f>IFERROR(BU761,"")</f>
        <v>0.4</v>
      </c>
      <c r="AI761" s="1604"/>
      <c r="AJ761" s="1605"/>
      <c r="AK761"/>
      <c r="AL761"/>
      <c r="AM761"/>
      <c r="AN761"/>
      <c r="AO761"/>
      <c r="AP761" s="205"/>
      <c r="AQ761" s="205"/>
      <c r="AR761" s="205"/>
      <c r="AS761" s="205"/>
      <c r="AT761"/>
      <c r="AU761"/>
      <c r="AV761"/>
      <c r="AW761"/>
      <c r="AX761"/>
      <c r="AY761"/>
      <c r="AZ761" s="34"/>
      <c r="BA761" s="34"/>
      <c r="BB761" s="34"/>
      <c r="BC761" s="34"/>
      <c r="BE761" s="290" t="s">
        <v>898</v>
      </c>
      <c r="BF761" s="299">
        <f>SUM(BF726:BF760)</f>
        <v>60</v>
      </c>
      <c r="BG761" s="300">
        <f>SUM(BG726:BG760)</f>
        <v>1</v>
      </c>
      <c r="BH761" s="300">
        <f>SUM(BH726:BH760)</f>
        <v>0.4</v>
      </c>
      <c r="BI761"/>
      <c r="BJ761"/>
      <c r="BK761"/>
      <c r="BL761"/>
      <c r="BO761"/>
      <c r="BP761"/>
      <c r="BQ761"/>
      <c r="BR761"/>
      <c r="BS761" s="855">
        <f>SUM(BS726:BS760)</f>
        <v>60</v>
      </c>
      <c r="BT761" s="300">
        <f>SUM(BT726:BT760)</f>
        <v>1</v>
      </c>
      <c r="BU761" s="300">
        <f>SUM(BU726:BU760)</f>
        <v>0.4</v>
      </c>
      <c r="CI761" s="1545">
        <f>SUM(CI726:CJ760)</f>
        <v>30</v>
      </c>
      <c r="CJ761" s="1547"/>
      <c r="CM761" s="1545">
        <f>SUM(CM726:CN760)</f>
        <v>30</v>
      </c>
      <c r="CN761" s="1547"/>
      <c r="CP761" s="1545">
        <f>SUM(CP726:CT760)</f>
        <v>0</v>
      </c>
      <c r="CQ761" s="1546"/>
      <c r="CR761" s="1546"/>
      <c r="CS761" s="1546"/>
      <c r="CT761" s="1547"/>
      <c r="CU761" s="1543">
        <f>SUM(CU726:CY760)</f>
        <v>60</v>
      </c>
      <c r="CV761" s="1543"/>
      <c r="CW761" s="1543"/>
      <c r="CX761" s="1543"/>
      <c r="CY761" s="1543"/>
      <c r="CZ761" s="1543">
        <f>SUM(CZ726:DD760)</f>
        <v>0</v>
      </c>
      <c r="DA761" s="1543"/>
      <c r="DB761" s="1543"/>
      <c r="DC761" s="1543"/>
      <c r="DD761" s="1543"/>
      <c r="DE761" s="1543">
        <f>SUM(DE726:DI760)</f>
        <v>0</v>
      </c>
      <c r="DF761" s="1543"/>
      <c r="DG761" s="1543"/>
      <c r="DH761" s="1543"/>
      <c r="DI761" s="1543"/>
      <c r="DJ761" s="1543">
        <f>SUM(DJ726:DN760)</f>
        <v>0</v>
      </c>
      <c r="DK761" s="1543"/>
      <c r="DL761" s="1543"/>
      <c r="DM761" s="1543"/>
      <c r="DN761" s="1543"/>
      <c r="DO761" s="1543">
        <f>SUM(DO726:DS760)</f>
        <v>0</v>
      </c>
      <c r="DP761" s="1543"/>
      <c r="DQ761" s="1543"/>
      <c r="DR761" s="1543"/>
      <c r="DS761" s="1543"/>
      <c r="DT761" s="354"/>
      <c r="DU761" s="1543">
        <f>SUM(DU726:DY760)</f>
        <v>0</v>
      </c>
      <c r="DV761" s="1543"/>
      <c r="DW761" s="1543"/>
      <c r="DX761" s="1543"/>
      <c r="DY761" s="1543"/>
      <c r="DZ761" s="1543">
        <f>SUM(DZ726:ED760)</f>
        <v>30</v>
      </c>
      <c r="EA761" s="1543"/>
      <c r="EB761" s="1543"/>
      <c r="EC761" s="1543"/>
      <c r="ED761" s="1543"/>
      <c r="EE761" s="1543">
        <f>SUM(EE726:EI760)</f>
        <v>0</v>
      </c>
      <c r="EF761" s="1543"/>
      <c r="EG761" s="1543"/>
      <c r="EH761" s="1543"/>
      <c r="EI761" s="1543"/>
      <c r="EJ761" s="1543">
        <f>SUM(EJ726:EN760)</f>
        <v>0</v>
      </c>
      <c r="EK761" s="1543"/>
      <c r="EL761" s="1543"/>
      <c r="EM761" s="1543"/>
      <c r="EN761" s="1543"/>
      <c r="EO761" s="1543">
        <f>SUM(EO726:ES760)</f>
        <v>0</v>
      </c>
      <c r="EP761" s="1543"/>
      <c r="EQ761" s="1543"/>
      <c r="ER761" s="1543"/>
      <c r="ES761" s="1543"/>
      <c r="ET761" s="1543">
        <f>SUM(ET726:EX760)</f>
        <v>0</v>
      </c>
      <c r="EU761" s="1543"/>
      <c r="EV761" s="1543"/>
      <c r="EW761" s="1543"/>
      <c r="EX761" s="1543"/>
      <c r="EY761"/>
      <c r="EZ761" s="1543">
        <f>SUM(EZ726:FD760)</f>
        <v>0</v>
      </c>
      <c r="FA761" s="1543"/>
      <c r="FB761" s="1543"/>
      <c r="FC761" s="1543"/>
      <c r="FD761" s="1543"/>
      <c r="FE761" s="1543">
        <f>SUM(FE726:FI760)</f>
        <v>2212</v>
      </c>
      <c r="FF761" s="1543"/>
      <c r="FG761" s="1543"/>
      <c r="FH761" s="1543"/>
      <c r="FI761" s="1543"/>
      <c r="FJ761" s="1543">
        <f>SUM(FJ726:FN760)</f>
        <v>0</v>
      </c>
      <c r="FK761" s="1543"/>
      <c r="FL761" s="1543"/>
      <c r="FM761" s="1543"/>
      <c r="FN761" s="1543"/>
      <c r="FO761" s="1543">
        <f>SUM(FO726:FS760)</f>
        <v>0</v>
      </c>
      <c r="FP761" s="1543"/>
      <c r="FQ761" s="1543"/>
      <c r="FR761" s="1543"/>
      <c r="FS761" s="1543"/>
      <c r="FT761" s="1543">
        <f>SUM(FT726:FX760)</f>
        <v>0</v>
      </c>
      <c r="FU761" s="1543"/>
      <c r="FV761" s="1543"/>
      <c r="FW761" s="1543"/>
      <c r="FX761" s="1543"/>
      <c r="FY761" s="1543">
        <f>SUM(FY726:GC760)</f>
        <v>0</v>
      </c>
      <c r="FZ761" s="1543"/>
      <c r="GA761" s="1543"/>
      <c r="GB761" s="1543"/>
      <c r="GC761" s="1543"/>
    </row>
    <row r="762" spans="1:185" s="3" customFormat="1" ht="13" customHeight="1">
      <c r="A762"/>
      <c r="B762" s="1749" t="s">
        <v>1866</v>
      </c>
      <c r="C762" s="1749"/>
      <c r="D762" s="1749"/>
      <c r="E762" s="1749"/>
      <c r="F762" s="1749"/>
      <c r="G762" s="1749"/>
      <c r="H762" s="1749"/>
      <c r="I762" s="1749"/>
      <c r="J762" s="1749"/>
      <c r="K762" s="1749"/>
      <c r="L762" s="1749"/>
      <c r="M762" s="1749"/>
      <c r="N762" s="1749"/>
      <c r="O762" s="1749"/>
      <c r="P762" s="1749"/>
      <c r="Q762" s="1749"/>
      <c r="R762" s="1749"/>
      <c r="S762" s="1749"/>
      <c r="T762" s="1749"/>
      <c r="U762" s="1749"/>
      <c r="V762" s="1749"/>
      <c r="W762" s="1749"/>
      <c r="X762" s="1749"/>
      <c r="Y762" s="1749"/>
      <c r="Z762" s="1749"/>
      <c r="AA762" s="1749"/>
      <c r="AB762" s="1749"/>
      <c r="AC762" s="1749"/>
      <c r="AD762" s="1749"/>
      <c r="AE762" s="1749"/>
      <c r="AF762" s="1749"/>
      <c r="AG762" s="1749"/>
      <c r="AH762" s="1749"/>
      <c r="AI762"/>
      <c r="AJ762"/>
      <c r="AK762"/>
      <c r="AT762"/>
      <c r="AU762"/>
      <c r="AV762"/>
      <c r="AW762"/>
      <c r="AX762"/>
      <c r="AY762"/>
      <c r="CD762"/>
      <c r="DN762" s="56" t="s">
        <v>1834</v>
      </c>
      <c r="DO762" s="1545">
        <f>CP761+CU761+CZ761+DE761+DJ761+DO761</f>
        <v>60</v>
      </c>
      <c r="DP762" s="1546"/>
      <c r="DQ762" s="1546"/>
      <c r="DR762" s="1546"/>
      <c r="DS762" s="154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749"/>
      <c r="C763" s="1749"/>
      <c r="D763" s="1749"/>
      <c r="E763" s="1749"/>
      <c r="F763" s="1749"/>
      <c r="G763" s="1749"/>
      <c r="H763" s="1749"/>
      <c r="I763" s="1749"/>
      <c r="J763" s="1749"/>
      <c r="K763" s="1749"/>
      <c r="L763" s="1749"/>
      <c r="M763" s="1749"/>
      <c r="N763" s="1749"/>
      <c r="O763" s="1749"/>
      <c r="P763" s="1749"/>
      <c r="Q763" s="1749"/>
      <c r="R763" s="1749"/>
      <c r="S763" s="1749"/>
      <c r="T763" s="1749"/>
      <c r="U763" s="1749"/>
      <c r="V763" s="1749"/>
      <c r="W763" s="1749"/>
      <c r="X763" s="1749"/>
      <c r="Y763" s="1749"/>
      <c r="Z763" s="1749"/>
      <c r="AA763" s="1749"/>
      <c r="AB763" s="1749"/>
      <c r="AC763" s="1749"/>
      <c r="AD763" s="1749"/>
      <c r="AE763" s="1749"/>
      <c r="AF763" s="1749"/>
      <c r="AG763" s="1749"/>
      <c r="AH763" s="1749"/>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60</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60</v>
      </c>
      <c r="DV763" s="57" t="s">
        <v>1836</v>
      </c>
      <c r="DW763" s="3"/>
      <c r="DX763" s="3"/>
      <c r="DY763" s="3"/>
      <c r="DZ763" s="3"/>
      <c r="EA763" s="3"/>
      <c r="EB763" s="3"/>
      <c r="EC763" s="3"/>
      <c r="ED763" s="3"/>
      <c r="EE763" s="3"/>
      <c r="EF763" s="3"/>
      <c r="EG763" s="3"/>
      <c r="EH763" s="3"/>
    </row>
    <row r="764" spans="1:185" ht="13" customHeight="1">
      <c r="A764" s="3"/>
      <c r="B764" s="3"/>
      <c r="C764" s="118" t="s">
        <v>1864</v>
      </c>
      <c r="D764" s="1027"/>
      <c r="E764" s="1027"/>
      <c r="F764" s="1027"/>
      <c r="G764" s="1028"/>
      <c r="H764" s="1028"/>
      <c r="I764" s="1028"/>
      <c r="J764" s="1028"/>
      <c r="K764" s="1027"/>
      <c r="L764" s="1027"/>
      <c r="M764" s="1027"/>
      <c r="N764" s="1027"/>
      <c r="O764" s="1543">
        <f>DU763</f>
        <v>60</v>
      </c>
      <c r="P764" s="1543"/>
      <c r="Q764" s="1543"/>
      <c r="R764" s="1543"/>
      <c r="S764" s="965"/>
      <c r="T764" s="965"/>
      <c r="U764" s="118" t="s">
        <v>1865</v>
      </c>
      <c r="V764" s="1027"/>
      <c r="W764" s="1027"/>
      <c r="X764" s="1027"/>
      <c r="Y764" s="1028"/>
      <c r="Z764" s="1028"/>
      <c r="AA764" s="1028"/>
      <c r="AB764" s="1028"/>
      <c r="AC764" s="1027"/>
      <c r="AD764" s="1027"/>
      <c r="AE764" s="1027"/>
      <c r="AF764" s="1027"/>
      <c r="AG764" s="1443"/>
      <c r="AH764" s="1443"/>
      <c r="AI764" s="1443"/>
      <c r="AJ764" s="144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356" t="str">
        <f>IF(G761&lt;&gt;AG449,"! Total Low-Income Units in the Unit Mix Table above does not match the number of Total Low-Income Units on row #"&amp;TEXT(ROW(D449),"#"),"")</f>
        <v/>
      </c>
      <c r="D765" s="1356"/>
      <c r="E765" s="1356"/>
      <c r="F765" s="1356"/>
      <c r="G765" s="1356"/>
      <c r="H765" s="1356"/>
      <c r="I765" s="1356"/>
      <c r="J765" s="1356"/>
      <c r="K765" s="1356"/>
      <c r="L765" s="1356"/>
      <c r="M765" s="1356"/>
      <c r="N765" s="1356"/>
      <c r="O765" s="1356"/>
      <c r="P765" s="1356"/>
      <c r="Q765" s="1356"/>
      <c r="R765" s="1356"/>
      <c r="S765" s="1356"/>
      <c r="T765" s="1356"/>
      <c r="U765" s="1356"/>
      <c r="V765" s="1356"/>
      <c r="W765" s="1356"/>
      <c r="X765" s="1356"/>
      <c r="Y765" s="1356"/>
      <c r="Z765" s="1356"/>
      <c r="AA765" s="1356"/>
      <c r="AB765" s="1356"/>
      <c r="AC765" s="1356"/>
      <c r="AD765" s="1356"/>
      <c r="AE765" s="1356"/>
      <c r="AF765" s="1356"/>
      <c r="AG765" s="1356"/>
      <c r="AH765" s="1356"/>
      <c r="AI765" s="1356"/>
      <c r="AJ765" s="1356"/>
      <c r="AK765" s="1356"/>
      <c r="AL765" s="1356"/>
      <c r="AM765" s="135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356"/>
      <c r="D766" s="1356"/>
      <c r="E766" s="1356"/>
      <c r="F766" s="1356"/>
      <c r="G766" s="1356"/>
      <c r="H766" s="1356"/>
      <c r="I766" s="1356"/>
      <c r="J766" s="1356"/>
      <c r="K766" s="1356"/>
      <c r="L766" s="1356"/>
      <c r="M766" s="1356"/>
      <c r="N766" s="1356"/>
      <c r="O766" s="1356"/>
      <c r="P766" s="1356"/>
      <c r="Q766" s="1356"/>
      <c r="R766" s="1356"/>
      <c r="S766" s="1356"/>
      <c r="T766" s="1356"/>
      <c r="U766" s="1356"/>
      <c r="V766" s="1356"/>
      <c r="W766" s="1356"/>
      <c r="X766" s="1356"/>
      <c r="Y766" s="1356"/>
      <c r="Z766" s="1356"/>
      <c r="AA766" s="1356"/>
      <c r="AB766" s="1356"/>
      <c r="AC766" s="1356"/>
      <c r="AD766" s="1356"/>
      <c r="AE766" s="1356"/>
      <c r="AF766" s="1356"/>
      <c r="AG766" s="1356"/>
      <c r="AH766" s="1356"/>
      <c r="AI766" s="1356"/>
      <c r="AJ766" s="1356"/>
      <c r="AK766" s="1356"/>
      <c r="AL766" s="1356"/>
      <c r="AM766" s="135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6" t="s">
        <v>590</v>
      </c>
      <c r="AE767" s="1676"/>
      <c r="AF767" s="167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3" t="s">
        <v>2044</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3" t="s">
        <v>2045</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423" t="s">
        <v>388</v>
      </c>
      <c r="K777" s="1424"/>
      <c r="L777" s="1424"/>
      <c r="M777" s="1424"/>
      <c r="N777" s="1425"/>
      <c r="O777" s="1447" t="s">
        <v>284</v>
      </c>
      <c r="P777" s="1447"/>
      <c r="Q777" s="1447"/>
      <c r="R777" s="1447"/>
      <c r="S777" s="1447"/>
      <c r="T777" s="1713" t="s">
        <v>1667</v>
      </c>
      <c r="U777" s="1714"/>
      <c r="V777" s="1714"/>
      <c r="W777" s="1715"/>
      <c r="X777" s="1423" t="s">
        <v>446</v>
      </c>
      <c r="Y777" s="1424"/>
      <c r="Z777" s="1424"/>
      <c r="AA777" s="1424"/>
      <c r="AB777" s="1425"/>
      <c r="AC777" s="1423" t="s">
        <v>285</v>
      </c>
      <c r="AD777" s="1424"/>
      <c r="AE777" s="1424"/>
      <c r="AF777" s="1424"/>
      <c r="AG777" s="142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426"/>
      <c r="K778" s="1427"/>
      <c r="L778" s="1427"/>
      <c r="M778" s="1427"/>
      <c r="N778" s="1428"/>
      <c r="O778" s="1447"/>
      <c r="P778" s="1447"/>
      <c r="Q778" s="1447"/>
      <c r="R778" s="1447"/>
      <c r="S778" s="1447"/>
      <c r="T778" s="1716"/>
      <c r="U778" s="1717"/>
      <c r="V778" s="1717"/>
      <c r="W778" s="1718"/>
      <c r="X778" s="1426"/>
      <c r="Y778" s="1427"/>
      <c r="Z778" s="1427"/>
      <c r="AA778" s="1427"/>
      <c r="AB778" s="1428"/>
      <c r="AC778" s="1426"/>
      <c r="AD778" s="1427"/>
      <c r="AE778" s="1427"/>
      <c r="AF778" s="1427"/>
      <c r="AG778" s="142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426"/>
      <c r="K779" s="1427"/>
      <c r="L779" s="1427"/>
      <c r="M779" s="1427"/>
      <c r="N779" s="1428"/>
      <c r="O779" s="1447"/>
      <c r="P779" s="1447"/>
      <c r="Q779" s="1447"/>
      <c r="R779" s="1447"/>
      <c r="S779" s="1447"/>
      <c r="T779" s="1716"/>
      <c r="U779" s="1717"/>
      <c r="V779" s="1717"/>
      <c r="W779" s="1718"/>
      <c r="X779" s="1426"/>
      <c r="Y779" s="1427"/>
      <c r="Z779" s="1427"/>
      <c r="AA779" s="1427"/>
      <c r="AB779" s="1428"/>
      <c r="AC779" s="1426"/>
      <c r="AD779" s="1427"/>
      <c r="AE779" s="1427"/>
      <c r="AF779" s="1427"/>
      <c r="AG779" s="142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429"/>
      <c r="K780" s="1430"/>
      <c r="L780" s="1430"/>
      <c r="M780" s="1430"/>
      <c r="N780" s="1431"/>
      <c r="O780" s="1447"/>
      <c r="P780" s="1447"/>
      <c r="Q780" s="1447"/>
      <c r="R780" s="1447"/>
      <c r="S780" s="1447"/>
      <c r="T780" s="1720"/>
      <c r="U780" s="1721"/>
      <c r="V780" s="1721"/>
      <c r="W780" s="1722"/>
      <c r="X780" s="1429"/>
      <c r="Y780" s="1430"/>
      <c r="Z780" s="1430"/>
      <c r="AA780" s="1430"/>
      <c r="AB780" s="1431"/>
      <c r="AC780" s="1429"/>
      <c r="AD780" s="1430"/>
      <c r="AE780" s="1430"/>
      <c r="AF780" s="1430"/>
      <c r="AG780" s="143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3" t="s">
        <v>163</v>
      </c>
      <c r="K781" s="1364"/>
      <c r="L781" s="1364"/>
      <c r="M781" s="1364"/>
      <c r="N781" s="1365"/>
      <c r="O781" s="1446">
        <v>1</v>
      </c>
      <c r="P781" s="1446"/>
      <c r="Q781" s="1446"/>
      <c r="R781" s="1446"/>
      <c r="S781" s="1446"/>
      <c r="T781" s="1360">
        <v>875</v>
      </c>
      <c r="U781" s="1361"/>
      <c r="V781" s="1361"/>
      <c r="W781" s="1362"/>
      <c r="X781" s="1409">
        <v>0</v>
      </c>
      <c r="Y781" s="1410"/>
      <c r="Z781" s="1410"/>
      <c r="AA781" s="1410"/>
      <c r="AB781" s="1411"/>
      <c r="AC781" s="1412">
        <f>X781*O781</f>
        <v>0</v>
      </c>
      <c r="AD781" s="1408"/>
      <c r="AE781" s="1408"/>
      <c r="AF781" s="1408"/>
      <c r="AG781" s="141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0">
        <f>IF(J781="SRO/Studio",O781,0)</f>
        <v>0</v>
      </c>
      <c r="CQ781" s="1541"/>
      <c r="CR781" s="1541"/>
      <c r="CS781" s="1541"/>
      <c r="CT781" s="1542"/>
      <c r="CU781" s="1544">
        <f>IF(J781="1 Bedroom",O781,0)</f>
        <v>0</v>
      </c>
      <c r="CV781" s="1544"/>
      <c r="CW781" s="1544"/>
      <c r="CX781" s="1544"/>
      <c r="CY781" s="1544"/>
      <c r="CZ781" s="1544">
        <f>IF(J781="2 Bedrooms",O781,0)</f>
        <v>1</v>
      </c>
      <c r="DA781" s="1544"/>
      <c r="DB781" s="1544"/>
      <c r="DC781" s="1544"/>
      <c r="DD781" s="1544"/>
      <c r="DE781" s="1544">
        <f>IF(J781="3 Bedrooms",O781,0)</f>
        <v>0</v>
      </c>
      <c r="DF781" s="1544"/>
      <c r="DG781" s="1544"/>
      <c r="DH781" s="1544"/>
      <c r="DI781" s="1544"/>
      <c r="DJ781" s="1544">
        <f>IF(J781="4 Bedrooms",O781,0)</f>
        <v>0</v>
      </c>
      <c r="DK781" s="1544"/>
      <c r="DL781" s="1544"/>
      <c r="DM781" s="1544"/>
      <c r="DN781" s="1544"/>
      <c r="DO781" s="1544">
        <f>IF(J781="5 Bedrooms",O781,0)</f>
        <v>0</v>
      </c>
      <c r="DP781" s="1544"/>
      <c r="DQ781" s="1544"/>
      <c r="DR781" s="1544"/>
      <c r="DS781" s="1544"/>
      <c r="DT781" s="6"/>
      <c r="DU781" s="3"/>
      <c r="DV781" s="3"/>
    </row>
    <row r="782" spans="1:159" ht="13" customHeight="1">
      <c r="J782" s="1363"/>
      <c r="K782" s="1364"/>
      <c r="L782" s="1364"/>
      <c r="M782" s="1364"/>
      <c r="N782" s="1365"/>
      <c r="O782" s="1446"/>
      <c r="P782" s="1446"/>
      <c r="Q782" s="1446"/>
      <c r="R782" s="1446"/>
      <c r="S782" s="1446"/>
      <c r="T782" s="1360"/>
      <c r="U782" s="1361"/>
      <c r="V782" s="1361"/>
      <c r="W782" s="1362"/>
      <c r="X782" s="1409"/>
      <c r="Y782" s="1410"/>
      <c r="Z782" s="1410"/>
      <c r="AA782" s="1410"/>
      <c r="AB782" s="1411"/>
      <c r="AC782" s="1412">
        <f>X782*O782</f>
        <v>0</v>
      </c>
      <c r="AD782" s="1408"/>
      <c r="AE782" s="1408"/>
      <c r="AF782" s="1408"/>
      <c r="AG782" s="141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0">
        <f>IF(J782="SRO/Studio",O782,0)</f>
        <v>0</v>
      </c>
      <c r="CQ782" s="1541"/>
      <c r="CR782" s="1541"/>
      <c r="CS782" s="1541"/>
      <c r="CT782" s="1542"/>
      <c r="CU782" s="1544">
        <f>IF(J782="1 Bedroom",O782,0)</f>
        <v>0</v>
      </c>
      <c r="CV782" s="1544"/>
      <c r="CW782" s="1544"/>
      <c r="CX782" s="1544"/>
      <c r="CY782" s="1544"/>
      <c r="CZ782" s="1544">
        <f>IF(J782="2 Bedrooms",O782,0)</f>
        <v>0</v>
      </c>
      <c r="DA782" s="1544"/>
      <c r="DB782" s="1544"/>
      <c r="DC782" s="1544"/>
      <c r="DD782" s="1544"/>
      <c r="DE782" s="1544">
        <f>IF(J782="3 Bedrooms",O782,0)</f>
        <v>0</v>
      </c>
      <c r="DF782" s="1544"/>
      <c r="DG782" s="1544"/>
      <c r="DH782" s="1544"/>
      <c r="DI782" s="1544"/>
      <c r="DJ782" s="1544">
        <f>IF(J782="4 Bedrooms",O782,0)</f>
        <v>0</v>
      </c>
      <c r="DK782" s="1544"/>
      <c r="DL782" s="1544"/>
      <c r="DM782" s="1544"/>
      <c r="DN782" s="1544"/>
      <c r="DO782" s="1544">
        <f>IF(J782="5 Bedrooms",O782,0)</f>
        <v>0</v>
      </c>
      <c r="DP782" s="1544"/>
      <c r="DQ782" s="1544"/>
      <c r="DR782" s="1544"/>
      <c r="DS782" s="1544"/>
      <c r="DT782" s="6"/>
      <c r="DU782" s="3"/>
      <c r="DV782" s="3"/>
    </row>
    <row r="783" spans="1:159" ht="13" customHeight="1">
      <c r="J783" s="1363"/>
      <c r="K783" s="1364"/>
      <c r="L783" s="1364"/>
      <c r="M783" s="1364"/>
      <c r="N783" s="1365"/>
      <c r="O783" s="1446"/>
      <c r="P783" s="1446"/>
      <c r="Q783" s="1446"/>
      <c r="R783" s="1446"/>
      <c r="S783" s="1446"/>
      <c r="T783" s="1360"/>
      <c r="U783" s="1361"/>
      <c r="V783" s="1361"/>
      <c r="W783" s="1362"/>
      <c r="X783" s="1409"/>
      <c r="Y783" s="1410"/>
      <c r="Z783" s="1410"/>
      <c r="AA783" s="1410"/>
      <c r="AB783" s="1411"/>
      <c r="AC783" s="1412">
        <f>X783*O783</f>
        <v>0</v>
      </c>
      <c r="AD783" s="1408"/>
      <c r="AE783" s="1408"/>
      <c r="AF783" s="1408"/>
      <c r="AG783" s="141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0">
        <f>IF(J783="SRO/Studio",O783,0)</f>
        <v>0</v>
      </c>
      <c r="CQ783" s="1541"/>
      <c r="CR783" s="1541"/>
      <c r="CS783" s="1541"/>
      <c r="CT783" s="1542"/>
      <c r="CU783" s="1544">
        <f>IF(J783="1 Bedroom",O783,0)</f>
        <v>0</v>
      </c>
      <c r="CV783" s="1544"/>
      <c r="CW783" s="1544"/>
      <c r="CX783" s="1544"/>
      <c r="CY783" s="1544"/>
      <c r="CZ783" s="1544">
        <f>IF(J783="2 Bedrooms",O783,0)</f>
        <v>0</v>
      </c>
      <c r="DA783" s="1544"/>
      <c r="DB783" s="1544"/>
      <c r="DC783" s="1544"/>
      <c r="DD783" s="1544"/>
      <c r="DE783" s="1544">
        <f>IF(J783="3 Bedrooms",O783,0)</f>
        <v>0</v>
      </c>
      <c r="DF783" s="1544"/>
      <c r="DG783" s="1544"/>
      <c r="DH783" s="1544"/>
      <c r="DI783" s="1544"/>
      <c r="DJ783" s="1544">
        <f>IF(J783="4 Bedrooms",O783,0)</f>
        <v>0</v>
      </c>
      <c r="DK783" s="1544"/>
      <c r="DL783" s="1544"/>
      <c r="DM783" s="1544"/>
      <c r="DN783" s="1544"/>
      <c r="DO783" s="1544">
        <f>IF(J783="5 Bedrooms",O783,0)</f>
        <v>0</v>
      </c>
      <c r="DP783" s="1544"/>
      <c r="DQ783" s="1544"/>
      <c r="DR783" s="1544"/>
      <c r="DS783" s="1544"/>
      <c r="DT783" s="1007"/>
    </row>
    <row r="784" spans="1:159" ht="13" customHeight="1">
      <c r="J784" s="1363"/>
      <c r="K784" s="1364"/>
      <c r="L784" s="1364"/>
      <c r="M784" s="1364"/>
      <c r="N784" s="1365"/>
      <c r="O784" s="1446"/>
      <c r="P784" s="1446"/>
      <c r="Q784" s="1446"/>
      <c r="R784" s="1446"/>
      <c r="S784" s="1446"/>
      <c r="T784" s="1360"/>
      <c r="U784" s="1361"/>
      <c r="V784" s="1361"/>
      <c r="W784" s="1362"/>
      <c r="X784" s="1409"/>
      <c r="Y784" s="1410"/>
      <c r="Z784" s="1410"/>
      <c r="AA784" s="1410"/>
      <c r="AB784" s="1411"/>
      <c r="AC784" s="1412">
        <f>X784*O784</f>
        <v>0</v>
      </c>
      <c r="AD784" s="1408"/>
      <c r="AE784" s="1408"/>
      <c r="AF784" s="1408"/>
      <c r="AG784" s="141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0">
        <f>IF(J784="SRO/Studio",O784,0)</f>
        <v>0</v>
      </c>
      <c r="CQ784" s="1541"/>
      <c r="CR784" s="1541"/>
      <c r="CS784" s="1541"/>
      <c r="CT784" s="1542"/>
      <c r="CU784" s="1544">
        <f>IF(J784="1 Bedroom",O784,0)</f>
        <v>0</v>
      </c>
      <c r="CV784" s="1544"/>
      <c r="CW784" s="1544"/>
      <c r="CX784" s="1544"/>
      <c r="CY784" s="1544"/>
      <c r="CZ784" s="1544">
        <f>IF(J784="2 Bedrooms",O784,0)</f>
        <v>0</v>
      </c>
      <c r="DA784" s="1544"/>
      <c r="DB784" s="1544"/>
      <c r="DC784" s="1544"/>
      <c r="DD784" s="1544"/>
      <c r="DE784" s="1544">
        <f>IF(J784="3 Bedrooms",O784,0)</f>
        <v>0</v>
      </c>
      <c r="DF784" s="1544"/>
      <c r="DG784" s="1544"/>
      <c r="DH784" s="1544"/>
      <c r="DI784" s="1544"/>
      <c r="DJ784" s="1544">
        <f>IF(J784="4 Bedrooms",O784,0)</f>
        <v>0</v>
      </c>
      <c r="DK784" s="1544"/>
      <c r="DL784" s="1544"/>
      <c r="DM784" s="1544"/>
      <c r="DN784" s="1544"/>
      <c r="DO784" s="1544">
        <f>IF(J784="5 Bedrooms",O784,0)</f>
        <v>0</v>
      </c>
      <c r="DP784" s="1544"/>
      <c r="DQ784" s="1544"/>
      <c r="DR784" s="1544"/>
      <c r="DS784" s="1544"/>
    </row>
    <row r="785" spans="1:154" ht="13" customHeight="1">
      <c r="J785" s="1528" t="s">
        <v>125</v>
      </c>
      <c r="K785" s="1529"/>
      <c r="L785" s="1529"/>
      <c r="M785" s="1529"/>
      <c r="N785" s="1530"/>
      <c r="O785" s="1548">
        <f>SUM(O781:S784)</f>
        <v>1</v>
      </c>
      <c r="P785" s="1549"/>
      <c r="Q785" s="1549"/>
      <c r="R785" s="1549"/>
      <c r="S785" s="1550"/>
      <c r="X785" s="1528" t="s">
        <v>124</v>
      </c>
      <c r="Y785" s="1529"/>
      <c r="Z785" s="1529"/>
      <c r="AA785" s="1529"/>
      <c r="AB785" s="1530"/>
      <c r="AC785" s="1412">
        <f>SUM(AC781:AG784)</f>
        <v>0</v>
      </c>
      <c r="AD785" s="1408"/>
      <c r="AE785" s="1408"/>
      <c r="AF785" s="1408"/>
      <c r="AG785" s="141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48">
        <f>SUM(CP781:CT784)</f>
        <v>0</v>
      </c>
      <c r="CQ785" s="1549"/>
      <c r="CR785" s="1549"/>
      <c r="CS785" s="1549"/>
      <c r="CT785" s="1550"/>
      <c r="CU785" s="1552">
        <f>SUM(CU781:CY784)</f>
        <v>0</v>
      </c>
      <c r="CV785" s="1553"/>
      <c r="CW785" s="1553"/>
      <c r="CX785" s="1553"/>
      <c r="CY785" s="1554"/>
      <c r="CZ785" s="1552">
        <f>SUM(CZ781:DD784)</f>
        <v>1</v>
      </c>
      <c r="DA785" s="1553"/>
      <c r="DB785" s="1553"/>
      <c r="DC785" s="1553"/>
      <c r="DD785" s="1554"/>
      <c r="DE785" s="1552">
        <f>SUM(DE781:DI784)</f>
        <v>0</v>
      </c>
      <c r="DF785" s="1553"/>
      <c r="DG785" s="1553"/>
      <c r="DH785" s="1553"/>
      <c r="DI785" s="1554"/>
      <c r="DJ785" s="1552">
        <f>SUM(DJ781:DN784)</f>
        <v>0</v>
      </c>
      <c r="DK785" s="1553"/>
      <c r="DL785" s="1553"/>
      <c r="DM785" s="1553"/>
      <c r="DN785" s="1554"/>
      <c r="DO785" s="1552">
        <f>SUM(DO781:DS784)</f>
        <v>0</v>
      </c>
      <c r="DP785" s="1553"/>
      <c r="DQ785" s="1553"/>
      <c r="DR785" s="1553"/>
      <c r="DS785" s="1554"/>
      <c r="DU785" s="857">
        <f>CP785+CU785+CZ785+DE785+DJ785+DO785</f>
        <v>1</v>
      </c>
      <c r="DV785" s="57" t="s">
        <v>1833</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3" customHeight="1">
      <c r="B787" s="56"/>
      <c r="C787" s="56"/>
      <c r="D787" s="56"/>
      <c r="E787" s="56"/>
      <c r="F787" s="56"/>
      <c r="G787" s="6"/>
      <c r="H787" s="6"/>
      <c r="I787" s="6"/>
      <c r="J787" s="1485" t="s">
        <v>668</v>
      </c>
      <c r="K787" s="1485"/>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423" t="s">
        <v>388</v>
      </c>
      <c r="K791" s="1424"/>
      <c r="L791" s="1424"/>
      <c r="M791" s="1424"/>
      <c r="N791" s="1425"/>
      <c r="O791" s="1447" t="s">
        <v>284</v>
      </c>
      <c r="P791" s="1447"/>
      <c r="Q791" s="1447"/>
      <c r="R791" s="1447"/>
      <c r="S791" s="1447"/>
      <c r="T791" s="1713" t="s">
        <v>1667</v>
      </c>
      <c r="U791" s="1714"/>
      <c r="V791" s="1714"/>
      <c r="W791" s="1715"/>
      <c r="X791" s="1423" t="s">
        <v>446</v>
      </c>
      <c r="Y791" s="1424"/>
      <c r="Z791" s="1424"/>
      <c r="AA791" s="1424"/>
      <c r="AB791" s="1425"/>
      <c r="AC791" s="1423" t="s">
        <v>285</v>
      </c>
      <c r="AD791" s="1424"/>
      <c r="AE791" s="1424"/>
      <c r="AF791" s="1424"/>
      <c r="AG791" s="142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426"/>
      <c r="K792" s="1427"/>
      <c r="L792" s="1427"/>
      <c r="M792" s="1427"/>
      <c r="N792" s="1428"/>
      <c r="O792" s="1447"/>
      <c r="P792" s="1447"/>
      <c r="Q792" s="1447"/>
      <c r="R792" s="1447"/>
      <c r="S792" s="1447"/>
      <c r="T792" s="1716"/>
      <c r="U792" s="1717"/>
      <c r="V792" s="1717"/>
      <c r="W792" s="1718"/>
      <c r="X792" s="1426"/>
      <c r="Y792" s="1427"/>
      <c r="Z792" s="1427"/>
      <c r="AA792" s="1427"/>
      <c r="AB792" s="1428"/>
      <c r="AC792" s="1426"/>
      <c r="AD792" s="1427"/>
      <c r="AE792" s="1427"/>
      <c r="AF792" s="1427"/>
      <c r="AG792" s="142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426"/>
      <c r="K793" s="1427"/>
      <c r="L793" s="1427"/>
      <c r="M793" s="1427"/>
      <c r="N793" s="1428"/>
      <c r="O793" s="1447"/>
      <c r="P793" s="1447"/>
      <c r="Q793" s="1447"/>
      <c r="R793" s="1447"/>
      <c r="S793" s="1447"/>
      <c r="T793" s="1716"/>
      <c r="U793" s="1717"/>
      <c r="V793" s="1717"/>
      <c r="W793" s="1718"/>
      <c r="X793" s="1426"/>
      <c r="Y793" s="1427"/>
      <c r="Z793" s="1427"/>
      <c r="AA793" s="1427"/>
      <c r="AB793" s="1428"/>
      <c r="AC793" s="1426"/>
      <c r="AD793" s="1427"/>
      <c r="AE793" s="1427"/>
      <c r="AF793" s="1427"/>
      <c r="AG793" s="142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429"/>
      <c r="K794" s="1430"/>
      <c r="L794" s="1430"/>
      <c r="M794" s="1430"/>
      <c r="N794" s="1431"/>
      <c r="O794" s="1447"/>
      <c r="P794" s="1447"/>
      <c r="Q794" s="1447"/>
      <c r="R794" s="1447"/>
      <c r="S794" s="1447"/>
      <c r="T794" s="1720"/>
      <c r="U794" s="1721"/>
      <c r="V794" s="1721"/>
      <c r="W794" s="1722"/>
      <c r="X794" s="1429"/>
      <c r="Y794" s="1430"/>
      <c r="Z794" s="1430"/>
      <c r="AA794" s="1430"/>
      <c r="AB794" s="1431"/>
      <c r="AC794" s="1429"/>
      <c r="AD794" s="1430"/>
      <c r="AE794" s="1430"/>
      <c r="AF794" s="1430"/>
      <c r="AG794" s="143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3" customHeight="1">
      <c r="J795" s="1363"/>
      <c r="K795" s="1364"/>
      <c r="L795" s="1364"/>
      <c r="M795" s="1364"/>
      <c r="N795" s="1365"/>
      <c r="O795" s="1446"/>
      <c r="P795" s="1446"/>
      <c r="Q795" s="1446"/>
      <c r="R795" s="1446"/>
      <c r="S795" s="1446"/>
      <c r="T795" s="1360"/>
      <c r="U795" s="1361"/>
      <c r="V795" s="1361"/>
      <c r="W795" s="1362"/>
      <c r="X795" s="1409"/>
      <c r="Y795" s="1410"/>
      <c r="Z795" s="1410"/>
      <c r="AA795" s="1410"/>
      <c r="AB795" s="1411"/>
      <c r="AC795" s="1412">
        <f t="shared" ref="AC795:AC804" si="42">X795*O795</f>
        <v>0</v>
      </c>
      <c r="AD795" s="1408"/>
      <c r="AE795" s="1408"/>
      <c r="AF795" s="1408"/>
      <c r="AG795" s="141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0">
        <f t="shared" ref="CP795:CP804" si="43">IF(J795="SRO/Studio",O795,0)</f>
        <v>0</v>
      </c>
      <c r="CQ795" s="1541"/>
      <c r="CR795" s="1541"/>
      <c r="CS795" s="1541"/>
      <c r="CT795" s="1542"/>
      <c r="CU795" s="1540">
        <f t="shared" ref="CU795:CU804" si="44">IF(J795="1 Bedroom",O795,0)</f>
        <v>0</v>
      </c>
      <c r="CV795" s="1541"/>
      <c r="CW795" s="1541"/>
      <c r="CX795" s="1541"/>
      <c r="CY795" s="1542"/>
      <c r="CZ795" s="1540">
        <f t="shared" ref="CZ795:CZ804" si="45">IF(J795="2 Bedrooms",O795,0)</f>
        <v>0</v>
      </c>
      <c r="DA795" s="1541"/>
      <c r="DB795" s="1541"/>
      <c r="DC795" s="1541"/>
      <c r="DD795" s="1542"/>
      <c r="DE795" s="1540">
        <f t="shared" ref="DE795:DE804" si="46">IF(J795="3 Bedrooms",O795,0)</f>
        <v>0</v>
      </c>
      <c r="DF795" s="1541"/>
      <c r="DG795" s="1541"/>
      <c r="DH795" s="1541"/>
      <c r="DI795" s="1542"/>
      <c r="DJ795" s="1540">
        <f t="shared" ref="DJ795:DJ804" si="47">IF(J795="4 Bedrooms",O795,0)</f>
        <v>0</v>
      </c>
      <c r="DK795" s="1541"/>
      <c r="DL795" s="1541"/>
      <c r="DM795" s="1541"/>
      <c r="DN795" s="1542"/>
      <c r="DO795" s="1540">
        <f t="shared" ref="DO795:DO804" si="48">IF(J795="5 Bedrooms",O795,0)</f>
        <v>0</v>
      </c>
      <c r="DP795" s="1541"/>
      <c r="DQ795" s="1541"/>
      <c r="DR795" s="1541"/>
      <c r="DS795" s="1542"/>
      <c r="DT795" s="6"/>
      <c r="DU795" s="1540">
        <f t="shared" ref="DU795:DU804" si="49">IF(AND(CP795&gt;=1,AH795&gt;=0.1,AH795&lt;=1),O795,0)</f>
        <v>0</v>
      </c>
      <c r="DV795" s="1541"/>
      <c r="DW795" s="1541"/>
      <c r="DX795" s="1541"/>
      <c r="DY795" s="1542"/>
      <c r="DZ795" s="1540">
        <f t="shared" ref="DZ795:DZ804" si="50">IF(AND(CU795&gt;=1,AH795&gt;=0.1,AH795&lt;=1),O795,0)</f>
        <v>0</v>
      </c>
      <c r="EA795" s="1541"/>
      <c r="EB795" s="1541"/>
      <c r="EC795" s="1541"/>
      <c r="ED795" s="1542"/>
      <c r="EE795" s="1540">
        <f t="shared" ref="EE795:EE804" si="51">IF(AND(CZ795&gt;=1,AH795&gt;=0.1,AH795&lt;=1),O795,0)</f>
        <v>0</v>
      </c>
      <c r="EF795" s="1541"/>
      <c r="EG795" s="1541"/>
      <c r="EH795" s="1541"/>
      <c r="EI795" s="1542"/>
      <c r="EJ795" s="1540">
        <f t="shared" ref="EJ795:EJ804" si="52">IF(AND(DE795&gt;=1,AH795&gt;=0.1,AH795&lt;=1),O795,0)</f>
        <v>0</v>
      </c>
      <c r="EK795" s="1541"/>
      <c r="EL795" s="1541"/>
      <c r="EM795" s="1541"/>
      <c r="EN795" s="1542"/>
      <c r="EO795" s="1540">
        <f t="shared" ref="EO795:EO804" si="53">IF(AND(DJ795&gt;=1,AH795&gt;=0.1,AH795&lt;=1),O795,0)</f>
        <v>0</v>
      </c>
      <c r="EP795" s="1541"/>
      <c r="EQ795" s="1541"/>
      <c r="ER795" s="1541"/>
      <c r="ES795" s="1542"/>
      <c r="ET795" s="1540">
        <f t="shared" ref="ET795:ET804" si="54">IF(AND(DO795&gt;=1,AH795&gt;=0.1,AH795&lt;=1),O795,0)</f>
        <v>0</v>
      </c>
      <c r="EU795" s="1541"/>
      <c r="EV795" s="1541"/>
      <c r="EW795" s="1541"/>
      <c r="EX795" s="1542"/>
    </row>
    <row r="796" spans="1:154" s="14" customFormat="1" ht="13" customHeight="1">
      <c r="A796"/>
      <c r="B796"/>
      <c r="C796"/>
      <c r="D796"/>
      <c r="E796"/>
      <c r="F796"/>
      <c r="G796"/>
      <c r="H796"/>
      <c r="I796"/>
      <c r="J796" s="1363"/>
      <c r="K796" s="1364"/>
      <c r="L796" s="1364"/>
      <c r="M796" s="1364"/>
      <c r="N796" s="1365"/>
      <c r="O796" s="1446"/>
      <c r="P796" s="1446"/>
      <c r="Q796" s="1446"/>
      <c r="R796" s="1446"/>
      <c r="S796" s="1446"/>
      <c r="T796" s="1360"/>
      <c r="U796" s="1361"/>
      <c r="V796" s="1361"/>
      <c r="W796" s="1362"/>
      <c r="X796" s="1409"/>
      <c r="Y796" s="1410"/>
      <c r="Z796" s="1410"/>
      <c r="AA796" s="1410"/>
      <c r="AB796" s="1411"/>
      <c r="AC796" s="1412">
        <f t="shared" si="42"/>
        <v>0</v>
      </c>
      <c r="AD796" s="1408"/>
      <c r="AE796" s="1408"/>
      <c r="AF796" s="1408"/>
      <c r="AG796" s="14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0">
        <f t="shared" si="43"/>
        <v>0</v>
      </c>
      <c r="CQ796" s="1541"/>
      <c r="CR796" s="1541"/>
      <c r="CS796" s="1541"/>
      <c r="CT796" s="1542"/>
      <c r="CU796" s="1540">
        <f t="shared" si="44"/>
        <v>0</v>
      </c>
      <c r="CV796" s="1541"/>
      <c r="CW796" s="1541"/>
      <c r="CX796" s="1541"/>
      <c r="CY796" s="1542"/>
      <c r="CZ796" s="1540">
        <f t="shared" si="45"/>
        <v>0</v>
      </c>
      <c r="DA796" s="1541"/>
      <c r="DB796" s="1541"/>
      <c r="DC796" s="1541"/>
      <c r="DD796" s="1542"/>
      <c r="DE796" s="1540">
        <f t="shared" si="46"/>
        <v>0</v>
      </c>
      <c r="DF796" s="1541"/>
      <c r="DG796" s="1541"/>
      <c r="DH796" s="1541"/>
      <c r="DI796" s="1542"/>
      <c r="DJ796" s="1540">
        <f t="shared" si="47"/>
        <v>0</v>
      </c>
      <c r="DK796" s="1541"/>
      <c r="DL796" s="1541"/>
      <c r="DM796" s="1541"/>
      <c r="DN796" s="1542"/>
      <c r="DO796" s="1540">
        <f t="shared" si="48"/>
        <v>0</v>
      </c>
      <c r="DP796" s="1541"/>
      <c r="DQ796" s="1541"/>
      <c r="DR796" s="1541"/>
      <c r="DS796" s="1542"/>
      <c r="DT796" s="6"/>
      <c r="DU796" s="1540">
        <f t="shared" si="49"/>
        <v>0</v>
      </c>
      <c r="DV796" s="1541"/>
      <c r="DW796" s="1541"/>
      <c r="DX796" s="1541"/>
      <c r="DY796" s="1542"/>
      <c r="DZ796" s="1540">
        <f t="shared" si="50"/>
        <v>0</v>
      </c>
      <c r="EA796" s="1541"/>
      <c r="EB796" s="1541"/>
      <c r="EC796" s="1541"/>
      <c r="ED796" s="1542"/>
      <c r="EE796" s="1540">
        <f t="shared" si="51"/>
        <v>0</v>
      </c>
      <c r="EF796" s="1541"/>
      <c r="EG796" s="1541"/>
      <c r="EH796" s="1541"/>
      <c r="EI796" s="1542"/>
      <c r="EJ796" s="1540">
        <f t="shared" si="52"/>
        <v>0</v>
      </c>
      <c r="EK796" s="1541"/>
      <c r="EL796" s="1541"/>
      <c r="EM796" s="1541"/>
      <c r="EN796" s="1542"/>
      <c r="EO796" s="1540">
        <f t="shared" si="53"/>
        <v>0</v>
      </c>
      <c r="EP796" s="1541"/>
      <c r="EQ796" s="1541"/>
      <c r="ER796" s="1541"/>
      <c r="ES796" s="1542"/>
      <c r="ET796" s="1540">
        <f t="shared" si="54"/>
        <v>0</v>
      </c>
      <c r="EU796" s="1541"/>
      <c r="EV796" s="1541"/>
      <c r="EW796" s="1541"/>
      <c r="EX796" s="1542"/>
    </row>
    <row r="797" spans="1:154" s="14" customFormat="1" ht="13" customHeight="1">
      <c r="A797"/>
      <c r="B797"/>
      <c r="C797"/>
      <c r="D797"/>
      <c r="E797"/>
      <c r="F797"/>
      <c r="G797"/>
      <c r="H797"/>
      <c r="I797"/>
      <c r="J797" s="1363"/>
      <c r="K797" s="1364"/>
      <c r="L797" s="1364"/>
      <c r="M797" s="1364"/>
      <c r="N797" s="1365"/>
      <c r="O797" s="1446"/>
      <c r="P797" s="1446"/>
      <c r="Q797" s="1446"/>
      <c r="R797" s="1446"/>
      <c r="S797" s="1446"/>
      <c r="T797" s="1360"/>
      <c r="U797" s="1361"/>
      <c r="V797" s="1361"/>
      <c r="W797" s="1362"/>
      <c r="X797" s="1409"/>
      <c r="Y797" s="1410"/>
      <c r="Z797" s="1410"/>
      <c r="AA797" s="1410"/>
      <c r="AB797" s="1411"/>
      <c r="AC797" s="1412">
        <f t="shared" si="42"/>
        <v>0</v>
      </c>
      <c r="AD797" s="1408"/>
      <c r="AE797" s="1408"/>
      <c r="AF797" s="1408"/>
      <c r="AG797" s="141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0">
        <f t="shared" si="43"/>
        <v>0</v>
      </c>
      <c r="CQ797" s="1541"/>
      <c r="CR797" s="1541"/>
      <c r="CS797" s="1541"/>
      <c r="CT797" s="1542"/>
      <c r="CU797" s="1540">
        <f t="shared" si="44"/>
        <v>0</v>
      </c>
      <c r="CV797" s="1541"/>
      <c r="CW797" s="1541"/>
      <c r="CX797" s="1541"/>
      <c r="CY797" s="1542"/>
      <c r="CZ797" s="1540">
        <f t="shared" si="45"/>
        <v>0</v>
      </c>
      <c r="DA797" s="1541"/>
      <c r="DB797" s="1541"/>
      <c r="DC797" s="1541"/>
      <c r="DD797" s="1542"/>
      <c r="DE797" s="1540">
        <f t="shared" si="46"/>
        <v>0</v>
      </c>
      <c r="DF797" s="1541"/>
      <c r="DG797" s="1541"/>
      <c r="DH797" s="1541"/>
      <c r="DI797" s="1542"/>
      <c r="DJ797" s="1540">
        <f t="shared" si="47"/>
        <v>0</v>
      </c>
      <c r="DK797" s="1541"/>
      <c r="DL797" s="1541"/>
      <c r="DM797" s="1541"/>
      <c r="DN797" s="1542"/>
      <c r="DO797" s="1540">
        <f t="shared" si="48"/>
        <v>0</v>
      </c>
      <c r="DP797" s="1541"/>
      <c r="DQ797" s="1541"/>
      <c r="DR797" s="1541"/>
      <c r="DS797" s="1542"/>
      <c r="DT797" s="6"/>
      <c r="DU797" s="1540">
        <f t="shared" si="49"/>
        <v>0</v>
      </c>
      <c r="DV797" s="1541"/>
      <c r="DW797" s="1541"/>
      <c r="DX797" s="1541"/>
      <c r="DY797" s="1542"/>
      <c r="DZ797" s="1540">
        <f t="shared" si="50"/>
        <v>0</v>
      </c>
      <c r="EA797" s="1541"/>
      <c r="EB797" s="1541"/>
      <c r="EC797" s="1541"/>
      <c r="ED797" s="1542"/>
      <c r="EE797" s="1540">
        <f t="shared" si="51"/>
        <v>0</v>
      </c>
      <c r="EF797" s="1541"/>
      <c r="EG797" s="1541"/>
      <c r="EH797" s="1541"/>
      <c r="EI797" s="1542"/>
      <c r="EJ797" s="1540">
        <f t="shared" si="52"/>
        <v>0</v>
      </c>
      <c r="EK797" s="1541"/>
      <c r="EL797" s="1541"/>
      <c r="EM797" s="1541"/>
      <c r="EN797" s="1542"/>
      <c r="EO797" s="1540">
        <f t="shared" si="53"/>
        <v>0</v>
      </c>
      <c r="EP797" s="1541"/>
      <c r="EQ797" s="1541"/>
      <c r="ER797" s="1541"/>
      <c r="ES797" s="1542"/>
      <c r="ET797" s="1540">
        <f t="shared" si="54"/>
        <v>0</v>
      </c>
      <c r="EU797" s="1541"/>
      <c r="EV797" s="1541"/>
      <c r="EW797" s="1541"/>
      <c r="EX797" s="1542"/>
    </row>
    <row r="798" spans="1:154" s="14" customFormat="1" ht="13" customHeight="1">
      <c r="A798"/>
      <c r="B798"/>
      <c r="C798"/>
      <c r="D798"/>
      <c r="E798"/>
      <c r="F798"/>
      <c r="G798"/>
      <c r="H798"/>
      <c r="I798"/>
      <c r="J798" s="1363"/>
      <c r="K798" s="1364"/>
      <c r="L798" s="1364"/>
      <c r="M798" s="1364"/>
      <c r="N798" s="1365"/>
      <c r="O798" s="1446"/>
      <c r="P798" s="1446"/>
      <c r="Q798" s="1446"/>
      <c r="R798" s="1446"/>
      <c r="S798" s="1446"/>
      <c r="T798" s="1360"/>
      <c r="U798" s="1361"/>
      <c r="V798" s="1361"/>
      <c r="W798" s="1362"/>
      <c r="X798" s="1409"/>
      <c r="Y798" s="1410"/>
      <c r="Z798" s="1410"/>
      <c r="AA798" s="1410"/>
      <c r="AB798" s="1411"/>
      <c r="AC798" s="1412">
        <f t="shared" si="42"/>
        <v>0</v>
      </c>
      <c r="AD798" s="1408"/>
      <c r="AE798" s="1408"/>
      <c r="AF798" s="1408"/>
      <c r="AG798" s="141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0">
        <f t="shared" si="43"/>
        <v>0</v>
      </c>
      <c r="CQ798" s="1541"/>
      <c r="CR798" s="1541"/>
      <c r="CS798" s="1541"/>
      <c r="CT798" s="1542"/>
      <c r="CU798" s="1540">
        <f t="shared" si="44"/>
        <v>0</v>
      </c>
      <c r="CV798" s="1541"/>
      <c r="CW798" s="1541"/>
      <c r="CX798" s="1541"/>
      <c r="CY798" s="1542"/>
      <c r="CZ798" s="1540">
        <f t="shared" si="45"/>
        <v>0</v>
      </c>
      <c r="DA798" s="1541"/>
      <c r="DB798" s="1541"/>
      <c r="DC798" s="1541"/>
      <c r="DD798" s="1542"/>
      <c r="DE798" s="1540">
        <f t="shared" si="46"/>
        <v>0</v>
      </c>
      <c r="DF798" s="1541"/>
      <c r="DG798" s="1541"/>
      <c r="DH798" s="1541"/>
      <c r="DI798" s="1542"/>
      <c r="DJ798" s="1540">
        <f t="shared" si="47"/>
        <v>0</v>
      </c>
      <c r="DK798" s="1541"/>
      <c r="DL798" s="1541"/>
      <c r="DM798" s="1541"/>
      <c r="DN798" s="1542"/>
      <c r="DO798" s="1540">
        <f t="shared" si="48"/>
        <v>0</v>
      </c>
      <c r="DP798" s="1541"/>
      <c r="DQ798" s="1541"/>
      <c r="DR798" s="1541"/>
      <c r="DS798" s="1542"/>
      <c r="DT798" s="6"/>
      <c r="DU798" s="1540">
        <f t="shared" si="49"/>
        <v>0</v>
      </c>
      <c r="DV798" s="1541"/>
      <c r="DW798" s="1541"/>
      <c r="DX798" s="1541"/>
      <c r="DY798" s="1542"/>
      <c r="DZ798" s="1540">
        <f t="shared" si="50"/>
        <v>0</v>
      </c>
      <c r="EA798" s="1541"/>
      <c r="EB798" s="1541"/>
      <c r="EC798" s="1541"/>
      <c r="ED798" s="1542"/>
      <c r="EE798" s="1540">
        <f t="shared" si="51"/>
        <v>0</v>
      </c>
      <c r="EF798" s="1541"/>
      <c r="EG798" s="1541"/>
      <c r="EH798" s="1541"/>
      <c r="EI798" s="1542"/>
      <c r="EJ798" s="1540">
        <f t="shared" si="52"/>
        <v>0</v>
      </c>
      <c r="EK798" s="1541"/>
      <c r="EL798" s="1541"/>
      <c r="EM798" s="1541"/>
      <c r="EN798" s="1542"/>
      <c r="EO798" s="1540">
        <f t="shared" si="53"/>
        <v>0</v>
      </c>
      <c r="EP798" s="1541"/>
      <c r="EQ798" s="1541"/>
      <c r="ER798" s="1541"/>
      <c r="ES798" s="1542"/>
      <c r="ET798" s="1540">
        <f t="shared" si="54"/>
        <v>0</v>
      </c>
      <c r="EU798" s="1541"/>
      <c r="EV798" s="1541"/>
      <c r="EW798" s="1541"/>
      <c r="EX798" s="1542"/>
    </row>
    <row r="799" spans="1:154" s="14" customFormat="1" ht="13" customHeight="1">
      <c r="A799"/>
      <c r="B799"/>
      <c r="C799"/>
      <c r="D799"/>
      <c r="E799"/>
      <c r="F799"/>
      <c r="G799"/>
      <c r="H799"/>
      <c r="I799"/>
      <c r="J799" s="1363"/>
      <c r="K799" s="1364"/>
      <c r="L799" s="1364"/>
      <c r="M799" s="1364"/>
      <c r="N799" s="1365"/>
      <c r="O799" s="1446"/>
      <c r="P799" s="1446"/>
      <c r="Q799" s="1446"/>
      <c r="R799" s="1446"/>
      <c r="S799" s="1446"/>
      <c r="T799" s="1360"/>
      <c r="U799" s="1361"/>
      <c r="V799" s="1361"/>
      <c r="W799" s="1362"/>
      <c r="X799" s="1409"/>
      <c r="Y799" s="1410"/>
      <c r="Z799" s="1410"/>
      <c r="AA799" s="1410"/>
      <c r="AB799" s="1411"/>
      <c r="AC799" s="1412">
        <f t="shared" si="42"/>
        <v>0</v>
      </c>
      <c r="AD799" s="1408"/>
      <c r="AE799" s="1408"/>
      <c r="AF799" s="1408"/>
      <c r="AG799" s="141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0">
        <f t="shared" si="43"/>
        <v>0</v>
      </c>
      <c r="CQ799" s="1541"/>
      <c r="CR799" s="1541"/>
      <c r="CS799" s="1541"/>
      <c r="CT799" s="1542"/>
      <c r="CU799" s="1540">
        <f t="shared" si="44"/>
        <v>0</v>
      </c>
      <c r="CV799" s="1541"/>
      <c r="CW799" s="1541"/>
      <c r="CX799" s="1541"/>
      <c r="CY799" s="1542"/>
      <c r="CZ799" s="1540">
        <f t="shared" si="45"/>
        <v>0</v>
      </c>
      <c r="DA799" s="1541"/>
      <c r="DB799" s="1541"/>
      <c r="DC799" s="1541"/>
      <c r="DD799" s="1542"/>
      <c r="DE799" s="1540">
        <f t="shared" si="46"/>
        <v>0</v>
      </c>
      <c r="DF799" s="1541"/>
      <c r="DG799" s="1541"/>
      <c r="DH799" s="1541"/>
      <c r="DI799" s="1542"/>
      <c r="DJ799" s="1540">
        <f t="shared" si="47"/>
        <v>0</v>
      </c>
      <c r="DK799" s="1541"/>
      <c r="DL799" s="1541"/>
      <c r="DM799" s="1541"/>
      <c r="DN799" s="1542"/>
      <c r="DO799" s="1540">
        <f t="shared" si="48"/>
        <v>0</v>
      </c>
      <c r="DP799" s="1541"/>
      <c r="DQ799" s="1541"/>
      <c r="DR799" s="1541"/>
      <c r="DS799" s="1542"/>
      <c r="DT799" s="6"/>
      <c r="DU799" s="1540">
        <f t="shared" si="49"/>
        <v>0</v>
      </c>
      <c r="DV799" s="1541"/>
      <c r="DW799" s="1541"/>
      <c r="DX799" s="1541"/>
      <c r="DY799" s="1542"/>
      <c r="DZ799" s="1540">
        <f t="shared" si="50"/>
        <v>0</v>
      </c>
      <c r="EA799" s="1541"/>
      <c r="EB799" s="1541"/>
      <c r="EC799" s="1541"/>
      <c r="ED799" s="1542"/>
      <c r="EE799" s="1540">
        <f t="shared" si="51"/>
        <v>0</v>
      </c>
      <c r="EF799" s="1541"/>
      <c r="EG799" s="1541"/>
      <c r="EH799" s="1541"/>
      <c r="EI799" s="1542"/>
      <c r="EJ799" s="1540">
        <f t="shared" si="52"/>
        <v>0</v>
      </c>
      <c r="EK799" s="1541"/>
      <c r="EL799" s="1541"/>
      <c r="EM799" s="1541"/>
      <c r="EN799" s="1542"/>
      <c r="EO799" s="1540">
        <f t="shared" si="53"/>
        <v>0</v>
      </c>
      <c r="EP799" s="1541"/>
      <c r="EQ799" s="1541"/>
      <c r="ER799" s="1541"/>
      <c r="ES799" s="1542"/>
      <c r="ET799" s="1540">
        <f t="shared" si="54"/>
        <v>0</v>
      </c>
      <c r="EU799" s="1541"/>
      <c r="EV799" s="1541"/>
      <c r="EW799" s="1541"/>
      <c r="EX799" s="1542"/>
    </row>
    <row r="800" spans="1:154" s="14" customFormat="1" ht="13" customHeight="1">
      <c r="A800"/>
      <c r="B800"/>
      <c r="C800"/>
      <c r="D800"/>
      <c r="E800"/>
      <c r="F800"/>
      <c r="G800"/>
      <c r="H800"/>
      <c r="I800"/>
      <c r="J800" s="1363"/>
      <c r="K800" s="1364"/>
      <c r="L800" s="1364"/>
      <c r="M800" s="1364"/>
      <c r="N800" s="1365"/>
      <c r="O800" s="1446"/>
      <c r="P800" s="1446"/>
      <c r="Q800" s="1446"/>
      <c r="R800" s="1446"/>
      <c r="S800" s="1446"/>
      <c r="T800" s="1360"/>
      <c r="U800" s="1361"/>
      <c r="V800" s="1361"/>
      <c r="W800" s="1362"/>
      <c r="X800" s="1409"/>
      <c r="Y800" s="1410"/>
      <c r="Z800" s="1410"/>
      <c r="AA800" s="1410"/>
      <c r="AB800" s="1411"/>
      <c r="AC800" s="1412">
        <f t="shared" si="42"/>
        <v>0</v>
      </c>
      <c r="AD800" s="1408"/>
      <c r="AE800" s="1408"/>
      <c r="AF800" s="1408"/>
      <c r="AG800" s="141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0">
        <f t="shared" si="43"/>
        <v>0</v>
      </c>
      <c r="CQ800" s="1541"/>
      <c r="CR800" s="1541"/>
      <c r="CS800" s="1541"/>
      <c r="CT800" s="1542"/>
      <c r="CU800" s="1540">
        <f t="shared" si="44"/>
        <v>0</v>
      </c>
      <c r="CV800" s="1541"/>
      <c r="CW800" s="1541"/>
      <c r="CX800" s="1541"/>
      <c r="CY800" s="1542"/>
      <c r="CZ800" s="1540">
        <f t="shared" si="45"/>
        <v>0</v>
      </c>
      <c r="DA800" s="1541"/>
      <c r="DB800" s="1541"/>
      <c r="DC800" s="1541"/>
      <c r="DD800" s="1542"/>
      <c r="DE800" s="1540">
        <f t="shared" si="46"/>
        <v>0</v>
      </c>
      <c r="DF800" s="1541"/>
      <c r="DG800" s="1541"/>
      <c r="DH800" s="1541"/>
      <c r="DI800" s="1542"/>
      <c r="DJ800" s="1540">
        <f t="shared" si="47"/>
        <v>0</v>
      </c>
      <c r="DK800" s="1541"/>
      <c r="DL800" s="1541"/>
      <c r="DM800" s="1541"/>
      <c r="DN800" s="1542"/>
      <c r="DO800" s="1540">
        <f t="shared" si="48"/>
        <v>0</v>
      </c>
      <c r="DP800" s="1541"/>
      <c r="DQ800" s="1541"/>
      <c r="DR800" s="1541"/>
      <c r="DS800" s="1542"/>
      <c r="DT800" s="6"/>
      <c r="DU800" s="1540">
        <f t="shared" si="49"/>
        <v>0</v>
      </c>
      <c r="DV800" s="1541"/>
      <c r="DW800" s="1541"/>
      <c r="DX800" s="1541"/>
      <c r="DY800" s="1542"/>
      <c r="DZ800" s="1540">
        <f t="shared" si="50"/>
        <v>0</v>
      </c>
      <c r="EA800" s="1541"/>
      <c r="EB800" s="1541"/>
      <c r="EC800" s="1541"/>
      <c r="ED800" s="1542"/>
      <c r="EE800" s="1540">
        <f t="shared" si="51"/>
        <v>0</v>
      </c>
      <c r="EF800" s="1541"/>
      <c r="EG800" s="1541"/>
      <c r="EH800" s="1541"/>
      <c r="EI800" s="1542"/>
      <c r="EJ800" s="1540">
        <f t="shared" si="52"/>
        <v>0</v>
      </c>
      <c r="EK800" s="1541"/>
      <c r="EL800" s="1541"/>
      <c r="EM800" s="1541"/>
      <c r="EN800" s="1542"/>
      <c r="EO800" s="1540">
        <f t="shared" si="53"/>
        <v>0</v>
      </c>
      <c r="EP800" s="1541"/>
      <c r="EQ800" s="1541"/>
      <c r="ER800" s="1541"/>
      <c r="ES800" s="1542"/>
      <c r="ET800" s="1540">
        <f t="shared" si="54"/>
        <v>0</v>
      </c>
      <c r="EU800" s="1541"/>
      <c r="EV800" s="1541"/>
      <c r="EW800" s="1541"/>
      <c r="EX800" s="1542"/>
    </row>
    <row r="801" spans="1:154" s="14" customFormat="1" ht="13" customHeight="1">
      <c r="A801"/>
      <c r="B801"/>
      <c r="C801"/>
      <c r="D801"/>
      <c r="E801"/>
      <c r="F801"/>
      <c r="G801"/>
      <c r="H801"/>
      <c r="I801"/>
      <c r="J801" s="1363"/>
      <c r="K801" s="1364"/>
      <c r="L801" s="1364"/>
      <c r="M801" s="1364"/>
      <c r="N801" s="1365"/>
      <c r="O801" s="1446"/>
      <c r="P801" s="1446"/>
      <c r="Q801" s="1446"/>
      <c r="R801" s="1446"/>
      <c r="S801" s="1446"/>
      <c r="T801" s="1360"/>
      <c r="U801" s="1361"/>
      <c r="V801" s="1361"/>
      <c r="W801" s="1362"/>
      <c r="X801" s="1409"/>
      <c r="Y801" s="1410"/>
      <c r="Z801" s="1410"/>
      <c r="AA801" s="1410"/>
      <c r="AB801" s="1411"/>
      <c r="AC801" s="1412">
        <f t="shared" si="42"/>
        <v>0</v>
      </c>
      <c r="AD801" s="1408"/>
      <c r="AE801" s="1408"/>
      <c r="AF801" s="1408"/>
      <c r="AG801" s="141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0">
        <f t="shared" si="43"/>
        <v>0</v>
      </c>
      <c r="CQ801" s="1541"/>
      <c r="CR801" s="1541"/>
      <c r="CS801" s="1541"/>
      <c r="CT801" s="1542"/>
      <c r="CU801" s="1540">
        <f t="shared" si="44"/>
        <v>0</v>
      </c>
      <c r="CV801" s="1541"/>
      <c r="CW801" s="1541"/>
      <c r="CX801" s="1541"/>
      <c r="CY801" s="1542"/>
      <c r="CZ801" s="1540">
        <f t="shared" si="45"/>
        <v>0</v>
      </c>
      <c r="DA801" s="1541"/>
      <c r="DB801" s="1541"/>
      <c r="DC801" s="1541"/>
      <c r="DD801" s="1542"/>
      <c r="DE801" s="1540">
        <f t="shared" si="46"/>
        <v>0</v>
      </c>
      <c r="DF801" s="1541"/>
      <c r="DG801" s="1541"/>
      <c r="DH801" s="1541"/>
      <c r="DI801" s="1542"/>
      <c r="DJ801" s="1540">
        <f t="shared" si="47"/>
        <v>0</v>
      </c>
      <c r="DK801" s="1541"/>
      <c r="DL801" s="1541"/>
      <c r="DM801" s="1541"/>
      <c r="DN801" s="1542"/>
      <c r="DO801" s="1540">
        <f t="shared" si="48"/>
        <v>0</v>
      </c>
      <c r="DP801" s="1541"/>
      <c r="DQ801" s="1541"/>
      <c r="DR801" s="1541"/>
      <c r="DS801" s="1542"/>
      <c r="DT801" s="6"/>
      <c r="DU801" s="1540">
        <f t="shared" si="49"/>
        <v>0</v>
      </c>
      <c r="DV801" s="1541"/>
      <c r="DW801" s="1541"/>
      <c r="DX801" s="1541"/>
      <c r="DY801" s="1542"/>
      <c r="DZ801" s="1540">
        <f t="shared" si="50"/>
        <v>0</v>
      </c>
      <c r="EA801" s="1541"/>
      <c r="EB801" s="1541"/>
      <c r="EC801" s="1541"/>
      <c r="ED801" s="1542"/>
      <c r="EE801" s="1540">
        <f t="shared" si="51"/>
        <v>0</v>
      </c>
      <c r="EF801" s="1541"/>
      <c r="EG801" s="1541"/>
      <c r="EH801" s="1541"/>
      <c r="EI801" s="1542"/>
      <c r="EJ801" s="1540">
        <f t="shared" si="52"/>
        <v>0</v>
      </c>
      <c r="EK801" s="1541"/>
      <c r="EL801" s="1541"/>
      <c r="EM801" s="1541"/>
      <c r="EN801" s="1542"/>
      <c r="EO801" s="1540">
        <f t="shared" si="53"/>
        <v>0</v>
      </c>
      <c r="EP801" s="1541"/>
      <c r="EQ801" s="1541"/>
      <c r="ER801" s="1541"/>
      <c r="ES801" s="1542"/>
      <c r="ET801" s="1540">
        <f t="shared" si="54"/>
        <v>0</v>
      </c>
      <c r="EU801" s="1541"/>
      <c r="EV801" s="1541"/>
      <c r="EW801" s="1541"/>
      <c r="EX801" s="1542"/>
    </row>
    <row r="802" spans="1:154" s="14" customFormat="1" ht="13" customHeight="1">
      <c r="A802"/>
      <c r="B802"/>
      <c r="C802"/>
      <c r="D802"/>
      <c r="E802"/>
      <c r="F802"/>
      <c r="G802"/>
      <c r="H802"/>
      <c r="I802"/>
      <c r="J802" s="1363"/>
      <c r="K802" s="1364"/>
      <c r="L802" s="1364"/>
      <c r="M802" s="1364"/>
      <c r="N802" s="1365"/>
      <c r="O802" s="1446"/>
      <c r="P802" s="1446"/>
      <c r="Q802" s="1446"/>
      <c r="R802" s="1446"/>
      <c r="S802" s="1446"/>
      <c r="T802" s="1360"/>
      <c r="U802" s="1361"/>
      <c r="V802" s="1361"/>
      <c r="W802" s="1362"/>
      <c r="X802" s="1409"/>
      <c r="Y802" s="1410"/>
      <c r="Z802" s="1410"/>
      <c r="AA802" s="1410"/>
      <c r="AB802" s="1411"/>
      <c r="AC802" s="1412">
        <f t="shared" si="42"/>
        <v>0</v>
      </c>
      <c r="AD802" s="1408"/>
      <c r="AE802" s="1408"/>
      <c r="AF802" s="1408"/>
      <c r="AG802" s="141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0">
        <f t="shared" si="43"/>
        <v>0</v>
      </c>
      <c r="CQ802" s="1541"/>
      <c r="CR802" s="1541"/>
      <c r="CS802" s="1541"/>
      <c r="CT802" s="1542"/>
      <c r="CU802" s="1540">
        <f t="shared" si="44"/>
        <v>0</v>
      </c>
      <c r="CV802" s="1541"/>
      <c r="CW802" s="1541"/>
      <c r="CX802" s="1541"/>
      <c r="CY802" s="1542"/>
      <c r="CZ802" s="1540">
        <f t="shared" si="45"/>
        <v>0</v>
      </c>
      <c r="DA802" s="1541"/>
      <c r="DB802" s="1541"/>
      <c r="DC802" s="1541"/>
      <c r="DD802" s="1542"/>
      <c r="DE802" s="1540">
        <f t="shared" si="46"/>
        <v>0</v>
      </c>
      <c r="DF802" s="1541"/>
      <c r="DG802" s="1541"/>
      <c r="DH802" s="1541"/>
      <c r="DI802" s="1542"/>
      <c r="DJ802" s="1540">
        <f t="shared" si="47"/>
        <v>0</v>
      </c>
      <c r="DK802" s="1541"/>
      <c r="DL802" s="1541"/>
      <c r="DM802" s="1541"/>
      <c r="DN802" s="1542"/>
      <c r="DO802" s="1540">
        <f t="shared" si="48"/>
        <v>0</v>
      </c>
      <c r="DP802" s="1541"/>
      <c r="DQ802" s="1541"/>
      <c r="DR802" s="1541"/>
      <c r="DS802" s="1542"/>
      <c r="DT802" s="6"/>
      <c r="DU802" s="1540">
        <f t="shared" si="49"/>
        <v>0</v>
      </c>
      <c r="DV802" s="1541"/>
      <c r="DW802" s="1541"/>
      <c r="DX802" s="1541"/>
      <c r="DY802" s="1542"/>
      <c r="DZ802" s="1540">
        <f t="shared" si="50"/>
        <v>0</v>
      </c>
      <c r="EA802" s="1541"/>
      <c r="EB802" s="1541"/>
      <c r="EC802" s="1541"/>
      <c r="ED802" s="1542"/>
      <c r="EE802" s="1540">
        <f t="shared" si="51"/>
        <v>0</v>
      </c>
      <c r="EF802" s="1541"/>
      <c r="EG802" s="1541"/>
      <c r="EH802" s="1541"/>
      <c r="EI802" s="1542"/>
      <c r="EJ802" s="1540">
        <f t="shared" si="52"/>
        <v>0</v>
      </c>
      <c r="EK802" s="1541"/>
      <c r="EL802" s="1541"/>
      <c r="EM802" s="1541"/>
      <c r="EN802" s="1542"/>
      <c r="EO802" s="1540">
        <f t="shared" si="53"/>
        <v>0</v>
      </c>
      <c r="EP802" s="1541"/>
      <c r="EQ802" s="1541"/>
      <c r="ER802" s="1541"/>
      <c r="ES802" s="1542"/>
      <c r="ET802" s="1540">
        <f t="shared" si="54"/>
        <v>0</v>
      </c>
      <c r="EU802" s="1541"/>
      <c r="EV802" s="1541"/>
      <c r="EW802" s="1541"/>
      <c r="EX802" s="1542"/>
    </row>
    <row r="803" spans="1:154" s="14" customFormat="1" ht="13" customHeight="1">
      <c r="A803"/>
      <c r="B803"/>
      <c r="C803"/>
      <c r="D803"/>
      <c r="E803"/>
      <c r="F803"/>
      <c r="G803"/>
      <c r="H803"/>
      <c r="I803"/>
      <c r="J803" s="1363"/>
      <c r="K803" s="1364"/>
      <c r="L803" s="1364"/>
      <c r="M803" s="1364"/>
      <c r="N803" s="1365"/>
      <c r="O803" s="1446"/>
      <c r="P803" s="1446"/>
      <c r="Q803" s="1446"/>
      <c r="R803" s="1446"/>
      <c r="S803" s="1446"/>
      <c r="T803" s="1360"/>
      <c r="U803" s="1361"/>
      <c r="V803" s="1361"/>
      <c r="W803" s="1362"/>
      <c r="X803" s="1409"/>
      <c r="Y803" s="1410"/>
      <c r="Z803" s="1410"/>
      <c r="AA803" s="1410"/>
      <c r="AB803" s="1411"/>
      <c r="AC803" s="1412">
        <f t="shared" si="42"/>
        <v>0</v>
      </c>
      <c r="AD803" s="1408"/>
      <c r="AE803" s="1408"/>
      <c r="AF803" s="1408"/>
      <c r="AG803" s="141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0">
        <f t="shared" si="43"/>
        <v>0</v>
      </c>
      <c r="CQ803" s="1541"/>
      <c r="CR803" s="1541"/>
      <c r="CS803" s="1541"/>
      <c r="CT803" s="1542"/>
      <c r="CU803" s="1540">
        <f t="shared" si="44"/>
        <v>0</v>
      </c>
      <c r="CV803" s="1541"/>
      <c r="CW803" s="1541"/>
      <c r="CX803" s="1541"/>
      <c r="CY803" s="1542"/>
      <c r="CZ803" s="1540">
        <f t="shared" si="45"/>
        <v>0</v>
      </c>
      <c r="DA803" s="1541"/>
      <c r="DB803" s="1541"/>
      <c r="DC803" s="1541"/>
      <c r="DD803" s="1542"/>
      <c r="DE803" s="1540">
        <f t="shared" si="46"/>
        <v>0</v>
      </c>
      <c r="DF803" s="1541"/>
      <c r="DG803" s="1541"/>
      <c r="DH803" s="1541"/>
      <c r="DI803" s="1542"/>
      <c r="DJ803" s="1540">
        <f t="shared" si="47"/>
        <v>0</v>
      </c>
      <c r="DK803" s="1541"/>
      <c r="DL803" s="1541"/>
      <c r="DM803" s="1541"/>
      <c r="DN803" s="1542"/>
      <c r="DO803" s="1540">
        <f t="shared" si="48"/>
        <v>0</v>
      </c>
      <c r="DP803" s="1541"/>
      <c r="DQ803" s="1541"/>
      <c r="DR803" s="1541"/>
      <c r="DS803" s="1542"/>
      <c r="DT803" s="6"/>
      <c r="DU803" s="1540">
        <f t="shared" si="49"/>
        <v>0</v>
      </c>
      <c r="DV803" s="1541"/>
      <c r="DW803" s="1541"/>
      <c r="DX803" s="1541"/>
      <c r="DY803" s="1542"/>
      <c r="DZ803" s="1540">
        <f t="shared" si="50"/>
        <v>0</v>
      </c>
      <c r="EA803" s="1541"/>
      <c r="EB803" s="1541"/>
      <c r="EC803" s="1541"/>
      <c r="ED803" s="1542"/>
      <c r="EE803" s="1540">
        <f t="shared" si="51"/>
        <v>0</v>
      </c>
      <c r="EF803" s="1541"/>
      <c r="EG803" s="1541"/>
      <c r="EH803" s="1541"/>
      <c r="EI803" s="1542"/>
      <c r="EJ803" s="1540">
        <f t="shared" si="52"/>
        <v>0</v>
      </c>
      <c r="EK803" s="1541"/>
      <c r="EL803" s="1541"/>
      <c r="EM803" s="1541"/>
      <c r="EN803" s="1542"/>
      <c r="EO803" s="1540">
        <f t="shared" si="53"/>
        <v>0</v>
      </c>
      <c r="EP803" s="1541"/>
      <c r="EQ803" s="1541"/>
      <c r="ER803" s="1541"/>
      <c r="ES803" s="1542"/>
      <c r="ET803" s="1540">
        <f t="shared" si="54"/>
        <v>0</v>
      </c>
      <c r="EU803" s="1541"/>
      <c r="EV803" s="1541"/>
      <c r="EW803" s="1541"/>
      <c r="EX803" s="1542"/>
    </row>
    <row r="804" spans="1:154" s="4" customFormat="1" ht="13" customHeight="1">
      <c r="A804"/>
      <c r="B804"/>
      <c r="C804"/>
      <c r="D804"/>
      <c r="E804"/>
      <c r="F804"/>
      <c r="G804"/>
      <c r="H804"/>
      <c r="I804"/>
      <c r="J804" s="1363"/>
      <c r="K804" s="1364"/>
      <c r="L804" s="1364"/>
      <c r="M804" s="1364"/>
      <c r="N804" s="1365"/>
      <c r="O804" s="1446"/>
      <c r="P804" s="1446"/>
      <c r="Q804" s="1446"/>
      <c r="R804" s="1446"/>
      <c r="S804" s="1446"/>
      <c r="T804" s="1360"/>
      <c r="U804" s="1361"/>
      <c r="V804" s="1361"/>
      <c r="W804" s="1362"/>
      <c r="X804" s="1409"/>
      <c r="Y804" s="1410"/>
      <c r="Z804" s="1410"/>
      <c r="AA804" s="1410"/>
      <c r="AB804" s="1411"/>
      <c r="AC804" s="1412">
        <f t="shared" si="42"/>
        <v>0</v>
      </c>
      <c r="AD804" s="1408"/>
      <c r="AE804" s="1408"/>
      <c r="AF804" s="1408"/>
      <c r="AG804" s="1413"/>
      <c r="AH804"/>
      <c r="AI804"/>
      <c r="AJ804"/>
      <c r="AK804"/>
      <c r="AL804"/>
      <c r="AM804"/>
      <c r="AN804"/>
      <c r="AO804"/>
      <c r="AP804"/>
      <c r="AQ804"/>
      <c r="AR804"/>
      <c r="AS804"/>
      <c r="AT804"/>
      <c r="AU804"/>
      <c r="AV804"/>
      <c r="AW804"/>
      <c r="AX804"/>
      <c r="AY804"/>
      <c r="AZ804" s="3"/>
      <c r="CP804" s="1540">
        <f t="shared" si="43"/>
        <v>0</v>
      </c>
      <c r="CQ804" s="1541"/>
      <c r="CR804" s="1541"/>
      <c r="CS804" s="1541"/>
      <c r="CT804" s="1542"/>
      <c r="CU804" s="1540">
        <f t="shared" si="44"/>
        <v>0</v>
      </c>
      <c r="CV804" s="1541"/>
      <c r="CW804" s="1541"/>
      <c r="CX804" s="1541"/>
      <c r="CY804" s="1542"/>
      <c r="CZ804" s="1540">
        <f t="shared" si="45"/>
        <v>0</v>
      </c>
      <c r="DA804" s="1541"/>
      <c r="DB804" s="1541"/>
      <c r="DC804" s="1541"/>
      <c r="DD804" s="1542"/>
      <c r="DE804" s="1540">
        <f t="shared" si="46"/>
        <v>0</v>
      </c>
      <c r="DF804" s="1541"/>
      <c r="DG804" s="1541"/>
      <c r="DH804" s="1541"/>
      <c r="DI804" s="1542"/>
      <c r="DJ804" s="1540">
        <f t="shared" si="47"/>
        <v>0</v>
      </c>
      <c r="DK804" s="1541"/>
      <c r="DL804" s="1541"/>
      <c r="DM804" s="1541"/>
      <c r="DN804" s="1542"/>
      <c r="DO804" s="1540">
        <f t="shared" si="48"/>
        <v>0</v>
      </c>
      <c r="DP804" s="1541"/>
      <c r="DQ804" s="1541"/>
      <c r="DR804" s="1541"/>
      <c r="DS804" s="1542"/>
      <c r="DT804" s="6"/>
      <c r="DU804" s="1540">
        <f t="shared" si="49"/>
        <v>0</v>
      </c>
      <c r="DV804" s="1541"/>
      <c r="DW804" s="1541"/>
      <c r="DX804" s="1541"/>
      <c r="DY804" s="1542"/>
      <c r="DZ804" s="1540">
        <f t="shared" si="50"/>
        <v>0</v>
      </c>
      <c r="EA804" s="1541"/>
      <c r="EB804" s="1541"/>
      <c r="EC804" s="1541"/>
      <c r="ED804" s="1542"/>
      <c r="EE804" s="1540">
        <f t="shared" si="51"/>
        <v>0</v>
      </c>
      <c r="EF804" s="1541"/>
      <c r="EG804" s="1541"/>
      <c r="EH804" s="1541"/>
      <c r="EI804" s="1542"/>
      <c r="EJ804" s="1540">
        <f t="shared" si="52"/>
        <v>0</v>
      </c>
      <c r="EK804" s="1541"/>
      <c r="EL804" s="1541"/>
      <c r="EM804" s="1541"/>
      <c r="EN804" s="1542"/>
      <c r="EO804" s="1540">
        <f t="shared" si="53"/>
        <v>0</v>
      </c>
      <c r="EP804" s="1541"/>
      <c r="EQ804" s="1541"/>
      <c r="ER804" s="1541"/>
      <c r="ES804" s="1542"/>
      <c r="ET804" s="1540">
        <f t="shared" si="54"/>
        <v>0</v>
      </c>
      <c r="EU804" s="1541"/>
      <c r="EV804" s="1541"/>
      <c r="EW804" s="1541"/>
      <c r="EX804" s="1542"/>
    </row>
    <row r="805" spans="1:154" s="4" customFormat="1" ht="13" customHeight="1">
      <c r="A805"/>
      <c r="B805"/>
      <c r="C805"/>
      <c r="D805"/>
      <c r="E805"/>
      <c r="F805"/>
      <c r="G805"/>
      <c r="H805"/>
      <c r="I805"/>
      <c r="J805" s="1528" t="s">
        <v>125</v>
      </c>
      <c r="K805" s="1529"/>
      <c r="L805" s="1529"/>
      <c r="M805" s="1529"/>
      <c r="N805" s="1530"/>
      <c r="O805" s="1748">
        <f>SUM(O795:S804)</f>
        <v>0</v>
      </c>
      <c r="P805" s="1748"/>
      <c r="Q805" s="1748"/>
      <c r="R805" s="1748"/>
      <c r="S805" s="1748"/>
      <c r="T805"/>
      <c r="U805"/>
      <c r="V805"/>
      <c r="W805"/>
      <c r="X805" s="898" t="s">
        <v>124</v>
      </c>
      <c r="Y805" s="11"/>
      <c r="Z805" s="11"/>
      <c r="AA805" s="11"/>
      <c r="AB805" s="905"/>
      <c r="AC805" s="1412">
        <f>SUM(AC795:AG804)</f>
        <v>0</v>
      </c>
      <c r="AD805" s="1408"/>
      <c r="AE805" s="1408"/>
      <c r="AF805" s="1408"/>
      <c r="AG805" s="1413"/>
      <c r="AH805"/>
      <c r="AI805"/>
      <c r="AJ805"/>
      <c r="AK805"/>
      <c r="AL805"/>
      <c r="AM805"/>
      <c r="AN805"/>
      <c r="AO805"/>
      <c r="AP805"/>
      <c r="AQ805"/>
      <c r="AR805"/>
      <c r="AS805"/>
      <c r="AT805"/>
      <c r="AU805"/>
      <c r="AV805"/>
      <c r="AW805"/>
      <c r="AX805"/>
      <c r="AY805"/>
      <c r="AZ805" s="3"/>
      <c r="BA805"/>
      <c r="CP805" s="1548">
        <f>SUM(CP795:CT804)</f>
        <v>0</v>
      </c>
      <c r="CQ805" s="1549"/>
      <c r="CR805" s="1549"/>
      <c r="CS805" s="1549"/>
      <c r="CT805" s="1550"/>
      <c r="CU805" s="1552">
        <f>SUM(CU795:CY804)</f>
        <v>0</v>
      </c>
      <c r="CV805" s="1553"/>
      <c r="CW805" s="1553"/>
      <c r="CX805" s="1553"/>
      <c r="CY805" s="1554"/>
      <c r="CZ805" s="1552">
        <f>SUM(CZ795:DD804)</f>
        <v>0</v>
      </c>
      <c r="DA805" s="1553"/>
      <c r="DB805" s="1553"/>
      <c r="DC805" s="1553"/>
      <c r="DD805" s="1554"/>
      <c r="DE805" s="1552">
        <f>SUM(DE795:DI804)</f>
        <v>0</v>
      </c>
      <c r="DF805" s="1553"/>
      <c r="DG805" s="1553"/>
      <c r="DH805" s="1553"/>
      <c r="DI805" s="1554"/>
      <c r="DJ805" s="1552">
        <f>SUM(DJ795:DN804)</f>
        <v>0</v>
      </c>
      <c r="DK805" s="1553"/>
      <c r="DL805" s="1553"/>
      <c r="DM805" s="1553"/>
      <c r="DN805" s="1554"/>
      <c r="DO805" s="1552">
        <f>SUM(DO795:DS804)</f>
        <v>0</v>
      </c>
      <c r="DP805" s="1553"/>
      <c r="DQ805" s="1553"/>
      <c r="DR805" s="1553"/>
      <c r="DS805" s="1554"/>
      <c r="DT805" s="1007"/>
      <c r="DU805" s="1548">
        <f>SUM(DU795:DY804)</f>
        <v>0</v>
      </c>
      <c r="DV805" s="1549"/>
      <c r="DW805" s="1549"/>
      <c r="DX805" s="1549"/>
      <c r="DY805" s="1550"/>
      <c r="DZ805" s="1548">
        <f>SUM(DZ795:ED804)</f>
        <v>0</v>
      </c>
      <c r="EA805" s="1549"/>
      <c r="EB805" s="1549"/>
      <c r="EC805" s="1549"/>
      <c r="ED805" s="1550"/>
      <c r="EE805" s="1548">
        <f>SUM(EE795:EI804)</f>
        <v>0</v>
      </c>
      <c r="EF805" s="1549"/>
      <c r="EG805" s="1549"/>
      <c r="EH805" s="1549"/>
      <c r="EI805" s="1550"/>
      <c r="EJ805" s="1548">
        <f>SUM(EJ795:EN804)</f>
        <v>0</v>
      </c>
      <c r="EK805" s="1549"/>
      <c r="EL805" s="1549"/>
      <c r="EM805" s="1549"/>
      <c r="EN805" s="1550"/>
      <c r="EO805" s="1548">
        <f>SUM(EO795:ES804)</f>
        <v>0</v>
      </c>
      <c r="EP805" s="1549"/>
      <c r="EQ805" s="1549"/>
      <c r="ER805" s="1549"/>
      <c r="ES805" s="1550"/>
      <c r="ET805" s="1548">
        <f>SUM(ET795:EX804)</f>
        <v>0</v>
      </c>
      <c r="EU805" s="1549"/>
      <c r="EV805" s="1549"/>
      <c r="EW805" s="1549"/>
      <c r="EX805" s="1550"/>
    </row>
    <row r="806" spans="1:154" s="4" customFormat="1" ht="13" customHeight="1">
      <c r="A806"/>
      <c r="B806"/>
      <c r="C806" s="1719" t="str">
        <f>IF(O805&lt;&gt;AG447,"! Total market rate units in the Unit Mix Table above does not match the number of  market rate units on row #"&amp;TEXT(ROW(D447),"#"),"")</f>
        <v/>
      </c>
      <c r="D806" s="1719"/>
      <c r="E806" s="1719"/>
      <c r="F806" s="1719"/>
      <c r="G806" s="1719"/>
      <c r="H806" s="1719"/>
      <c r="I806" s="1719"/>
      <c r="J806" s="1719"/>
      <c r="K806" s="1719"/>
      <c r="L806" s="1719"/>
      <c r="M806" s="1719"/>
      <c r="N806" s="1719"/>
      <c r="O806" s="1719"/>
      <c r="P806" s="1719"/>
      <c r="Q806" s="1719"/>
      <c r="R806" s="1719"/>
      <c r="S806" s="1719"/>
      <c r="T806" s="1719"/>
      <c r="U806" s="1719"/>
      <c r="V806" s="1719"/>
      <c r="W806" s="1719"/>
      <c r="X806" s="1719"/>
      <c r="Y806" s="1719"/>
      <c r="Z806" s="1719"/>
      <c r="AA806" s="1719"/>
      <c r="AB806" s="1719"/>
      <c r="AC806" s="1719"/>
      <c r="AD806" s="1719"/>
      <c r="AE806" s="1719"/>
      <c r="AF806" s="1719"/>
      <c r="AG806" s="1719"/>
      <c r="AH806" s="1719"/>
      <c r="AI806" s="1719"/>
      <c r="AJ806" s="1719"/>
      <c r="AK806" s="1719"/>
      <c r="AL806" s="1719"/>
      <c r="AM806" s="1719"/>
      <c r="AN806" s="171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719"/>
      <c r="D807" s="1719"/>
      <c r="E807" s="1719"/>
      <c r="F807" s="1719"/>
      <c r="G807" s="1719"/>
      <c r="H807" s="1719"/>
      <c r="I807" s="1719"/>
      <c r="J807" s="1719"/>
      <c r="K807" s="1719"/>
      <c r="L807" s="1719"/>
      <c r="M807" s="1719"/>
      <c r="N807" s="1719"/>
      <c r="O807" s="1719"/>
      <c r="P807" s="1719"/>
      <c r="Q807" s="1719"/>
      <c r="R807" s="1719"/>
      <c r="S807" s="1719"/>
      <c r="T807" s="1719"/>
      <c r="U807" s="1719"/>
      <c r="V807" s="1719"/>
      <c r="W807" s="1719"/>
      <c r="X807" s="1719"/>
      <c r="Y807" s="1719"/>
      <c r="Z807" s="1719"/>
      <c r="AA807" s="1719"/>
      <c r="AB807" s="1719"/>
      <c r="AC807" s="1719"/>
      <c r="AD807" s="1719"/>
      <c r="AE807" s="1719"/>
      <c r="AF807" s="1719"/>
      <c r="AG807" s="1719"/>
      <c r="AH807" s="1719"/>
      <c r="AI807" s="1719"/>
      <c r="AJ807" s="1719"/>
      <c r="AK807" s="1719"/>
      <c r="AL807" s="1719"/>
      <c r="AM807" s="1719"/>
      <c r="AN807" s="171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859">
        <f>SUM(DU805:EX805)</f>
        <v>0</v>
      </c>
      <c r="EU807" s="1860"/>
      <c r="EV807" s="1860"/>
      <c r="EW807" s="1860"/>
      <c r="EX807" s="1861"/>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84">
        <f>O761+AC785+AC805</f>
        <v>66360</v>
      </c>
      <c r="Z808" s="1684"/>
      <c r="AA808" s="1684"/>
      <c r="AB808" s="1684"/>
      <c r="AC808" s="168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4">
        <f>(O761+AC785+AC805)*12</f>
        <v>796320</v>
      </c>
      <c r="Z809" s="1684"/>
      <c r="AA809" s="1684"/>
      <c r="AB809" s="1684"/>
      <c r="AC809" s="168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2">
        <f>CP761+CP785+CP805</f>
        <v>0</v>
      </c>
      <c r="CQ810" s="1553"/>
      <c r="CR810" s="1553"/>
      <c r="CS810" s="1553"/>
      <c r="CT810" s="1554"/>
      <c r="CU810" s="1552">
        <f>CU761+CU785+CU805</f>
        <v>60</v>
      </c>
      <c r="CV810" s="1553"/>
      <c r="CW810" s="1553"/>
      <c r="CX810" s="1553"/>
      <c r="CY810" s="1554"/>
      <c r="CZ810" s="1552">
        <f>CZ761+CZ785+CZ805</f>
        <v>1</v>
      </c>
      <c r="DA810" s="1553"/>
      <c r="DB810" s="1553"/>
      <c r="DC810" s="1553"/>
      <c r="DD810" s="1554"/>
      <c r="DE810" s="1552">
        <f>DE761+DE785+DE805</f>
        <v>0</v>
      </c>
      <c r="DF810" s="1553"/>
      <c r="DG810" s="1553"/>
      <c r="DH810" s="1553"/>
      <c r="DI810" s="1554"/>
      <c r="DJ810" s="1552">
        <f>DJ761+DJ785+DJ805</f>
        <v>0</v>
      </c>
      <c r="DK810" s="1553"/>
      <c r="DL810" s="1553"/>
      <c r="DM810" s="1553"/>
      <c r="DN810" s="1554"/>
      <c r="DO810" s="1545">
        <f>DO805+DO785+DO761</f>
        <v>0</v>
      </c>
      <c r="DP810" s="1546"/>
      <c r="DQ810" s="1546"/>
      <c r="DR810" s="1546"/>
      <c r="DS810" s="1547"/>
      <c r="DT810" s="3"/>
      <c r="DU810" s="857">
        <f>DU763+DU808</f>
        <v>60</v>
      </c>
      <c r="DV810" s="57" t="s">
        <v>1837</v>
      </c>
    </row>
    <row r="811" spans="1:154" s="4" customFormat="1" ht="13"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54">
        <v>60</v>
      </c>
      <c r="AA814" s="1655"/>
      <c r="AB814" s="1655"/>
      <c r="AC814" s="1655"/>
      <c r="AD814" s="1655"/>
      <c r="AE814" s="165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745">
        <v>20</v>
      </c>
      <c r="AA815" s="1655"/>
      <c r="AB815" s="1655"/>
      <c r="AC815" s="1655"/>
      <c r="AD815" s="1655"/>
      <c r="AE815" s="165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47">
        <v>53813</v>
      </c>
      <c r="AA816" s="1579"/>
      <c r="AB816" s="1579"/>
      <c r="AC816" s="1579"/>
      <c r="AD816" s="1579"/>
      <c r="AE816" s="1580"/>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33">
        <f>'Subsidy Contract Calculation'!J40</f>
        <v>817200</v>
      </c>
      <c r="AA817" s="1534"/>
      <c r="AB817" s="1534"/>
      <c r="AC817" s="1534"/>
      <c r="AD817" s="1534"/>
      <c r="AE817" s="1535"/>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49">
        <v>4500</v>
      </c>
      <c r="AA821" s="1450"/>
      <c r="AB821" s="1450"/>
      <c r="AC821" s="1450"/>
      <c r="AD821" s="1450"/>
      <c r="AE821" s="1451"/>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49"/>
      <c r="AA822" s="1450"/>
      <c r="AB822" s="1450"/>
      <c r="AC822" s="1450"/>
      <c r="AD822" s="1450"/>
      <c r="AE822" s="1451"/>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49"/>
      <c r="AA823" s="1450"/>
      <c r="AB823" s="1450"/>
      <c r="AC823" s="1450"/>
      <c r="AD823" s="1450"/>
      <c r="AE823" s="1451"/>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57" t="s">
        <v>333</v>
      </c>
      <c r="Q824" s="1658"/>
      <c r="R824" s="1658"/>
      <c r="S824" s="1658"/>
      <c r="T824" s="1658"/>
      <c r="U824" s="1658"/>
      <c r="V824" s="1658"/>
      <c r="W824" s="1658"/>
      <c r="X824" s="1658"/>
      <c r="Y824" s="1659"/>
      <c r="Z824" s="1449"/>
      <c r="AA824" s="1450"/>
      <c r="AB824" s="1450"/>
      <c r="AC824" s="1450"/>
      <c r="AD824" s="1450"/>
      <c r="AE824" s="1451"/>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33">
        <f>SUM(Z821:AE824)</f>
        <v>4500</v>
      </c>
      <c r="AA825" s="1534"/>
      <c r="AB825" s="1534"/>
      <c r="AC825" s="1534"/>
      <c r="AD825" s="1534"/>
      <c r="AE825" s="1535"/>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533">
        <f>Z825+Y809+Z817</f>
        <v>1618020</v>
      </c>
      <c r="AA826" s="1534"/>
      <c r="AB826" s="1534"/>
      <c r="AC826" s="1534"/>
      <c r="AD826" s="1534"/>
      <c r="AE826" s="1535"/>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614" t="s">
        <v>126</v>
      </c>
      <c r="N831" s="1614"/>
      <c r="O831" s="1614"/>
      <c r="P831" s="1682"/>
      <c r="Q831" s="1694" t="s">
        <v>289</v>
      </c>
      <c r="R831" s="1694"/>
      <c r="S831" s="1694"/>
      <c r="T831" s="1694"/>
      <c r="U831" s="1694" t="s">
        <v>290</v>
      </c>
      <c r="V831" s="1694"/>
      <c r="W831" s="1694"/>
      <c r="X831" s="1694"/>
      <c r="Y831" s="1694" t="s">
        <v>291</v>
      </c>
      <c r="Z831" s="1694"/>
      <c r="AA831" s="1694"/>
      <c r="AB831" s="1694"/>
      <c r="AC831" s="1694" t="s">
        <v>360</v>
      </c>
      <c r="AD831" s="1694"/>
      <c r="AE831" s="1694"/>
      <c r="AF831" s="1694"/>
      <c r="AG831" s="1746" t="s">
        <v>334</v>
      </c>
      <c r="AH831" s="1746"/>
      <c r="AI831" s="1746"/>
      <c r="AJ831" s="1746"/>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618"/>
      <c r="N832" s="1618"/>
      <c r="O832" s="1618"/>
      <c r="P832" s="1650"/>
      <c r="Q832" s="1694"/>
      <c r="R832" s="1694"/>
      <c r="S832" s="1694"/>
      <c r="T832" s="1694"/>
      <c r="U832" s="1694"/>
      <c r="V832" s="1694"/>
      <c r="W832" s="1694"/>
      <c r="X832" s="1694"/>
      <c r="Y832" s="1694"/>
      <c r="Z832" s="1694"/>
      <c r="AA832" s="1694"/>
      <c r="AB832" s="1694"/>
      <c r="AC832" s="1694"/>
      <c r="AD832" s="1694"/>
      <c r="AE832" s="1694"/>
      <c r="AF832" s="1694"/>
      <c r="AG832" s="1746"/>
      <c r="AH832" s="1746"/>
      <c r="AI832" s="1746"/>
      <c r="AJ832" s="1746"/>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36" t="s">
        <v>40</v>
      </c>
      <c r="D833" s="1452"/>
      <c r="E833" s="1452"/>
      <c r="F833" s="1452"/>
      <c r="G833" s="1452"/>
      <c r="H833" s="1452"/>
      <c r="I833" s="48"/>
      <c r="J833" s="48"/>
      <c r="K833" s="48"/>
      <c r="L833" s="49"/>
      <c r="M833" s="1660"/>
      <c r="N833" s="1660"/>
      <c r="O833" s="1660"/>
      <c r="P833" s="1660"/>
      <c r="Q833" s="1660"/>
      <c r="R833" s="1660"/>
      <c r="S833" s="1660"/>
      <c r="T833" s="1660"/>
      <c r="U833" s="1660"/>
      <c r="V833" s="1660"/>
      <c r="W833" s="1660"/>
      <c r="X833" s="1660"/>
      <c r="Y833" s="1660"/>
      <c r="Z833" s="1660"/>
      <c r="AA833" s="1660"/>
      <c r="AB833" s="1660"/>
      <c r="AC833" s="1661"/>
      <c r="AD833" s="1662"/>
      <c r="AE833" s="1662"/>
      <c r="AF833" s="1663"/>
      <c r="AG833" s="1661"/>
      <c r="AH833" s="1662"/>
      <c r="AI833" s="1662"/>
      <c r="AJ833" s="1663"/>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723" t="s">
        <v>41</v>
      </c>
      <c r="D834" s="1724"/>
      <c r="E834" s="1724"/>
      <c r="F834" s="1724"/>
      <c r="G834" s="1724"/>
      <c r="H834" s="1724"/>
      <c r="I834" s="5"/>
      <c r="J834" s="5"/>
      <c r="K834" s="5"/>
      <c r="L834" s="46"/>
      <c r="M834" s="1660"/>
      <c r="N834" s="1660"/>
      <c r="O834" s="1660"/>
      <c r="P834" s="1660"/>
      <c r="Q834" s="1660"/>
      <c r="R834" s="1660"/>
      <c r="S834" s="1660"/>
      <c r="T834" s="1660"/>
      <c r="U834" s="1660"/>
      <c r="V834" s="1660"/>
      <c r="W834" s="1660"/>
      <c r="X834" s="1660"/>
      <c r="Y834" s="1660"/>
      <c r="Z834" s="1660"/>
      <c r="AA834" s="1660"/>
      <c r="AB834" s="1660"/>
      <c r="AC834" s="1661"/>
      <c r="AD834" s="1662"/>
      <c r="AE834" s="1662"/>
      <c r="AF834" s="1663"/>
      <c r="AG834" s="1661"/>
      <c r="AH834" s="1662"/>
      <c r="AI834" s="1662"/>
      <c r="AJ834" s="1663"/>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723" t="s">
        <v>42</v>
      </c>
      <c r="D835" s="1724"/>
      <c r="E835" s="1724"/>
      <c r="F835" s="1724"/>
      <c r="G835" s="1724"/>
      <c r="H835" s="1724"/>
      <c r="I835" s="60"/>
      <c r="J835" s="60"/>
      <c r="K835" s="60"/>
      <c r="L835" s="61"/>
      <c r="M835" s="1660"/>
      <c r="N835" s="1660"/>
      <c r="O835" s="1660"/>
      <c r="P835" s="1660"/>
      <c r="Q835" s="1660"/>
      <c r="R835" s="1660"/>
      <c r="S835" s="1660"/>
      <c r="T835" s="1660"/>
      <c r="U835" s="1660"/>
      <c r="V835" s="1660"/>
      <c r="W835" s="1660"/>
      <c r="X835" s="1660"/>
      <c r="Y835" s="1660"/>
      <c r="Z835" s="1660"/>
      <c r="AA835" s="1660"/>
      <c r="AB835" s="1660"/>
      <c r="AC835" s="1661"/>
      <c r="AD835" s="1662"/>
      <c r="AE835" s="1662"/>
      <c r="AF835" s="1663"/>
      <c r="AG835" s="1661"/>
      <c r="AH835" s="1662"/>
      <c r="AI835" s="1662"/>
      <c r="AJ835" s="1663"/>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723" t="s">
        <v>761</v>
      </c>
      <c r="D836" s="1724"/>
      <c r="E836" s="1724"/>
      <c r="F836" s="1724"/>
      <c r="G836" s="1724"/>
      <c r="H836" s="1724"/>
      <c r="I836" s="60"/>
      <c r="J836" s="60"/>
      <c r="K836" s="60"/>
      <c r="L836" s="61"/>
      <c r="M836" s="1660"/>
      <c r="N836" s="1660"/>
      <c r="O836" s="1660"/>
      <c r="P836" s="1660"/>
      <c r="Q836" s="1660"/>
      <c r="R836" s="1660"/>
      <c r="S836" s="1660"/>
      <c r="T836" s="1660"/>
      <c r="U836" s="1660"/>
      <c r="V836" s="1660"/>
      <c r="W836" s="1660"/>
      <c r="X836" s="1660"/>
      <c r="Y836" s="1660"/>
      <c r="Z836" s="1660"/>
      <c r="AA836" s="1660"/>
      <c r="AB836" s="1660"/>
      <c r="AC836" s="1661"/>
      <c r="AD836" s="1662"/>
      <c r="AE836" s="1662"/>
      <c r="AF836" s="1663"/>
      <c r="AG836" s="1661"/>
      <c r="AH836" s="1662"/>
      <c r="AI836" s="1662"/>
      <c r="AJ836" s="1663"/>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723" t="s">
        <v>458</v>
      </c>
      <c r="D837" s="1724"/>
      <c r="E837" s="1724"/>
      <c r="F837" s="1724"/>
      <c r="G837" s="1724"/>
      <c r="H837" s="1724"/>
      <c r="I837" s="60"/>
      <c r="J837" s="60"/>
      <c r="K837" s="60"/>
      <c r="L837" s="61"/>
      <c r="M837" s="1660"/>
      <c r="N837" s="1660"/>
      <c r="O837" s="1660"/>
      <c r="P837" s="1660"/>
      <c r="Q837" s="1660">
        <v>30</v>
      </c>
      <c r="R837" s="1660"/>
      <c r="S837" s="1660"/>
      <c r="T837" s="1660"/>
      <c r="U837" s="1660"/>
      <c r="V837" s="1660"/>
      <c r="W837" s="1660"/>
      <c r="X837" s="1660"/>
      <c r="Y837" s="1660"/>
      <c r="Z837" s="1660"/>
      <c r="AA837" s="1660"/>
      <c r="AB837" s="1660"/>
      <c r="AC837" s="1661"/>
      <c r="AD837" s="1662"/>
      <c r="AE837" s="1662"/>
      <c r="AF837" s="1663"/>
      <c r="AG837" s="1661"/>
      <c r="AH837" s="1662"/>
      <c r="AI837" s="1662"/>
      <c r="AJ837" s="1663"/>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736" t="s">
        <v>782</v>
      </c>
      <c r="D838" s="1724"/>
      <c r="E838" s="1724"/>
      <c r="F838" s="1724"/>
      <c r="G838" s="1724"/>
      <c r="H838" s="1724"/>
      <c r="I838" s="60"/>
      <c r="J838" s="60"/>
      <c r="K838" s="60"/>
      <c r="L838" s="61"/>
      <c r="M838" s="1660"/>
      <c r="N838" s="1660"/>
      <c r="O838" s="1660"/>
      <c r="P838" s="1660"/>
      <c r="Q838" s="1660"/>
      <c r="R838" s="1660"/>
      <c r="S838" s="1660"/>
      <c r="T838" s="1660"/>
      <c r="U838" s="1660"/>
      <c r="V838" s="1660"/>
      <c r="W838" s="1660"/>
      <c r="X838" s="1660"/>
      <c r="Y838" s="1660"/>
      <c r="Z838" s="1660"/>
      <c r="AA838" s="1660"/>
      <c r="AB838" s="1660"/>
      <c r="AC838" s="1661"/>
      <c r="AD838" s="1662"/>
      <c r="AE838" s="1662"/>
      <c r="AF838" s="1663"/>
      <c r="AG838" s="1661"/>
      <c r="AH838" s="1662"/>
      <c r="AI838" s="1662"/>
      <c r="AJ838" s="1663"/>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292</v>
      </c>
      <c r="D839" s="60"/>
      <c r="E839" s="60"/>
      <c r="F839" s="1657" t="s">
        <v>333</v>
      </c>
      <c r="G839" s="1658"/>
      <c r="H839" s="1658"/>
      <c r="I839" s="1658"/>
      <c r="J839" s="1658"/>
      <c r="K839" s="1658"/>
      <c r="L839" s="1658"/>
      <c r="M839" s="1660"/>
      <c r="N839" s="1660"/>
      <c r="O839" s="1660"/>
      <c r="P839" s="1660"/>
      <c r="Q839" s="1660"/>
      <c r="R839" s="1660"/>
      <c r="S839" s="1660"/>
      <c r="T839" s="1660"/>
      <c r="U839" s="1660"/>
      <c r="V839" s="1660"/>
      <c r="W839" s="1660"/>
      <c r="X839" s="1660"/>
      <c r="Y839" s="1660"/>
      <c r="Z839" s="1660"/>
      <c r="AA839" s="1660"/>
      <c r="AB839" s="1660"/>
      <c r="AC839" s="1661"/>
      <c r="AD839" s="1662"/>
      <c r="AE839" s="1662"/>
      <c r="AF839" s="1663"/>
      <c r="AG839" s="1661"/>
      <c r="AH839" s="1662"/>
      <c r="AI839" s="1662"/>
      <c r="AJ839" s="1663"/>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528" t="s">
        <v>124</v>
      </c>
      <c r="D840" s="1529"/>
      <c r="E840" s="1529"/>
      <c r="F840" s="1529"/>
      <c r="G840" s="1529"/>
      <c r="H840" s="1529"/>
      <c r="I840" s="1529"/>
      <c r="J840" s="1529"/>
      <c r="K840" s="1529"/>
      <c r="L840" s="1530"/>
      <c r="M840" s="1681">
        <f>SUM(M833:P839)</f>
        <v>0</v>
      </c>
      <c r="N840" s="1681"/>
      <c r="O840" s="1681"/>
      <c r="P840" s="1681"/>
      <c r="Q840" s="1681">
        <f>SUM(Q833:T839)</f>
        <v>30</v>
      </c>
      <c r="R840" s="1681"/>
      <c r="S840" s="1681"/>
      <c r="T840" s="1681"/>
      <c r="U840" s="1681">
        <f>SUM(U833:X839)</f>
        <v>0</v>
      </c>
      <c r="V840" s="1681"/>
      <c r="W840" s="1681"/>
      <c r="X840" s="1681"/>
      <c r="Y840" s="1681">
        <f>SUM(Y833:AB839)</f>
        <v>0</v>
      </c>
      <c r="Z840" s="1681"/>
      <c r="AA840" s="1681"/>
      <c r="AB840" s="1681"/>
      <c r="AC840" s="1681">
        <f>SUM(AC833:AF839)</f>
        <v>0</v>
      </c>
      <c r="AD840" s="1681"/>
      <c r="AE840" s="1681"/>
      <c r="AF840" s="1681"/>
      <c r="AG840" s="1681">
        <f>SUM(AG833:AJ839)</f>
        <v>0</v>
      </c>
      <c r="AH840" s="1681"/>
      <c r="AI840" s="1681"/>
      <c r="AJ840" s="1681"/>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733" t="s">
        <v>2745</v>
      </c>
      <c r="D845" s="1734"/>
      <c r="E845" s="1734"/>
      <c r="F845" s="1734"/>
      <c r="G845" s="1734"/>
      <c r="H845" s="1734"/>
      <c r="I845" s="1734"/>
      <c r="J845" s="1734"/>
      <c r="K845" s="1734"/>
      <c r="L845" s="1734"/>
      <c r="M845" s="1734"/>
      <c r="N845" s="1734"/>
      <c r="O845" s="1734"/>
      <c r="P845" s="1734"/>
      <c r="Q845" s="1734"/>
      <c r="R845" s="1734"/>
      <c r="S845" s="1734"/>
      <c r="T845" s="1734"/>
      <c r="U845" s="1734"/>
      <c r="V845" s="1734"/>
      <c r="W845" s="1734"/>
      <c r="X845" s="1734"/>
      <c r="Y845" s="1734"/>
      <c r="Z845" s="1734"/>
      <c r="AA845" s="1734"/>
      <c r="AB845" s="1734"/>
      <c r="AC845" s="1734"/>
      <c r="AD845" s="1734"/>
      <c r="AE845" s="1734"/>
      <c r="AF845" s="1734"/>
      <c r="AG845" s="1734"/>
      <c r="AH845" s="1734"/>
      <c r="AI845" s="1734"/>
      <c r="AJ845" s="1735"/>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3"/>
      <c r="BJ849" s="1693"/>
      <c r="BK849" s="1693"/>
      <c r="BL849" s="1693"/>
    </row>
    <row r="850" spans="1:64" s="14" customFormat="1" ht="13" customHeight="1">
      <c r="A850"/>
      <c r="B850"/>
      <c r="C850" s="2" t="s">
        <v>342</v>
      </c>
      <c r="D850"/>
      <c r="E850"/>
      <c r="F850"/>
      <c r="G850"/>
      <c r="H850"/>
      <c r="I850"/>
      <c r="J850" s="45" t="s">
        <v>355</v>
      </c>
      <c r="K850" s="5"/>
      <c r="L850" s="5"/>
      <c r="M850" s="5"/>
      <c r="N850" s="5"/>
      <c r="O850" s="5"/>
      <c r="P850" s="5"/>
      <c r="Q850" s="5"/>
      <c r="R850" s="5"/>
      <c r="S850" s="5"/>
      <c r="T850" s="5"/>
      <c r="U850" s="5"/>
      <c r="V850" s="46"/>
      <c r="W850" s="1504">
        <v>3200</v>
      </c>
      <c r="X850" s="1504"/>
      <c r="Y850" s="1504"/>
      <c r="Z850" s="1504"/>
      <c r="AA850" s="1504"/>
      <c r="AB850" s="1504"/>
      <c r="AC850" s="1504"/>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354</v>
      </c>
      <c r="K851" s="5"/>
      <c r="L851" s="5"/>
      <c r="M851" s="5"/>
      <c r="N851" s="5"/>
      <c r="O851" s="5"/>
      <c r="P851" s="5"/>
      <c r="Q851" s="5"/>
      <c r="R851" s="5"/>
      <c r="S851" s="5"/>
      <c r="T851" s="5"/>
      <c r="U851" s="5"/>
      <c r="V851" s="46"/>
      <c r="W851" s="1504"/>
      <c r="X851" s="1504"/>
      <c r="Y851" s="1504"/>
      <c r="Z851" s="1504"/>
      <c r="AA851" s="1504"/>
      <c r="AB851" s="1504"/>
      <c r="AC851" s="1504"/>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353</v>
      </c>
      <c r="K852" s="5"/>
      <c r="L852" s="5"/>
      <c r="M852" s="5"/>
      <c r="N852" s="5"/>
      <c r="O852" s="5"/>
      <c r="P852" s="5"/>
      <c r="Q852" s="5"/>
      <c r="R852" s="5"/>
      <c r="S852" s="5"/>
      <c r="T852" s="5"/>
      <c r="U852" s="5"/>
      <c r="V852" s="46"/>
      <c r="W852" s="1504">
        <f>19154+9516</f>
        <v>28670</v>
      </c>
      <c r="X852" s="1504"/>
      <c r="Y852" s="1504"/>
      <c r="Z852" s="1504"/>
      <c r="AA852" s="1504"/>
      <c r="AB852" s="1504"/>
      <c r="AC852" s="1504"/>
      <c r="AZ852" s="30"/>
      <c r="BA852" s="30"/>
      <c r="BB852" s="14"/>
      <c r="BC852" s="14"/>
      <c r="BD852" s="14"/>
      <c r="BE852" s="14"/>
      <c r="BF852" s="14"/>
      <c r="BG852" s="14"/>
      <c r="BH852" s="14"/>
      <c r="BI852" s="14"/>
      <c r="BJ852" s="14"/>
      <c r="BK852" s="14"/>
      <c r="BL852" s="14"/>
    </row>
    <row r="853" spans="1:64" ht="13" customHeight="1">
      <c r="J853" s="45" t="s">
        <v>352</v>
      </c>
      <c r="K853" s="5"/>
      <c r="L853" s="5"/>
      <c r="M853" s="5"/>
      <c r="N853" s="5"/>
      <c r="O853" s="5"/>
      <c r="P853" s="5"/>
      <c r="Q853" s="5"/>
      <c r="R853" s="5"/>
      <c r="S853" s="5"/>
      <c r="T853" s="5"/>
      <c r="U853" s="5"/>
      <c r="V853" s="46"/>
      <c r="W853" s="1504">
        <v>29520</v>
      </c>
      <c r="X853" s="1504"/>
      <c r="Y853" s="1504"/>
      <c r="Z853" s="1504"/>
      <c r="AA853" s="1504"/>
      <c r="AB853" s="1504"/>
      <c r="AC853" s="1504"/>
      <c r="AZ853" s="30"/>
      <c r="BA853" s="30"/>
      <c r="BB853" s="14"/>
      <c r="BC853" s="14"/>
      <c r="BD853" s="14"/>
      <c r="BE853" s="14"/>
      <c r="BF853" s="14"/>
      <c r="BG853" s="14"/>
      <c r="BH853" s="14"/>
      <c r="BI853" s="14"/>
      <c r="BJ853" s="14"/>
      <c r="BK853" s="14"/>
      <c r="BL853" s="14"/>
    </row>
    <row r="854" spans="1:64" ht="13" customHeight="1">
      <c r="J854" s="45" t="s">
        <v>169</v>
      </c>
      <c r="K854" s="5"/>
      <c r="L854" s="5"/>
      <c r="M854" s="1657" t="s">
        <v>2746</v>
      </c>
      <c r="N854" s="1658"/>
      <c r="O854" s="1658"/>
      <c r="P854" s="1658"/>
      <c r="Q854" s="1658"/>
      <c r="R854" s="1658"/>
      <c r="S854" s="1658"/>
      <c r="T854" s="1658"/>
      <c r="U854" s="1658"/>
      <c r="V854" s="1659"/>
      <c r="W854" s="1504">
        <v>98887</v>
      </c>
      <c r="X854" s="1504"/>
      <c r="Y854" s="1504"/>
      <c r="Z854" s="1504"/>
      <c r="AA854" s="1504"/>
      <c r="AB854" s="1504"/>
      <c r="AC854" s="1504"/>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341</v>
      </c>
      <c r="W855" s="1533">
        <f>SUM(W850:W854)</f>
        <v>160277</v>
      </c>
      <c r="X855" s="1534"/>
      <c r="Y855" s="1534"/>
      <c r="Z855" s="1534"/>
      <c r="AA855" s="1534"/>
      <c r="AB855" s="1534"/>
      <c r="AC855" s="1535"/>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79"/>
      <c r="BH856" s="1679"/>
      <c r="BI856" s="1679"/>
      <c r="BJ856" s="1679"/>
      <c r="BK856" s="1679"/>
      <c r="BL856" s="1679"/>
    </row>
    <row r="857" spans="1:64" ht="13" customHeight="1">
      <c r="C857" s="2" t="s">
        <v>343</v>
      </c>
      <c r="J857" s="1528" t="s">
        <v>344</v>
      </c>
      <c r="K857" s="1529"/>
      <c r="L857" s="1529"/>
      <c r="M857" s="1529"/>
      <c r="N857" s="1529"/>
      <c r="O857" s="1529"/>
      <c r="P857" s="1529"/>
      <c r="Q857" s="1529"/>
      <c r="R857" s="1529"/>
      <c r="S857" s="1529"/>
      <c r="T857" s="1529"/>
      <c r="U857" s="1529"/>
      <c r="V857" s="1530"/>
      <c r="W857" s="1449">
        <v>59292</v>
      </c>
      <c r="X857" s="1450"/>
      <c r="Y857" s="1450"/>
      <c r="Z857" s="1450"/>
      <c r="AA857" s="1450"/>
      <c r="AB857" s="1450"/>
      <c r="AC857" s="1451"/>
      <c r="AD857" s="533"/>
      <c r="AZ857" s="30"/>
      <c r="BA857" s="30"/>
      <c r="BB857" s="14"/>
      <c r="BC857" s="14"/>
    </row>
    <row r="858" spans="1:64" ht="13" customHeight="1">
      <c r="AD858" s="533"/>
      <c r="AZ858" s="30"/>
      <c r="BA858" s="30"/>
      <c r="BB858" s="14"/>
      <c r="BC858" s="14"/>
    </row>
    <row r="859" spans="1:64" ht="13" customHeight="1">
      <c r="C859" s="2" t="s">
        <v>560</v>
      </c>
      <c r="J859" s="45" t="s">
        <v>351</v>
      </c>
      <c r="K859" s="5"/>
      <c r="L859" s="5"/>
      <c r="M859" s="5"/>
      <c r="N859" s="5"/>
      <c r="O859" s="5"/>
      <c r="P859" s="5"/>
      <c r="Q859" s="5"/>
      <c r="R859" s="5"/>
      <c r="S859" s="5"/>
      <c r="T859" s="5"/>
      <c r="U859" s="5"/>
      <c r="V859" s="46"/>
      <c r="W859" s="1683"/>
      <c r="X859" s="1683"/>
      <c r="Y859" s="1683"/>
      <c r="Z859" s="1683"/>
      <c r="AA859" s="1683"/>
      <c r="AB859" s="1683"/>
      <c r="AC859" s="1683"/>
      <c r="AZ859" s="1740"/>
      <c r="BA859" s="1740"/>
      <c r="BB859" s="14"/>
      <c r="BC859" s="14"/>
    </row>
    <row r="860" spans="1:64" ht="13" customHeight="1">
      <c r="J860" s="45" t="s">
        <v>350</v>
      </c>
      <c r="K860" s="5"/>
      <c r="L860" s="5"/>
      <c r="M860" s="5"/>
      <c r="N860" s="5"/>
      <c r="O860" s="5"/>
      <c r="P860" s="5"/>
      <c r="Q860" s="5"/>
      <c r="R860" s="5"/>
      <c r="S860" s="5"/>
      <c r="T860" s="5"/>
      <c r="U860" s="5"/>
      <c r="V860" s="46"/>
      <c r="W860" s="1683">
        <v>15165</v>
      </c>
      <c r="X860" s="1683"/>
      <c r="Y860" s="1683"/>
      <c r="Z860" s="1683"/>
      <c r="AA860" s="1683"/>
      <c r="AB860" s="1683"/>
      <c r="AC860" s="1683"/>
      <c r="AZ860" s="30"/>
      <c r="BA860" s="30"/>
      <c r="BB860" s="14"/>
      <c r="BC860" s="14"/>
    </row>
    <row r="861" spans="1:64" ht="13" customHeight="1">
      <c r="J861" s="45" t="s">
        <v>458</v>
      </c>
      <c r="K861" s="5"/>
      <c r="L861" s="5"/>
      <c r="M861" s="5"/>
      <c r="N861" s="5"/>
      <c r="O861" s="5"/>
      <c r="P861" s="5"/>
      <c r="Q861" s="5"/>
      <c r="R861" s="5"/>
      <c r="S861" s="5"/>
      <c r="T861" s="5"/>
      <c r="U861" s="5"/>
      <c r="V861" s="46"/>
      <c r="W861" s="1683">
        <v>41740</v>
      </c>
      <c r="X861" s="1683"/>
      <c r="Y861" s="1683"/>
      <c r="Z861" s="1683"/>
      <c r="AA861" s="1683"/>
      <c r="AB861" s="1683"/>
      <c r="AC861" s="1683"/>
      <c r="AZ861" s="30"/>
      <c r="BA861" s="30"/>
      <c r="BB861" s="14"/>
      <c r="BC861" s="14"/>
    </row>
    <row r="862" spans="1:64" ht="13" customHeight="1">
      <c r="J862" s="62" t="s">
        <v>619</v>
      </c>
      <c r="K862" s="5"/>
      <c r="L862" s="5"/>
      <c r="M862" s="5"/>
      <c r="N862" s="5"/>
      <c r="O862" s="5"/>
      <c r="P862" s="5"/>
      <c r="Q862" s="5"/>
      <c r="R862" s="5"/>
      <c r="S862" s="5"/>
      <c r="T862" s="5"/>
      <c r="U862" s="5"/>
      <c r="V862" s="46"/>
      <c r="W862" s="1683">
        <v>30759</v>
      </c>
      <c r="X862" s="1683"/>
      <c r="Y862" s="1683"/>
      <c r="Z862" s="1683"/>
      <c r="AA862" s="1683"/>
      <c r="AB862" s="1683"/>
      <c r="AC862" s="1683"/>
      <c r="AZ862" s="34"/>
      <c r="BA862" s="34"/>
      <c r="BB862" s="34"/>
      <c r="BC862" s="34"/>
    </row>
    <row r="863" spans="1:64" ht="13" customHeight="1">
      <c r="J863" s="63"/>
      <c r="K863" s="48"/>
      <c r="L863" s="48"/>
      <c r="M863" s="48"/>
      <c r="N863" s="48"/>
      <c r="O863" s="48"/>
      <c r="P863" s="48"/>
      <c r="Q863" s="48"/>
      <c r="R863" s="48"/>
      <c r="S863" s="48"/>
      <c r="T863" s="48"/>
      <c r="U863" s="48"/>
      <c r="V863" s="54" t="s">
        <v>271</v>
      </c>
      <c r="W863" s="1727">
        <f>SUM(W859:W862)</f>
        <v>87664</v>
      </c>
      <c r="X863" s="1727"/>
      <c r="Y863" s="1727"/>
      <c r="Z863" s="1727"/>
      <c r="AA863" s="1727"/>
      <c r="AB863" s="1727"/>
      <c r="AC863" s="1727"/>
      <c r="AZ863" s="34"/>
      <c r="BA863" s="34"/>
      <c r="BB863" s="34"/>
      <c r="BC863" s="34"/>
    </row>
    <row r="864" spans="1:64" ht="13" customHeight="1">
      <c r="AZ864" s="34"/>
      <c r="BA864" s="34"/>
      <c r="BB864" s="34"/>
      <c r="BC864" s="34"/>
    </row>
    <row r="865" spans="3:55" ht="13" customHeight="1">
      <c r="C865" s="2" t="s">
        <v>345</v>
      </c>
      <c r="J865" s="45" t="s">
        <v>618</v>
      </c>
      <c r="K865" s="5"/>
      <c r="L865" s="5"/>
      <c r="M865" s="5"/>
      <c r="N865" s="5"/>
      <c r="O865" s="5"/>
      <c r="P865" s="5"/>
      <c r="Q865" s="5"/>
      <c r="R865" s="5"/>
      <c r="S865" s="5"/>
      <c r="T865" s="5"/>
      <c r="U865" s="5"/>
      <c r="V865" s="46"/>
      <c r="W865" s="1664">
        <f>50210+81594</f>
        <v>131804</v>
      </c>
      <c r="X865" s="1665"/>
      <c r="Y865" s="1665"/>
      <c r="Z865" s="1665"/>
      <c r="AA865" s="1665"/>
      <c r="AB865" s="1665"/>
      <c r="AC865" s="1666"/>
      <c r="AD865" s="528"/>
      <c r="AZ865" s="34"/>
      <c r="BA865" s="34"/>
      <c r="BB865" s="34"/>
      <c r="BC865" s="34"/>
    </row>
    <row r="866" spans="3:55" ht="13" customHeight="1">
      <c r="C866" s="2" t="s">
        <v>346</v>
      </c>
      <c r="J866" s="121" t="s">
        <v>1643</v>
      </c>
      <c r="K866" s="5"/>
      <c r="L866" s="5"/>
      <c r="M866" s="5"/>
      <c r="N866" s="5"/>
      <c r="O866" s="5"/>
      <c r="P866" s="5"/>
      <c r="Q866" s="5"/>
      <c r="R866" s="5"/>
      <c r="S866" s="5"/>
      <c r="T866" s="1728">
        <v>2</v>
      </c>
      <c r="U866" s="1699"/>
      <c r="V866" s="1729"/>
      <c r="W866" s="870"/>
      <c r="X866" s="871"/>
      <c r="Y866" s="871"/>
      <c r="Z866" s="871"/>
      <c r="AA866" s="871"/>
      <c r="AB866" s="871"/>
      <c r="AC866" s="872"/>
      <c r="AD866" s="528"/>
      <c r="AZ866" s="34"/>
      <c r="BA866" s="34"/>
      <c r="BB866" s="34"/>
      <c r="BC866" s="34"/>
    </row>
    <row r="867" spans="3:55" ht="13" customHeight="1">
      <c r="C867" s="2"/>
      <c r="J867" s="45" t="s">
        <v>617</v>
      </c>
      <c r="K867" s="5"/>
      <c r="L867" s="5"/>
      <c r="M867" s="5"/>
      <c r="N867" s="5"/>
      <c r="O867" s="5"/>
      <c r="P867" s="5"/>
      <c r="Q867" s="5"/>
      <c r="R867" s="5"/>
      <c r="S867" s="5"/>
      <c r="T867" s="5"/>
      <c r="U867" s="5"/>
      <c r="V867" s="46"/>
      <c r="W867" s="1664">
        <f>112649</f>
        <v>112649</v>
      </c>
      <c r="X867" s="1665"/>
      <c r="Y867" s="1665"/>
      <c r="Z867" s="1665"/>
      <c r="AA867" s="1665"/>
      <c r="AB867" s="1665"/>
      <c r="AC867" s="1666"/>
      <c r="AD867" s="533"/>
      <c r="AZ867" s="34"/>
      <c r="BA867" s="34"/>
      <c r="BB867" s="34"/>
      <c r="BC867" s="34"/>
    </row>
    <row r="868" spans="3:55" ht="13" customHeight="1">
      <c r="C868" s="2"/>
      <c r="J868" s="121" t="s">
        <v>1644</v>
      </c>
      <c r="K868" s="5"/>
      <c r="L868" s="5"/>
      <c r="M868" s="5"/>
      <c r="N868" s="5"/>
      <c r="O868" s="5"/>
      <c r="P868" s="5"/>
      <c r="Q868" s="5"/>
      <c r="R868" s="5"/>
      <c r="S868" s="5"/>
      <c r="T868" s="1728"/>
      <c r="U868" s="1699"/>
      <c r="V868" s="1729"/>
      <c r="W868" s="870"/>
      <c r="X868" s="871"/>
      <c r="Y868" s="871"/>
      <c r="Z868" s="871"/>
      <c r="AA868" s="871"/>
      <c r="AB868" s="871"/>
      <c r="AC868" s="872"/>
      <c r="AD868" s="533"/>
      <c r="AZ868" s="34"/>
      <c r="BA868" s="34"/>
      <c r="BB868" s="34"/>
      <c r="BC868" s="34"/>
    </row>
    <row r="869" spans="3:55" ht="13" customHeight="1">
      <c r="J869" s="45" t="s">
        <v>169</v>
      </c>
      <c r="K869" s="5"/>
      <c r="L869" s="5"/>
      <c r="M869" s="1657" t="s">
        <v>346</v>
      </c>
      <c r="N869" s="1658"/>
      <c r="O869" s="1658"/>
      <c r="P869" s="1658"/>
      <c r="Q869" s="1658"/>
      <c r="R869" s="1658"/>
      <c r="S869" s="1658"/>
      <c r="T869" s="1658"/>
      <c r="U869" s="1658"/>
      <c r="V869" s="1659"/>
      <c r="W869" s="1664">
        <v>77284</v>
      </c>
      <c r="X869" s="1665"/>
      <c r="Y869" s="1665"/>
      <c r="Z869" s="1665"/>
      <c r="AA869" s="1665"/>
      <c r="AB869" s="1665"/>
      <c r="AC869" s="1666"/>
      <c r="AD869" s="528"/>
      <c r="AU869" s="14"/>
      <c r="AZ869" s="34"/>
      <c r="BA869" s="34"/>
      <c r="BB869" s="34"/>
      <c r="BC869" s="34"/>
    </row>
    <row r="870" spans="3:55" ht="13" customHeight="1">
      <c r="J870" s="45"/>
      <c r="K870" s="5"/>
      <c r="L870" s="5"/>
      <c r="M870" s="5"/>
      <c r="N870" s="5"/>
      <c r="O870" s="5"/>
      <c r="P870" s="5"/>
      <c r="Q870" s="5"/>
      <c r="R870" s="5"/>
      <c r="S870" s="5"/>
      <c r="T870" s="5"/>
      <c r="U870" s="5"/>
      <c r="V870" s="54" t="s">
        <v>272</v>
      </c>
      <c r="W870" s="1730">
        <f>SUM(W865:W869)</f>
        <v>321737</v>
      </c>
      <c r="X870" s="1731"/>
      <c r="Y870" s="1731"/>
      <c r="Z870" s="1731"/>
      <c r="AA870" s="1731"/>
      <c r="AB870" s="1731"/>
      <c r="AC870" s="1732"/>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273</v>
      </c>
      <c r="W872" s="1664">
        <v>38043</v>
      </c>
      <c r="X872" s="1665"/>
      <c r="Y872" s="1665"/>
      <c r="Z872" s="1665"/>
      <c r="AA872" s="1665"/>
      <c r="AB872" s="1665"/>
      <c r="AC872" s="1666"/>
      <c r="AU872" s="14"/>
      <c r="AZ872" s="34"/>
      <c r="BA872" s="34"/>
      <c r="BB872" s="34"/>
      <c r="BC872" s="34"/>
    </row>
    <row r="873" spans="3:55" ht="13" customHeight="1">
      <c r="J873" s="512"/>
      <c r="AU873" s="14"/>
      <c r="AZ873" s="34"/>
      <c r="BA873" s="34"/>
      <c r="BB873" s="34"/>
      <c r="BC873" s="34"/>
    </row>
    <row r="874" spans="3:55" ht="13" customHeight="1">
      <c r="C874" s="2" t="s">
        <v>389</v>
      </c>
      <c r="J874" s="45" t="s">
        <v>616</v>
      </c>
      <c r="K874" s="5"/>
      <c r="L874" s="5"/>
      <c r="M874" s="5"/>
      <c r="N874" s="5"/>
      <c r="O874" s="5"/>
      <c r="P874" s="5"/>
      <c r="Q874" s="5"/>
      <c r="R874" s="5"/>
      <c r="S874" s="5"/>
      <c r="T874" s="5"/>
      <c r="U874" s="5"/>
      <c r="V874" s="46"/>
      <c r="W874" s="1504"/>
      <c r="X874" s="1504"/>
      <c r="Y874" s="1504"/>
      <c r="Z874" s="1504"/>
      <c r="AA874" s="1504"/>
      <c r="AB874" s="1504"/>
      <c r="AC874" s="1504"/>
      <c r="AU874" s="14"/>
      <c r="AZ874" s="34"/>
      <c r="BA874" s="34"/>
      <c r="BB874" s="34"/>
      <c r="BC874" s="34"/>
    </row>
    <row r="875" spans="3:55" ht="13" customHeight="1">
      <c r="J875" s="45" t="s">
        <v>521</v>
      </c>
      <c r="K875" s="5"/>
      <c r="L875" s="5"/>
      <c r="M875" s="5"/>
      <c r="N875" s="5"/>
      <c r="O875" s="5"/>
      <c r="P875" s="5"/>
      <c r="Q875" s="5"/>
      <c r="R875" s="5"/>
      <c r="S875" s="5"/>
      <c r="T875" s="5"/>
      <c r="U875" s="5"/>
      <c r="V875" s="46"/>
      <c r="W875" s="1504">
        <v>4593</v>
      </c>
      <c r="X875" s="1504"/>
      <c r="Y875" s="1504"/>
      <c r="Z875" s="1504"/>
      <c r="AA875" s="1504"/>
      <c r="AB875" s="1504"/>
      <c r="AC875" s="1504"/>
      <c r="AU875" s="4"/>
      <c r="AZ875" s="34"/>
      <c r="BA875" s="34"/>
      <c r="BB875" s="34"/>
      <c r="BC875" s="34"/>
    </row>
    <row r="876" spans="3:55" ht="13" customHeight="1">
      <c r="J876" s="45" t="s">
        <v>520</v>
      </c>
      <c r="K876" s="5"/>
      <c r="L876" s="5"/>
      <c r="M876" s="5"/>
      <c r="N876" s="5"/>
      <c r="O876" s="5"/>
      <c r="P876" s="5"/>
      <c r="Q876" s="5"/>
      <c r="R876" s="5"/>
      <c r="S876" s="5"/>
      <c r="T876" s="5"/>
      <c r="U876" s="5"/>
      <c r="V876" s="46"/>
      <c r="W876" s="1504">
        <v>18227</v>
      </c>
      <c r="X876" s="1504"/>
      <c r="Y876" s="1504"/>
      <c r="Z876" s="1504"/>
      <c r="AA876" s="1504"/>
      <c r="AB876" s="1504"/>
      <c r="AC876" s="1504"/>
      <c r="AU876" s="4"/>
      <c r="AZ876" s="34"/>
      <c r="BA876" s="34"/>
      <c r="BB876" s="34"/>
      <c r="BC876" s="34"/>
    </row>
    <row r="877" spans="3:55" ht="13" customHeight="1">
      <c r="J877" s="45" t="s">
        <v>519</v>
      </c>
      <c r="K877" s="5"/>
      <c r="L877" s="5"/>
      <c r="M877" s="5"/>
      <c r="N877" s="5"/>
      <c r="O877" s="5"/>
      <c r="P877" s="5"/>
      <c r="Q877" s="5"/>
      <c r="R877" s="5"/>
      <c r="S877" s="5"/>
      <c r="T877" s="5"/>
      <c r="U877" s="5"/>
      <c r="V877" s="46"/>
      <c r="W877" s="1504"/>
      <c r="X877" s="1504"/>
      <c r="Y877" s="1504"/>
      <c r="Z877" s="1504"/>
      <c r="AA877" s="1504"/>
      <c r="AB877" s="1504"/>
      <c r="AC877" s="1504"/>
      <c r="AU877" s="4"/>
      <c r="AZ877" s="34"/>
      <c r="BA877" s="34"/>
      <c r="BB877" s="34"/>
      <c r="BC877" s="34"/>
    </row>
    <row r="878" spans="3:55" ht="13" customHeight="1">
      <c r="J878" s="45" t="s">
        <v>518</v>
      </c>
      <c r="K878" s="5"/>
      <c r="L878" s="5"/>
      <c r="M878" s="5"/>
      <c r="N878" s="5"/>
      <c r="O878" s="5"/>
      <c r="P878" s="5"/>
      <c r="Q878" s="5"/>
      <c r="R878" s="5"/>
      <c r="S878" s="5"/>
      <c r="T878" s="5"/>
      <c r="U878" s="5"/>
      <c r="V878" s="46"/>
      <c r="W878" s="1504"/>
      <c r="X878" s="1504"/>
      <c r="Y878" s="1504"/>
      <c r="Z878" s="1504"/>
      <c r="AA878" s="1504"/>
      <c r="AB878" s="1504"/>
      <c r="AC878" s="1504"/>
      <c r="AU878" s="4"/>
      <c r="AZ878" s="34"/>
      <c r="BA878" s="34"/>
      <c r="BB878" s="34"/>
      <c r="BC878" s="34"/>
    </row>
    <row r="879" spans="3:55" ht="13" customHeight="1">
      <c r="J879" s="45" t="s">
        <v>517</v>
      </c>
      <c r="K879" s="5"/>
      <c r="L879" s="5"/>
      <c r="M879" s="5"/>
      <c r="N879" s="5"/>
      <c r="O879" s="5"/>
      <c r="P879" s="5"/>
      <c r="Q879" s="5"/>
      <c r="R879" s="5"/>
      <c r="S879" s="5"/>
      <c r="T879" s="5"/>
      <c r="U879" s="5"/>
      <c r="V879" s="46"/>
      <c r="W879" s="1504"/>
      <c r="X879" s="1504"/>
      <c r="Y879" s="1504"/>
      <c r="Z879" s="1504"/>
      <c r="AA879" s="1504"/>
      <c r="AB879" s="1504"/>
      <c r="AC879" s="1504"/>
      <c r="AU879" s="4"/>
      <c r="AZ879" s="34"/>
      <c r="BA879" s="34"/>
      <c r="BB879" s="34"/>
      <c r="BC879" s="34"/>
    </row>
    <row r="880" spans="3:55" ht="13" customHeight="1">
      <c r="J880" s="45" t="s">
        <v>169</v>
      </c>
      <c r="K880" s="5"/>
      <c r="L880" s="5"/>
      <c r="M880" s="1657" t="s">
        <v>2747</v>
      </c>
      <c r="N880" s="1658"/>
      <c r="O880" s="1658"/>
      <c r="P880" s="1658"/>
      <c r="Q880" s="1658"/>
      <c r="R880" s="1658"/>
      <c r="S880" s="1658"/>
      <c r="T880" s="1658"/>
      <c r="U880" s="1658"/>
      <c r="V880" s="1659"/>
      <c r="W880" s="1504">
        <f>31451+116197</f>
        <v>147648</v>
      </c>
      <c r="X880" s="1504"/>
      <c r="Y880" s="1504"/>
      <c r="Z880" s="1504"/>
      <c r="AA880" s="1504"/>
      <c r="AB880" s="1504"/>
      <c r="AC880" s="1504"/>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274</v>
      </c>
      <c r="W881" s="1684">
        <f>SUM(W874:W880)</f>
        <v>170468</v>
      </c>
      <c r="X881" s="1684"/>
      <c r="Y881" s="1684"/>
      <c r="Z881" s="1684"/>
      <c r="AA881" s="1684"/>
      <c r="AB881" s="1684"/>
      <c r="AC881" s="1684"/>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1242</v>
      </c>
      <c r="J883" s="45" t="s">
        <v>169</v>
      </c>
      <c r="K883" s="5"/>
      <c r="L883" s="5"/>
      <c r="M883" s="1657" t="s">
        <v>2748</v>
      </c>
      <c r="N883" s="1658"/>
      <c r="O883" s="1658"/>
      <c r="P883" s="1658"/>
      <c r="Q883" s="1658"/>
      <c r="R883" s="1658"/>
      <c r="S883" s="1658"/>
      <c r="T883" s="1658"/>
      <c r="U883" s="1658"/>
      <c r="V883" s="1659"/>
      <c r="W883" s="1449">
        <v>4351</v>
      </c>
      <c r="X883" s="1450"/>
      <c r="Y883" s="1450"/>
      <c r="Z883" s="1450"/>
      <c r="AA883" s="1450"/>
      <c r="AB883" s="1450"/>
      <c r="AC883" s="1451"/>
      <c r="AD883" s="533"/>
      <c r="AV883" s="14"/>
      <c r="AW883" s="14"/>
      <c r="AX883" s="14"/>
      <c r="AY883" s="14"/>
      <c r="AZ883" s="34"/>
      <c r="BA883" s="34"/>
      <c r="BB883" s="34"/>
      <c r="BC883" s="34"/>
    </row>
    <row r="884" spans="3:55" ht="13" customHeight="1">
      <c r="C884" s="2" t="s">
        <v>1243</v>
      </c>
      <c r="J884" s="45" t="s">
        <v>169</v>
      </c>
      <c r="K884" s="5"/>
      <c r="L884" s="5"/>
      <c r="M884" s="1657" t="s">
        <v>333</v>
      </c>
      <c r="N884" s="1658"/>
      <c r="O884" s="1658"/>
      <c r="P884" s="1658"/>
      <c r="Q884" s="1658"/>
      <c r="R884" s="1658"/>
      <c r="S884" s="1658"/>
      <c r="T884" s="1658"/>
      <c r="U884" s="1658"/>
      <c r="V884" s="1659"/>
      <c r="W884" s="1449"/>
      <c r="X884" s="1450"/>
      <c r="Y884" s="1450"/>
      <c r="Z884" s="1450"/>
      <c r="AA884" s="1450"/>
      <c r="AB884" s="1450"/>
      <c r="AC884" s="1451"/>
      <c r="AD884" s="533"/>
      <c r="AV884" s="14"/>
      <c r="AW884" s="14"/>
      <c r="AX884" s="14"/>
      <c r="AY884" s="14"/>
      <c r="AZ884" s="34"/>
      <c r="BA884" s="34"/>
      <c r="BB884" s="34"/>
      <c r="BC884" s="34"/>
    </row>
    <row r="885" spans="3:55" ht="13" customHeight="1">
      <c r="J885" s="45" t="s">
        <v>169</v>
      </c>
      <c r="K885" s="5"/>
      <c r="L885" s="5"/>
      <c r="M885" s="1657" t="s">
        <v>333</v>
      </c>
      <c r="N885" s="1658"/>
      <c r="O885" s="1658"/>
      <c r="P885" s="1658"/>
      <c r="Q885" s="1658"/>
      <c r="R885" s="1658"/>
      <c r="S885" s="1658"/>
      <c r="T885" s="1658"/>
      <c r="U885" s="1658"/>
      <c r="V885" s="1659"/>
      <c r="W885" s="1449"/>
      <c r="X885" s="1450"/>
      <c r="Y885" s="1450"/>
      <c r="Z885" s="1450"/>
      <c r="AA885" s="1450"/>
      <c r="AB885" s="1450"/>
      <c r="AC885" s="1451"/>
      <c r="AL885" s="14"/>
      <c r="AM885" s="14"/>
      <c r="AN885" s="14"/>
      <c r="AO885" s="14"/>
      <c r="AP885" s="14"/>
      <c r="AQ885" s="14"/>
      <c r="AR885" s="14"/>
      <c r="AS885" s="14"/>
      <c r="AT885" s="14"/>
      <c r="AV885" s="4"/>
      <c r="AW885" s="4"/>
      <c r="AX885" s="4"/>
      <c r="AY885" s="4"/>
      <c r="AZ885" s="34"/>
      <c r="BA885" s="34"/>
      <c r="BB885" s="34"/>
      <c r="BC885" s="34"/>
    </row>
    <row r="886" spans="3:55" ht="13" customHeight="1">
      <c r="J886" s="45" t="s">
        <v>169</v>
      </c>
      <c r="K886" s="5"/>
      <c r="L886" s="5"/>
      <c r="M886" s="1657" t="s">
        <v>333</v>
      </c>
      <c r="N886" s="1658"/>
      <c r="O886" s="1658"/>
      <c r="P886" s="1658"/>
      <c r="Q886" s="1658"/>
      <c r="R886" s="1658"/>
      <c r="S886" s="1658"/>
      <c r="T886" s="1658"/>
      <c r="U886" s="1658"/>
      <c r="V886" s="1659"/>
      <c r="W886" s="1449"/>
      <c r="X886" s="1450"/>
      <c r="Y886" s="1450"/>
      <c r="Z886" s="1450"/>
      <c r="AA886" s="1450"/>
      <c r="AB886" s="1450"/>
      <c r="AC886" s="1451"/>
      <c r="AL886" s="14"/>
      <c r="AM886" s="14"/>
      <c r="AN886" s="14"/>
      <c r="AO886" s="14"/>
      <c r="AP886" s="14"/>
      <c r="AQ886" s="14"/>
      <c r="AR886" s="14"/>
      <c r="AS886" s="14"/>
      <c r="AT886" s="14"/>
      <c r="AV886" s="4"/>
      <c r="AW886" s="4"/>
      <c r="AX886" s="4"/>
      <c r="AY886" s="4"/>
      <c r="AZ886" s="34"/>
      <c r="BA886" s="34"/>
      <c r="BB886" s="34"/>
      <c r="BC886" s="34"/>
    </row>
    <row r="887" spans="3:55" ht="13" customHeight="1">
      <c r="J887" s="45" t="s">
        <v>169</v>
      </c>
      <c r="K887" s="5"/>
      <c r="L887" s="5"/>
      <c r="M887" s="1657" t="s">
        <v>333</v>
      </c>
      <c r="N887" s="1658"/>
      <c r="O887" s="1658"/>
      <c r="P887" s="1658"/>
      <c r="Q887" s="1658"/>
      <c r="R887" s="1658"/>
      <c r="S887" s="1658"/>
      <c r="T887" s="1658"/>
      <c r="U887" s="1658"/>
      <c r="V887" s="1659"/>
      <c r="W887" s="1449"/>
      <c r="X887" s="1450"/>
      <c r="Y887" s="1450"/>
      <c r="Z887" s="1450"/>
      <c r="AA887" s="1450"/>
      <c r="AB887" s="1450"/>
      <c r="AC887" s="1451"/>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275</v>
      </c>
      <c r="W888" s="1533">
        <f>SUM(W883:W887)</f>
        <v>4351</v>
      </c>
      <c r="X888" s="1534"/>
      <c r="Y888" s="1534"/>
      <c r="Z888" s="1534"/>
      <c r="AA888" s="1534"/>
      <c r="AB888" s="1534"/>
      <c r="AC888" s="1535"/>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534">
        <f>W855+W863+W870+W872+W881+W888+W857</f>
        <v>841832</v>
      </c>
      <c r="AD892" s="1534"/>
      <c r="AE892" s="1534"/>
      <c r="AF892" s="1534"/>
      <c r="AG892" s="1534"/>
      <c r="AH892" s="1535"/>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741">
        <f>O805+O785+G761</f>
        <v>61</v>
      </c>
      <c r="AD893" s="1741"/>
      <c r="AE893" s="1741"/>
      <c r="AF893" s="1741"/>
      <c r="AG893" s="1741"/>
      <c r="AH893" s="1742"/>
      <c r="AL893" s="4"/>
      <c r="AM893" s="4"/>
      <c r="AN893" s="4"/>
      <c r="AO893" s="4"/>
      <c r="AP893" s="4"/>
      <c r="AQ893" s="4"/>
      <c r="AR893" s="4"/>
      <c r="AS893" s="4"/>
      <c r="AT893" s="4"/>
      <c r="AZ893" s="34"/>
      <c r="BA893" s="34"/>
      <c r="BB893" s="34"/>
      <c r="BC893" s="34"/>
    </row>
    <row r="894" spans="3:55" ht="13" customHeight="1">
      <c r="C894" s="41"/>
      <c r="D894" s="42"/>
      <c r="E894" s="1738" t="s">
        <v>32</v>
      </c>
      <c r="F894" s="1738"/>
      <c r="G894" s="1738"/>
      <c r="H894" s="1738"/>
      <c r="I894" s="1738"/>
      <c r="J894" s="1738"/>
      <c r="K894" s="1738"/>
      <c r="L894" s="1738"/>
      <c r="M894" s="1738"/>
      <c r="N894" s="1738"/>
      <c r="O894" s="1738"/>
      <c r="P894" s="1738"/>
      <c r="Q894" s="1738"/>
      <c r="R894" s="1738"/>
      <c r="S894" s="1738"/>
      <c r="T894" s="1738"/>
      <c r="U894" s="1738"/>
      <c r="V894" s="1738"/>
      <c r="W894" s="1738"/>
      <c r="X894" s="1738"/>
      <c r="Y894" s="1738"/>
      <c r="Z894" s="1738"/>
      <c r="AA894" s="1738"/>
      <c r="AB894" s="1739"/>
      <c r="AC894" s="1684">
        <f>IF(ISERROR((ROUNDDOWN(AC892/AC893,0))),0,(ROUNDDOWN(AC892/AC893,0)))</f>
        <v>13800</v>
      </c>
      <c r="AD894" s="1684"/>
      <c r="AE894" s="1684"/>
      <c r="AF894" s="1684"/>
      <c r="AG894" s="1684"/>
      <c r="AH894" s="1684"/>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743">
        <f>SUM(AC896:AH904,AC892,AF635:AJ639)/12*3</f>
        <v>365438.75</v>
      </c>
      <c r="AD895" s="1744"/>
      <c r="AE895" s="1744"/>
      <c r="AF895" s="1744"/>
      <c r="AG895" s="1744"/>
      <c r="AH895" s="1744"/>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51"/>
      <c r="AD896" s="1504"/>
      <c r="AE896" s="1504"/>
      <c r="AF896" s="1504"/>
      <c r="AG896" s="1504"/>
      <c r="AH896" s="1504"/>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50">
        <v>80295</v>
      </c>
      <c r="AD897" s="1450"/>
      <c r="AE897" s="1450"/>
      <c r="AF897" s="1450"/>
      <c r="AG897" s="1450"/>
      <c r="AH897" s="1451"/>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0">
        <v>21350</v>
      </c>
      <c r="AD898" s="1450"/>
      <c r="AE898" s="1450"/>
      <c r="AF898" s="1450"/>
      <c r="AG898" s="1450"/>
      <c r="AH898" s="1451"/>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661"/>
      <c r="AD899" s="1662"/>
      <c r="AE899" s="1662"/>
      <c r="AF899" s="1662"/>
      <c r="AG899" s="1662"/>
      <c r="AH899" s="1663"/>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0">
        <v>16362</v>
      </c>
      <c r="AD900" s="1450"/>
      <c r="AE900" s="1450"/>
      <c r="AF900" s="1450"/>
      <c r="AG900" s="1450"/>
      <c r="AH900" s="1451"/>
      <c r="AZ900" s="34"/>
      <c r="BA900" s="34"/>
      <c r="BB900" s="34"/>
      <c r="BC900" s="34"/>
    </row>
    <row r="901" spans="1:58" ht="13" hidden="1" customHeight="1">
      <c r="C901" s="1528" t="s">
        <v>2186</v>
      </c>
      <c r="D901" s="1529"/>
      <c r="E901" s="1529"/>
      <c r="F901" s="1529"/>
      <c r="G901" s="1529"/>
      <c r="H901" s="1529"/>
      <c r="I901" s="1529"/>
      <c r="J901" s="1529"/>
      <c r="K901" s="1529"/>
      <c r="L901" s="1529"/>
      <c r="M901" s="1529"/>
      <c r="N901" s="1529"/>
      <c r="O901" s="1529"/>
      <c r="P901" s="1529"/>
      <c r="Q901" s="1529"/>
      <c r="R901" s="1529"/>
      <c r="S901" s="1529"/>
      <c r="T901" s="1529"/>
      <c r="U901" s="1529"/>
      <c r="V901" s="1529"/>
      <c r="W901" s="1529"/>
      <c r="X901" s="1529"/>
      <c r="Y901" s="1529"/>
      <c r="Z901" s="1529"/>
      <c r="AA901" s="1529"/>
      <c r="AB901" s="1530"/>
      <c r="AC901" s="1450"/>
      <c r="AD901" s="1450"/>
      <c r="AE901" s="1450"/>
      <c r="AF901" s="1450"/>
      <c r="AG901" s="1450"/>
      <c r="AH901" s="1451"/>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50"/>
      <c r="AD902" s="1450"/>
      <c r="AE902" s="1450"/>
      <c r="AF902" s="1450"/>
      <c r="AG902" s="1450"/>
      <c r="AH902" s="1451"/>
      <c r="AZ902" s="34"/>
      <c r="BA902" s="34"/>
      <c r="BB902" s="34"/>
      <c r="BC902" s="34"/>
    </row>
    <row r="903" spans="1:58" ht="13" customHeight="1">
      <c r="C903" s="1667" t="s">
        <v>2749</v>
      </c>
      <c r="D903" s="1668"/>
      <c r="E903" s="1668"/>
      <c r="F903" s="1668"/>
      <c r="G903" s="1668"/>
      <c r="H903" s="1668"/>
      <c r="I903" s="1668"/>
      <c r="J903" s="1668"/>
      <c r="K903" s="1668"/>
      <c r="L903" s="1668"/>
      <c r="M903" s="1668"/>
      <c r="N903" s="1668"/>
      <c r="O903" s="1668"/>
      <c r="P903" s="1668"/>
      <c r="Q903" s="1668"/>
      <c r="R903" s="1668"/>
      <c r="S903" s="1668"/>
      <c r="T903" s="1668"/>
      <c r="U903" s="1668"/>
      <c r="V903" s="1668"/>
      <c r="W903" s="1668"/>
      <c r="X903" s="1668"/>
      <c r="Y903" s="1668"/>
      <c r="Z903" s="1668"/>
      <c r="AA903" s="1668"/>
      <c r="AB903" s="1669"/>
      <c r="AC903" s="1504">
        <v>9450</v>
      </c>
      <c r="AD903" s="1504"/>
      <c r="AE903" s="1504"/>
      <c r="AF903" s="1504"/>
      <c r="AG903" s="1504"/>
      <c r="AH903" s="1504"/>
      <c r="AZ903" s="34"/>
      <c r="BA903" s="34"/>
      <c r="BB903" s="34"/>
      <c r="BC903" s="34"/>
    </row>
    <row r="904" spans="1:58" ht="13" customHeight="1">
      <c r="C904" s="1667" t="s">
        <v>955</v>
      </c>
      <c r="D904" s="1668"/>
      <c r="E904" s="1668"/>
      <c r="F904" s="1668"/>
      <c r="G904" s="1668"/>
      <c r="H904" s="1668"/>
      <c r="I904" s="1668"/>
      <c r="J904" s="1668"/>
      <c r="K904" s="1668"/>
      <c r="L904" s="1668"/>
      <c r="M904" s="1668"/>
      <c r="N904" s="1668"/>
      <c r="O904" s="1668"/>
      <c r="P904" s="1668"/>
      <c r="Q904" s="1668"/>
      <c r="R904" s="1668"/>
      <c r="S904" s="1668"/>
      <c r="T904" s="1668"/>
      <c r="U904" s="1668"/>
      <c r="V904" s="1668"/>
      <c r="W904" s="1668"/>
      <c r="X904" s="1668"/>
      <c r="Y904" s="1668"/>
      <c r="Z904" s="1668"/>
      <c r="AA904" s="1668"/>
      <c r="AB904" s="1669"/>
      <c r="AC904" s="1504"/>
      <c r="AD904" s="1504"/>
      <c r="AE904" s="1504"/>
      <c r="AF904" s="1504"/>
      <c r="AG904" s="1504"/>
      <c r="AH904" s="1504"/>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612</v>
      </c>
      <c r="C906" s="2" t="s">
        <v>236</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237</v>
      </c>
      <c r="I908" s="5"/>
      <c r="J908" s="5"/>
      <c r="K908" s="5"/>
      <c r="L908" s="5"/>
      <c r="M908" s="5"/>
      <c r="N908" s="5"/>
      <c r="O908" s="5"/>
      <c r="P908" s="5"/>
      <c r="Q908" s="5"/>
      <c r="R908" s="5"/>
      <c r="S908" s="5"/>
      <c r="T908" s="5"/>
      <c r="U908" s="5"/>
      <c r="V908" s="5"/>
      <c r="W908" s="5"/>
      <c r="X908" s="5"/>
      <c r="Y908" s="46"/>
      <c r="Z908" s="1449"/>
      <c r="AA908" s="1450"/>
      <c r="AB908" s="1450"/>
      <c r="AC908" s="1450"/>
      <c r="AD908" s="1450"/>
      <c r="AE908" s="1451"/>
      <c r="AF908" s="533"/>
      <c r="AZ908" s="34"/>
      <c r="BB908" s="30"/>
      <c r="BC908" s="812"/>
      <c r="BD908" s="1680"/>
      <c r="BE908" s="1680"/>
      <c r="BF908" s="14"/>
    </row>
    <row r="909" spans="1:58" ht="13" customHeight="1">
      <c r="H909" s="121" t="s">
        <v>238</v>
      </c>
      <c r="I909" s="5"/>
      <c r="J909" s="5"/>
      <c r="K909" s="5"/>
      <c r="L909" s="5"/>
      <c r="M909" s="5"/>
      <c r="N909" s="5"/>
      <c r="O909" s="5"/>
      <c r="P909" s="5"/>
      <c r="Q909" s="5"/>
      <c r="R909" s="5"/>
      <c r="S909" s="5"/>
      <c r="T909" s="5"/>
      <c r="U909" s="5"/>
      <c r="V909" s="5"/>
      <c r="W909" s="5"/>
      <c r="X909" s="5"/>
      <c r="Y909" s="5"/>
      <c r="Z909" s="1449"/>
      <c r="AA909" s="1450"/>
      <c r="AB909" s="1450"/>
      <c r="AC909" s="1450"/>
      <c r="AD909" s="1450"/>
      <c r="AE909" s="1451"/>
      <c r="AZ909" s="34"/>
      <c r="BB909" s="30"/>
      <c r="BC909" s="812"/>
      <c r="BD909" s="1680"/>
      <c r="BE909" s="1680"/>
      <c r="BF909" s="14"/>
    </row>
    <row r="910" spans="1:58" ht="13" customHeight="1">
      <c r="H910" s="121" t="s">
        <v>239</v>
      </c>
      <c r="I910" s="5"/>
      <c r="J910" s="5"/>
      <c r="K910" s="5"/>
      <c r="L910" s="5"/>
      <c r="M910" s="5"/>
      <c r="N910" s="5"/>
      <c r="O910" s="5"/>
      <c r="P910" s="5"/>
      <c r="Q910" s="5"/>
      <c r="R910" s="5"/>
      <c r="S910" s="5"/>
      <c r="T910" s="5"/>
      <c r="U910" s="5"/>
      <c r="V910" s="5"/>
      <c r="W910" s="5"/>
      <c r="X910" s="5"/>
      <c r="Y910" s="5"/>
      <c r="Z910" s="1449"/>
      <c r="AA910" s="1450"/>
      <c r="AB910" s="1450"/>
      <c r="AC910" s="1450"/>
      <c r="AD910" s="1450"/>
      <c r="AE910" s="1451"/>
      <c r="AZ910" s="34"/>
      <c r="BB910" s="30"/>
      <c r="BC910" s="812"/>
      <c r="BD910" s="1679"/>
      <c r="BE910" s="1679"/>
      <c r="BF910" s="14"/>
    </row>
    <row r="911" spans="1:58" ht="13" customHeight="1">
      <c r="H911" s="45"/>
      <c r="I911" s="5"/>
      <c r="J911" s="5"/>
      <c r="K911" s="5"/>
      <c r="L911" s="5"/>
      <c r="M911" s="5"/>
      <c r="N911" s="5"/>
      <c r="O911" s="5"/>
      <c r="P911" s="5"/>
      <c r="Q911" s="5"/>
      <c r="R911" s="5"/>
      <c r="S911" s="5"/>
      <c r="T911" s="5"/>
      <c r="U911" s="5"/>
      <c r="V911" s="5"/>
      <c r="W911" s="5"/>
      <c r="X911" s="5"/>
      <c r="Y911" s="181" t="s">
        <v>240</v>
      </c>
      <c r="Z911" s="1533">
        <f>Z908-(Z909+Z910)</f>
        <v>0</v>
      </c>
      <c r="AA911" s="1534"/>
      <c r="AB911" s="1534"/>
      <c r="AC911" s="1534"/>
      <c r="AD911" s="1534"/>
      <c r="AE911" s="1535"/>
      <c r="AZ911" s="34"/>
      <c r="BB911" s="30"/>
      <c r="BC911" s="812"/>
      <c r="BD911" s="1679"/>
      <c r="BE911" s="1679"/>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9"/>
      <c r="BE912" s="1679"/>
      <c r="BF912" s="14"/>
    </row>
    <row r="913" spans="1:58" ht="13"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80"/>
      <c r="BE913" s="1679"/>
      <c r="BF913" s="14"/>
    </row>
    <row r="914" spans="1:58" ht="13"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7"/>
      <c r="BE914" s="1737"/>
      <c r="BF914" s="1737"/>
    </row>
    <row r="915" spans="1:58" ht="13"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3"/>
      <c r="BE915" s="1693"/>
      <c r="BF915" s="1693"/>
    </row>
    <row r="916" spans="1:58" ht="13"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9"/>
      <c r="BE916" s="1679"/>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80"/>
      <c r="BE917" s="1679"/>
      <c r="BF917" s="14"/>
    </row>
    <row r="918" spans="1:58" ht="13" customHeight="1">
      <c r="AZ918" s="34"/>
      <c r="BB918" s="30"/>
      <c r="BC918" s="812"/>
    </row>
    <row r="919" spans="1:58" ht="13" customHeight="1">
      <c r="A919" s="1516" t="s">
        <v>96</v>
      </c>
      <c r="B919" s="1516"/>
      <c r="C919" s="1516"/>
      <c r="D919" s="1516"/>
      <c r="E919" s="1516"/>
      <c r="F919" s="1516"/>
      <c r="G919" s="1516"/>
      <c r="H919" s="1516"/>
      <c r="I919" s="1516"/>
      <c r="J919" s="1516"/>
      <c r="K919" s="1516"/>
      <c r="L919" s="1516"/>
      <c r="M919" s="1516"/>
      <c r="N919" s="1516"/>
      <c r="O919" s="1516"/>
      <c r="P919" s="1516"/>
      <c r="Q919" s="1516"/>
      <c r="R919" s="1516"/>
      <c r="S919" s="1516"/>
      <c r="T919" s="1516"/>
      <c r="U919" s="1516"/>
      <c r="V919" s="1516"/>
      <c r="W919" s="1516"/>
      <c r="X919" s="1516"/>
      <c r="Y919" s="1516"/>
      <c r="Z919" s="1516"/>
      <c r="AA919" s="1516"/>
      <c r="AB919" s="1516"/>
      <c r="AC919" s="1516"/>
      <c r="AD919" s="1516"/>
      <c r="AE919" s="1516"/>
      <c r="AF919" s="1516"/>
      <c r="AG919" s="1516"/>
      <c r="AH919" s="1516"/>
      <c r="AI919" s="1516"/>
      <c r="AJ919" s="1516"/>
      <c r="AK919" s="1516"/>
      <c r="AL919" s="1516"/>
      <c r="AM919" s="1516"/>
      <c r="AN919" s="1516"/>
      <c r="AO919" s="1516"/>
      <c r="AP919" s="1516"/>
      <c r="AQ919" s="1516"/>
      <c r="AR919" s="1516"/>
      <c r="AS919" s="1516"/>
      <c r="AT919" s="1516"/>
      <c r="AZ919" s="34"/>
      <c r="BA919" s="34"/>
      <c r="BB919" s="30"/>
      <c r="BC919" s="30"/>
      <c r="BD919" s="1680"/>
      <c r="BE919" s="1679"/>
      <c r="BF919" s="907"/>
    </row>
    <row r="920" spans="1:58" ht="13" customHeight="1">
      <c r="A920" s="1516"/>
      <c r="B920" s="1516"/>
      <c r="C920" s="1516"/>
      <c r="D920" s="1516"/>
      <c r="E920" s="1516"/>
      <c r="F920" s="1516"/>
      <c r="G920" s="1516"/>
      <c r="H920" s="1516"/>
      <c r="I920" s="1516"/>
      <c r="J920" s="1516"/>
      <c r="K920" s="1516"/>
      <c r="L920" s="1516"/>
      <c r="M920" s="1516"/>
      <c r="N920" s="1516"/>
      <c r="O920" s="1516"/>
      <c r="P920" s="1516"/>
      <c r="Q920" s="1516"/>
      <c r="R920" s="1516"/>
      <c r="S920" s="1516"/>
      <c r="T920" s="1516"/>
      <c r="U920" s="1516"/>
      <c r="V920" s="1516"/>
      <c r="W920" s="1516"/>
      <c r="X920" s="1516"/>
      <c r="Y920" s="1516"/>
      <c r="Z920" s="1516"/>
      <c r="AA920" s="1516"/>
      <c r="AB920" s="1516"/>
      <c r="AC920" s="1516"/>
      <c r="AD920" s="1516"/>
      <c r="AE920" s="1516"/>
      <c r="AF920" s="1516"/>
      <c r="AG920" s="1516"/>
      <c r="AH920" s="1516"/>
      <c r="AI920" s="1516"/>
      <c r="AJ920" s="1516"/>
      <c r="AK920" s="1516"/>
      <c r="AL920" s="1516"/>
      <c r="AM920" s="1516"/>
      <c r="AN920" s="1516"/>
      <c r="AO920" s="1516"/>
      <c r="AP920" s="1516"/>
      <c r="AQ920" s="1516"/>
      <c r="AR920" s="1516"/>
      <c r="AS920" s="1516"/>
      <c r="AT920" s="1516"/>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85" t="s">
        <v>791</v>
      </c>
      <c r="G924" s="1686"/>
      <c r="H924" s="1686"/>
      <c r="I924" s="1686"/>
      <c r="J924" s="1686"/>
      <c r="K924" s="1686"/>
      <c r="L924" s="1686"/>
      <c r="M924" s="1686"/>
      <c r="N924" s="1686"/>
      <c r="O924" s="1686"/>
      <c r="P924" s="1686"/>
      <c r="Q924" s="1686"/>
      <c r="R924" s="1686"/>
      <c r="S924" s="1686"/>
      <c r="T924" s="1687"/>
      <c r="U924" s="1613" t="s">
        <v>31</v>
      </c>
      <c r="V924" s="1614"/>
      <c r="W924" s="1614"/>
      <c r="X924" s="1614"/>
      <c r="Y924" s="1614"/>
      <c r="Z924" s="1614"/>
      <c r="AA924" s="43"/>
      <c r="AB924" s="105"/>
      <c r="AC924" s="105"/>
      <c r="AD924" s="105"/>
      <c r="AE924" s="105"/>
      <c r="AF924" s="106"/>
      <c r="AZ924" s="34"/>
      <c r="BA924" s="34"/>
      <c r="BB924" s="34"/>
      <c r="BC924" s="34"/>
    </row>
    <row r="925" spans="1:58" ht="13" customHeight="1">
      <c r="B925" s="2"/>
      <c r="F925" s="1615" t="s">
        <v>817</v>
      </c>
      <c r="G925" s="1616"/>
      <c r="H925" s="1616"/>
      <c r="I925" s="1616"/>
      <c r="J925" s="1616"/>
      <c r="K925" s="1616"/>
      <c r="L925" s="1616"/>
      <c r="M925" s="1616"/>
      <c r="N925" s="1616"/>
      <c r="O925" s="1616"/>
      <c r="P925" s="1616"/>
      <c r="Q925" s="1616"/>
      <c r="R925" s="1616"/>
      <c r="S925" s="1616"/>
      <c r="T925" s="1649"/>
      <c r="U925" s="1615"/>
      <c r="V925" s="1616"/>
      <c r="W925" s="1616"/>
      <c r="X925" s="1616"/>
      <c r="Y925" s="1616"/>
      <c r="Z925" s="1616"/>
      <c r="AA925" s="44"/>
      <c r="AB925" s="4"/>
      <c r="AC925" s="4"/>
      <c r="AD925" s="4"/>
      <c r="AE925" s="4"/>
      <c r="AF925" s="107"/>
      <c r="AZ925" s="34"/>
      <c r="BA925" s="34"/>
      <c r="BB925" s="34"/>
      <c r="BC925" s="34"/>
    </row>
    <row r="926" spans="1:58" ht="13" customHeight="1">
      <c r="B926" s="2"/>
      <c r="F926" s="1617"/>
      <c r="G926" s="1618"/>
      <c r="H926" s="1618"/>
      <c r="I926" s="1618"/>
      <c r="J926" s="1618"/>
      <c r="K926" s="1618"/>
      <c r="L926" s="1618"/>
      <c r="M926" s="1618"/>
      <c r="N926" s="1618"/>
      <c r="O926" s="1618"/>
      <c r="P926" s="1618"/>
      <c r="Q926" s="1618"/>
      <c r="R926" s="1618"/>
      <c r="S926" s="1618"/>
      <c r="T926" s="1650"/>
      <c r="U926" s="1617"/>
      <c r="V926" s="1618"/>
      <c r="W926" s="1618"/>
      <c r="X926" s="1618"/>
      <c r="Y926" s="1618"/>
      <c r="Z926" s="1618"/>
      <c r="AA926" s="108"/>
      <c r="AB926" s="1677" t="s">
        <v>390</v>
      </c>
      <c r="AC926" s="1677"/>
      <c r="AD926" s="1677"/>
      <c r="AE926" s="1677"/>
      <c r="AF926" s="109"/>
      <c r="AZ926" s="34"/>
      <c r="BA926" s="34"/>
      <c r="BB926" s="34"/>
      <c r="BC926" s="34"/>
    </row>
    <row r="927" spans="1:58" ht="13" customHeight="1">
      <c r="B927" s="2"/>
      <c r="F927" s="45" t="s">
        <v>757</v>
      </c>
      <c r="G927" s="48"/>
      <c r="H927" s="48"/>
      <c r="I927" s="48"/>
      <c r="J927" s="48"/>
      <c r="K927" s="48"/>
      <c r="L927" s="48"/>
      <c r="M927" s="48"/>
      <c r="N927" s="48"/>
      <c r="O927" s="48"/>
      <c r="P927" s="48"/>
      <c r="Q927" s="48"/>
      <c r="R927" s="48"/>
      <c r="S927" s="48"/>
      <c r="T927" s="49"/>
      <c r="U927" s="1375" t="s">
        <v>544</v>
      </c>
      <c r="V927" s="1376"/>
      <c r="W927" s="1376"/>
      <c r="X927" s="1376"/>
      <c r="Y927" s="1376"/>
      <c r="Z927" s="1377"/>
      <c r="AA927" s="1420">
        <f>AM562</f>
        <v>8942000</v>
      </c>
      <c r="AB927" s="1421"/>
      <c r="AC927" s="1421"/>
      <c r="AD927" s="1421"/>
      <c r="AE927" s="1421"/>
      <c r="AF927" s="1422"/>
      <c r="AG927" s="1191" t="str">
        <f>IF(NOT(AA927=AW927),"!","")</f>
        <v/>
      </c>
      <c r="AH927" s="3"/>
      <c r="AW927" s="1341">
        <f>SUMIF($M$562:$M$573,"Loan, Tax-Exempt",$AM$562:$AM$573)</f>
        <v>8942000</v>
      </c>
      <c r="AX927" s="1341"/>
      <c r="AY927" s="1341"/>
      <c r="AZ927" s="3" t="s">
        <v>2537</v>
      </c>
      <c r="BA927" s="34"/>
      <c r="BB927" s="34"/>
      <c r="BC927" s="34"/>
    </row>
    <row r="928" spans="1:58" ht="13" customHeight="1">
      <c r="B928" s="2"/>
      <c r="F928" s="66" t="s">
        <v>674</v>
      </c>
      <c r="G928" s="48"/>
      <c r="H928" s="48"/>
      <c r="I928" s="48"/>
      <c r="J928" s="48"/>
      <c r="K928" s="48"/>
      <c r="L928" s="48"/>
      <c r="M928" s="48"/>
      <c r="N928" s="48"/>
      <c r="O928" s="48"/>
      <c r="P928" s="48"/>
      <c r="Q928" s="48"/>
      <c r="R928" s="48"/>
      <c r="S928" s="48"/>
      <c r="T928" s="49"/>
      <c r="U928" s="1375" t="s">
        <v>544</v>
      </c>
      <c r="V928" s="1376"/>
      <c r="W928" s="1376"/>
      <c r="X928" s="1376"/>
      <c r="Y928" s="1376"/>
      <c r="Z928" s="1377"/>
      <c r="AA928" s="1420">
        <f>AM563</f>
        <v>5926752</v>
      </c>
      <c r="AB928" s="1421"/>
      <c r="AC928" s="1421"/>
      <c r="AD928" s="1421"/>
      <c r="AE928" s="1421"/>
      <c r="AF928" s="1422"/>
      <c r="AZ928" s="34"/>
      <c r="BA928" s="34"/>
      <c r="BB928" s="34"/>
      <c r="BC928" s="34"/>
    </row>
    <row r="929" spans="6:55" ht="13" customHeight="1">
      <c r="F929" s="45" t="s">
        <v>800</v>
      </c>
      <c r="G929" s="5"/>
      <c r="H929" s="5"/>
      <c r="I929" s="5"/>
      <c r="J929" s="5"/>
      <c r="K929" s="5"/>
      <c r="L929" s="5"/>
      <c r="M929" s="5"/>
      <c r="N929" s="5"/>
      <c r="O929" s="5"/>
      <c r="P929" s="5"/>
      <c r="Q929" s="5"/>
      <c r="R929" s="5"/>
      <c r="S929" s="5"/>
      <c r="T929" s="46"/>
      <c r="U929" s="1375" t="s">
        <v>590</v>
      </c>
      <c r="V929" s="1376"/>
      <c r="W929" s="1376"/>
      <c r="X929" s="1376"/>
      <c r="Y929" s="1376"/>
      <c r="Z929" s="1377"/>
      <c r="AA929" s="1420"/>
      <c r="AB929" s="1421"/>
      <c r="AC929" s="1421"/>
      <c r="AD929" s="1421"/>
      <c r="AE929" s="1421"/>
      <c r="AF929" s="1422"/>
      <c r="AZ929" s="34"/>
      <c r="BA929" s="34"/>
      <c r="BB929" s="34"/>
      <c r="BC929" s="34"/>
    </row>
    <row r="930" spans="6:55" ht="13" customHeight="1">
      <c r="F930" s="45" t="s">
        <v>677</v>
      </c>
      <c r="G930" s="5"/>
      <c r="H930" s="5"/>
      <c r="I930" s="5"/>
      <c r="J930" s="5"/>
      <c r="K930" s="5"/>
      <c r="L930" s="5"/>
      <c r="M930" s="5"/>
      <c r="N930" s="5"/>
      <c r="O930" s="5"/>
      <c r="P930" s="5"/>
      <c r="Q930" s="5"/>
      <c r="R930" s="5"/>
      <c r="S930" s="5"/>
      <c r="T930" s="46"/>
      <c r="U930" s="1375" t="s">
        <v>590</v>
      </c>
      <c r="V930" s="1376"/>
      <c r="W930" s="1376"/>
      <c r="X930" s="1376"/>
      <c r="Y930" s="1376"/>
      <c r="Z930" s="1377"/>
      <c r="AA930" s="1420"/>
      <c r="AB930" s="1421"/>
      <c r="AC930" s="1421"/>
      <c r="AD930" s="1421"/>
      <c r="AE930" s="1421"/>
      <c r="AF930" s="1422"/>
      <c r="AZ930" s="34"/>
      <c r="BA930" s="34"/>
      <c r="BB930" s="34"/>
      <c r="BC930" s="34"/>
    </row>
    <row r="931" spans="6:55" ht="13" customHeight="1">
      <c r="F931" s="66" t="s">
        <v>785</v>
      </c>
      <c r="G931" s="5"/>
      <c r="H931" s="5"/>
      <c r="I931" s="5"/>
      <c r="J931" s="5"/>
      <c r="K931" s="5"/>
      <c r="L931" s="5"/>
      <c r="M931" s="5"/>
      <c r="N931" s="5"/>
      <c r="O931" s="5"/>
      <c r="P931" s="5"/>
      <c r="Q931" s="5"/>
      <c r="R931" s="5"/>
      <c r="S931" s="5"/>
      <c r="T931" s="46"/>
      <c r="U931" s="1375" t="s">
        <v>590</v>
      </c>
      <c r="V931" s="1376"/>
      <c r="W931" s="1376"/>
      <c r="X931" s="1376"/>
      <c r="Y931" s="1376"/>
      <c r="Z931" s="1377"/>
      <c r="AA931" s="1420"/>
      <c r="AB931" s="1421"/>
      <c r="AC931" s="1421"/>
      <c r="AD931" s="1421"/>
      <c r="AE931" s="1421"/>
      <c r="AF931" s="1422"/>
      <c r="AZ931" s="34"/>
      <c r="BA931" s="34"/>
      <c r="BB931" s="34"/>
      <c r="BC931" s="34"/>
    </row>
    <row r="932" spans="6:55" ht="13" customHeight="1">
      <c r="F932" s="66" t="s">
        <v>786</v>
      </c>
      <c r="G932" s="5"/>
      <c r="H932" s="5"/>
      <c r="I932" s="5"/>
      <c r="J932" s="5"/>
      <c r="K932" s="5"/>
      <c r="L932" s="5"/>
      <c r="M932" s="5"/>
      <c r="N932" s="5"/>
      <c r="O932" s="5"/>
      <c r="P932" s="5"/>
      <c r="Q932" s="5"/>
      <c r="R932" s="5"/>
      <c r="S932" s="5"/>
      <c r="T932" s="46"/>
      <c r="U932" s="1375" t="s">
        <v>590</v>
      </c>
      <c r="V932" s="1376"/>
      <c r="W932" s="1376"/>
      <c r="X932" s="1376"/>
      <c r="Y932" s="1376"/>
      <c r="Z932" s="1377"/>
      <c r="AA932" s="1420"/>
      <c r="AB932" s="1421"/>
      <c r="AC932" s="1421"/>
      <c r="AD932" s="1421"/>
      <c r="AE932" s="1421"/>
      <c r="AF932" s="1422"/>
      <c r="AZ932" s="34"/>
      <c r="BA932" s="34"/>
      <c r="BB932" s="34"/>
      <c r="BC932" s="34"/>
    </row>
    <row r="933" spans="6:55" ht="13" customHeight="1">
      <c r="F933" s="66" t="s">
        <v>787</v>
      </c>
      <c r="G933" s="5"/>
      <c r="H933" s="5"/>
      <c r="I933" s="5"/>
      <c r="J933" s="5"/>
      <c r="K933" s="5"/>
      <c r="L933" s="5"/>
      <c r="M933" s="5"/>
      <c r="N933" s="5"/>
      <c r="O933" s="5"/>
      <c r="P933" s="5"/>
      <c r="Q933" s="5"/>
      <c r="R933" s="5"/>
      <c r="S933" s="5"/>
      <c r="T933" s="46"/>
      <c r="U933" s="1375" t="s">
        <v>590</v>
      </c>
      <c r="V933" s="1376"/>
      <c r="W933" s="1376"/>
      <c r="X933" s="1376"/>
      <c r="Y933" s="1376"/>
      <c r="Z933" s="1377"/>
      <c r="AA933" s="1420"/>
      <c r="AB933" s="1421"/>
      <c r="AC933" s="1421"/>
      <c r="AD933" s="1421"/>
      <c r="AE933" s="1421"/>
      <c r="AF933" s="1422"/>
      <c r="AZ933" s="34"/>
      <c r="BA933" s="34"/>
      <c r="BB933" s="34"/>
      <c r="BC933" s="34"/>
    </row>
    <row r="934" spans="6:55" ht="13" customHeight="1">
      <c r="F934" s="45" t="s">
        <v>676</v>
      </c>
      <c r="G934" s="5"/>
      <c r="H934" s="5"/>
      <c r="I934" s="5"/>
      <c r="J934" s="5"/>
      <c r="K934" s="5"/>
      <c r="L934" s="5"/>
      <c r="M934" s="5"/>
      <c r="N934" s="5"/>
      <c r="O934" s="5"/>
      <c r="P934" s="5"/>
      <c r="Q934" s="5"/>
      <c r="R934" s="5"/>
      <c r="S934" s="5"/>
      <c r="T934" s="46"/>
      <c r="U934" s="1375" t="s">
        <v>590</v>
      </c>
      <c r="V934" s="1376"/>
      <c r="W934" s="1376"/>
      <c r="X934" s="1376"/>
      <c r="Y934" s="1376"/>
      <c r="Z934" s="1377"/>
      <c r="AA934" s="1420"/>
      <c r="AB934" s="1421"/>
      <c r="AC934" s="1421"/>
      <c r="AD934" s="1421"/>
      <c r="AE934" s="1421"/>
      <c r="AF934" s="1422"/>
      <c r="AZ934" s="34"/>
      <c r="BA934" s="34"/>
      <c r="BB934" s="34"/>
      <c r="BC934" s="34"/>
    </row>
    <row r="935" spans="6:55" ht="13" customHeight="1">
      <c r="F935" s="1651" t="s">
        <v>2146</v>
      </c>
      <c r="G935" s="1652"/>
      <c r="H935" s="1652"/>
      <c r="I935" s="1652"/>
      <c r="J935" s="1652"/>
      <c r="K935" s="1652"/>
      <c r="L935" s="1652"/>
      <c r="M935" s="1652"/>
      <c r="N935" s="1652"/>
      <c r="O935" s="1652"/>
      <c r="P935" s="1652"/>
      <c r="Q935" s="1652"/>
      <c r="R935" s="1652"/>
      <c r="S935" s="1652"/>
      <c r="T935" s="1653"/>
      <c r="U935" s="1375" t="s">
        <v>590</v>
      </c>
      <c r="V935" s="1376"/>
      <c r="W935" s="1376"/>
      <c r="X935" s="1376"/>
      <c r="Y935" s="1376"/>
      <c r="Z935" s="1377"/>
      <c r="AA935" s="1420"/>
      <c r="AB935" s="1421"/>
      <c r="AC935" s="1421"/>
      <c r="AD935" s="1421"/>
      <c r="AE935" s="1421"/>
      <c r="AF935" s="1422"/>
      <c r="AZ935" s="34"/>
      <c r="BA935" s="34"/>
      <c r="BB935" s="34"/>
      <c r="BC935" s="34"/>
    </row>
    <row r="936" spans="6:55" ht="13" customHeight="1">
      <c r="F936" s="1651" t="s">
        <v>678</v>
      </c>
      <c r="G936" s="1652"/>
      <c r="H936" s="1652"/>
      <c r="I936" s="1652"/>
      <c r="J936" s="1652"/>
      <c r="K936" s="1652"/>
      <c r="L936" s="1652"/>
      <c r="M936" s="1652"/>
      <c r="N936" s="1652"/>
      <c r="O936" s="1652"/>
      <c r="P936" s="1652"/>
      <c r="Q936" s="1652"/>
      <c r="R936" s="1652"/>
      <c r="S936" s="1652"/>
      <c r="T936" s="1653"/>
      <c r="U936" s="1375" t="s">
        <v>590</v>
      </c>
      <c r="V936" s="1376"/>
      <c r="W936" s="1376"/>
      <c r="X936" s="1376"/>
      <c r="Y936" s="1376"/>
      <c r="Z936" s="1377"/>
      <c r="AA936" s="1420"/>
      <c r="AB936" s="1421"/>
      <c r="AC936" s="1421"/>
      <c r="AD936" s="1421"/>
      <c r="AE936" s="1421"/>
      <c r="AF936" s="1422"/>
      <c r="AU936" s="2"/>
      <c r="AZ936" s="34"/>
      <c r="BA936" s="34"/>
      <c r="BB936" s="34"/>
      <c r="BC936" s="34"/>
    </row>
    <row r="937" spans="6:55" ht="13" customHeight="1">
      <c r="F937" s="1651" t="s">
        <v>2147</v>
      </c>
      <c r="G937" s="1652"/>
      <c r="H937" s="1652"/>
      <c r="I937" s="1652"/>
      <c r="J937" s="1652"/>
      <c r="K937" s="1652"/>
      <c r="L937" s="1652"/>
      <c r="M937" s="1652"/>
      <c r="N937" s="1652"/>
      <c r="O937" s="1652"/>
      <c r="P937" s="1652"/>
      <c r="Q937" s="1652"/>
      <c r="R937" s="1652"/>
      <c r="S937" s="1652"/>
      <c r="T937" s="1653"/>
      <c r="U937" s="1375" t="s">
        <v>590</v>
      </c>
      <c r="V937" s="1376"/>
      <c r="W937" s="1376"/>
      <c r="X937" s="1376"/>
      <c r="Y937" s="1376"/>
      <c r="Z937" s="1377"/>
      <c r="AA937" s="1420"/>
      <c r="AB937" s="1421"/>
      <c r="AC937" s="1421"/>
      <c r="AD937" s="1421"/>
      <c r="AE937" s="1421"/>
      <c r="AF937" s="1422"/>
      <c r="AU937" s="2"/>
      <c r="AZ937" s="34"/>
      <c r="BA937" s="34"/>
      <c r="BB937" s="34"/>
      <c r="BC937" s="34"/>
    </row>
    <row r="938" spans="6:55" ht="13" customHeight="1">
      <c r="F938" s="1651" t="s">
        <v>2148</v>
      </c>
      <c r="G938" s="1652"/>
      <c r="H938" s="1652"/>
      <c r="I938" s="1652"/>
      <c r="J938" s="1652"/>
      <c r="K938" s="1652"/>
      <c r="L938" s="1652"/>
      <c r="M938" s="1652"/>
      <c r="N938" s="1652"/>
      <c r="O938" s="1652"/>
      <c r="P938" s="1652"/>
      <c r="Q938" s="1652"/>
      <c r="R938" s="1652"/>
      <c r="S938" s="1652"/>
      <c r="T938" s="1653"/>
      <c r="U938" s="1375" t="s">
        <v>590</v>
      </c>
      <c r="V938" s="1376"/>
      <c r="W938" s="1376"/>
      <c r="X938" s="1376"/>
      <c r="Y938" s="1376"/>
      <c r="Z938" s="1377"/>
      <c r="AA938" s="1420"/>
      <c r="AB938" s="1421"/>
      <c r="AC938" s="1421"/>
      <c r="AD938" s="1421"/>
      <c r="AE938" s="1421"/>
      <c r="AF938" s="1422"/>
      <c r="AU938" s="2"/>
      <c r="AZ938" s="34"/>
      <c r="BA938" s="34"/>
      <c r="BB938" s="34"/>
      <c r="BC938" s="34"/>
    </row>
    <row r="939" spans="6:55" ht="13" customHeight="1">
      <c r="F939" s="1651" t="s">
        <v>2149</v>
      </c>
      <c r="G939" s="1652"/>
      <c r="H939" s="1652"/>
      <c r="I939" s="1652"/>
      <c r="J939" s="1652"/>
      <c r="K939" s="1652"/>
      <c r="L939" s="1652"/>
      <c r="M939" s="1652"/>
      <c r="N939" s="1652"/>
      <c r="O939" s="1652"/>
      <c r="P939" s="1652"/>
      <c r="Q939" s="1652"/>
      <c r="R939" s="1652"/>
      <c r="S939" s="1652"/>
      <c r="T939" s="1653"/>
      <c r="U939" s="1375" t="s">
        <v>590</v>
      </c>
      <c r="V939" s="1376"/>
      <c r="W939" s="1376"/>
      <c r="X939" s="1376"/>
      <c r="Y939" s="1376"/>
      <c r="Z939" s="1377"/>
      <c r="AA939" s="1420"/>
      <c r="AB939" s="1421"/>
      <c r="AC939" s="1421"/>
      <c r="AD939" s="1421"/>
      <c r="AE939" s="1421"/>
      <c r="AF939" s="1422"/>
      <c r="AU939" s="2"/>
      <c r="AZ939" s="34"/>
      <c r="BA939" s="34"/>
      <c r="BB939" s="34"/>
      <c r="BC939" s="34"/>
    </row>
    <row r="940" spans="6:55" ht="13" customHeight="1">
      <c r="F940" s="1651" t="s">
        <v>2150</v>
      </c>
      <c r="G940" s="1652"/>
      <c r="H940" s="1652"/>
      <c r="I940" s="1652"/>
      <c r="J940" s="1652"/>
      <c r="K940" s="1652"/>
      <c r="L940" s="1652"/>
      <c r="M940" s="1652"/>
      <c r="N940" s="1652"/>
      <c r="O940" s="1652"/>
      <c r="P940" s="1652"/>
      <c r="Q940" s="1652"/>
      <c r="R940" s="1652"/>
      <c r="S940" s="1652"/>
      <c r="T940" s="1653"/>
      <c r="U940" s="1375" t="s">
        <v>590</v>
      </c>
      <c r="V940" s="1376"/>
      <c r="W940" s="1376"/>
      <c r="X940" s="1376"/>
      <c r="Y940" s="1376"/>
      <c r="Z940" s="1377"/>
      <c r="AA940" s="1420"/>
      <c r="AB940" s="1421"/>
      <c r="AC940" s="1421"/>
      <c r="AD940" s="1421"/>
      <c r="AE940" s="1421"/>
      <c r="AF940" s="1422"/>
      <c r="AU940" s="2"/>
      <c r="AZ940" s="34"/>
      <c r="BA940" s="34"/>
      <c r="BB940" s="34"/>
      <c r="BC940" s="34"/>
    </row>
    <row r="941" spans="6:55" ht="13" customHeight="1">
      <c r="F941" s="1651" t="s">
        <v>2151</v>
      </c>
      <c r="G941" s="1652"/>
      <c r="H941" s="1652"/>
      <c r="I941" s="1652"/>
      <c r="J941" s="1652"/>
      <c r="K941" s="1652"/>
      <c r="L941" s="1652"/>
      <c r="M941" s="1652"/>
      <c r="N941" s="1652"/>
      <c r="O941" s="1652"/>
      <c r="P941" s="1652"/>
      <c r="Q941" s="1652"/>
      <c r="R941" s="1652"/>
      <c r="S941" s="1652"/>
      <c r="T941" s="1653"/>
      <c r="U941" s="1375" t="s">
        <v>590</v>
      </c>
      <c r="V941" s="1376"/>
      <c r="W941" s="1376"/>
      <c r="X941" s="1376"/>
      <c r="Y941" s="1376"/>
      <c r="Z941" s="1377"/>
      <c r="AA941" s="1420"/>
      <c r="AB941" s="1421"/>
      <c r="AC941" s="1421"/>
      <c r="AD941" s="1421"/>
      <c r="AE941" s="1421"/>
      <c r="AF941" s="1422"/>
      <c r="AZ941" s="30"/>
      <c r="BA941" s="30"/>
    </row>
    <row r="942" spans="6:55" ht="13" customHeight="1">
      <c r="F942" s="178" t="s">
        <v>675</v>
      </c>
      <c r="G942" s="5"/>
      <c r="H942" s="5"/>
      <c r="I942" s="5"/>
      <c r="J942" s="5"/>
      <c r="K942" s="5"/>
      <c r="L942" s="5"/>
      <c r="M942" s="5"/>
      <c r="N942" s="5"/>
      <c r="O942" s="5"/>
      <c r="P942" s="5"/>
      <c r="Q942" s="5"/>
      <c r="R942" s="5"/>
      <c r="S942" s="5"/>
      <c r="T942" s="46"/>
      <c r="U942" s="1375" t="s">
        <v>590</v>
      </c>
      <c r="V942" s="1376"/>
      <c r="W942" s="1376"/>
      <c r="X942" s="1376"/>
      <c r="Y942" s="1376"/>
      <c r="Z942" s="1377"/>
      <c r="AA942" s="1420"/>
      <c r="AB942" s="1421"/>
      <c r="AC942" s="1421"/>
      <c r="AD942" s="1421"/>
      <c r="AE942" s="1421"/>
      <c r="AF942" s="1422"/>
    </row>
    <row r="943" spans="6:55" ht="13" customHeight="1">
      <c r="F943" s="121" t="s">
        <v>1276</v>
      </c>
      <c r="G943" s="5"/>
      <c r="H943" s="5"/>
      <c r="I943" s="5"/>
      <c r="J943" s="5"/>
      <c r="K943" s="5"/>
      <c r="L943" s="5"/>
      <c r="M943" s="5"/>
      <c r="N943" s="5"/>
      <c r="O943" s="5"/>
      <c r="P943" s="5"/>
      <c r="Q943" s="5"/>
      <c r="R943" s="5"/>
      <c r="S943" s="5"/>
      <c r="T943" s="46"/>
      <c r="U943" s="1375" t="s">
        <v>590</v>
      </c>
      <c r="V943" s="1376"/>
      <c r="W943" s="1376"/>
      <c r="X943" s="1376"/>
      <c r="Y943" s="1376"/>
      <c r="Z943" s="1377"/>
      <c r="AA943" s="1420"/>
      <c r="AB943" s="1421"/>
      <c r="AC943" s="1421"/>
      <c r="AD943" s="1421"/>
      <c r="AE943" s="1421"/>
      <c r="AF943" s="1422"/>
      <c r="AZ943" s="30"/>
      <c r="BA943" s="14"/>
    </row>
    <row r="944" spans="6:55" ht="13" customHeight="1">
      <c r="F944" s="66" t="s">
        <v>801</v>
      </c>
      <c r="G944" s="5"/>
      <c r="H944" s="5"/>
      <c r="I944" s="5"/>
      <c r="J944" s="5"/>
      <c r="K944" s="5"/>
      <c r="L944" s="5"/>
      <c r="M944" s="5"/>
      <c r="N944" s="5"/>
      <c r="O944" s="5"/>
      <c r="P944" s="5"/>
      <c r="Q944" s="5"/>
      <c r="R944" s="5"/>
      <c r="S944" s="5"/>
      <c r="T944" s="46"/>
      <c r="U944" s="1375" t="s">
        <v>590</v>
      </c>
      <c r="V944" s="1376"/>
      <c r="W944" s="1376"/>
      <c r="X944" s="1376"/>
      <c r="Y944" s="1376"/>
      <c r="Z944" s="1377"/>
      <c r="AA944" s="1420"/>
      <c r="AB944" s="1421"/>
      <c r="AC944" s="1421"/>
      <c r="AD944" s="1421"/>
      <c r="AE944" s="1421"/>
      <c r="AF944" s="1422"/>
      <c r="AZ944" s="30"/>
      <c r="BA944" s="14"/>
    </row>
    <row r="945" spans="6:55" ht="13" customHeight="1">
      <c r="F945" s="1643" t="s">
        <v>2155</v>
      </c>
      <c r="G945" s="1644"/>
      <c r="H945" s="1644"/>
      <c r="I945" s="1644"/>
      <c r="J945" s="1644"/>
      <c r="K945" s="1644"/>
      <c r="L945" s="1644"/>
      <c r="M945" s="1644"/>
      <c r="N945" s="1644"/>
      <c r="O945" s="1644"/>
      <c r="P945" s="1644"/>
      <c r="Q945" s="1644"/>
      <c r="R945" s="1644"/>
      <c r="S945" s="1644"/>
      <c r="T945" s="1645"/>
      <c r="U945" s="1375" t="s">
        <v>590</v>
      </c>
      <c r="V945" s="1376"/>
      <c r="W945" s="1376"/>
      <c r="X945" s="1376"/>
      <c r="Y945" s="1376"/>
      <c r="Z945" s="1377"/>
      <c r="AA945" s="1420"/>
      <c r="AB945" s="1421"/>
      <c r="AC945" s="1421"/>
      <c r="AD945" s="1421"/>
      <c r="AE945" s="1421"/>
      <c r="AF945" s="1422"/>
      <c r="AZ945" s="30"/>
      <c r="BA945" s="14"/>
    </row>
    <row r="946" spans="6:55" ht="13" customHeight="1">
      <c r="F946" s="1643" t="s">
        <v>2156</v>
      </c>
      <c r="G946" s="1644"/>
      <c r="H946" s="1644"/>
      <c r="I946" s="1644"/>
      <c r="J946" s="1644"/>
      <c r="K946" s="1644"/>
      <c r="L946" s="1644"/>
      <c r="M946" s="1644"/>
      <c r="N946" s="1644"/>
      <c r="O946" s="1644"/>
      <c r="P946" s="1644"/>
      <c r="Q946" s="1644"/>
      <c r="R946" s="1644"/>
      <c r="S946" s="1644"/>
      <c r="T946" s="1645"/>
      <c r="U946" s="1375" t="s">
        <v>590</v>
      </c>
      <c r="V946" s="1376"/>
      <c r="W946" s="1376"/>
      <c r="X946" s="1376"/>
      <c r="Y946" s="1376"/>
      <c r="Z946" s="1377"/>
      <c r="AA946" s="1420"/>
      <c r="AB946" s="1421"/>
      <c r="AC946" s="1421"/>
      <c r="AD946" s="1421"/>
      <c r="AE946" s="1421"/>
      <c r="AF946" s="1422"/>
      <c r="AZ946" s="30"/>
      <c r="BA946" s="30"/>
    </row>
    <row r="947" spans="6:55" ht="13" customHeight="1">
      <c r="F947" s="1651" t="s">
        <v>2152</v>
      </c>
      <c r="G947" s="1652"/>
      <c r="H947" s="1652"/>
      <c r="I947" s="1652"/>
      <c r="J947" s="1652"/>
      <c r="K947" s="1652"/>
      <c r="L947" s="1652"/>
      <c r="M947" s="1652"/>
      <c r="N947" s="1652"/>
      <c r="O947" s="1652"/>
      <c r="P947" s="1652"/>
      <c r="Q947" s="1652"/>
      <c r="R947" s="1652"/>
      <c r="S947" s="1652"/>
      <c r="T947" s="1653"/>
      <c r="U947" s="1375" t="s">
        <v>590</v>
      </c>
      <c r="V947" s="1376"/>
      <c r="W947" s="1376"/>
      <c r="X947" s="1376"/>
      <c r="Y947" s="1376"/>
      <c r="Z947" s="1377"/>
      <c r="AA947" s="1420"/>
      <c r="AB947" s="1421"/>
      <c r="AC947" s="1421"/>
      <c r="AD947" s="1421"/>
      <c r="AE947" s="1421"/>
      <c r="AF947" s="1422"/>
      <c r="AZ947" s="30"/>
      <c r="BA947" s="30"/>
    </row>
    <row r="948" spans="6:55" ht="13" customHeight="1">
      <c r="F948" s="1651" t="s">
        <v>2153</v>
      </c>
      <c r="G948" s="1652"/>
      <c r="H948" s="1652"/>
      <c r="I948" s="1652"/>
      <c r="J948" s="1652"/>
      <c r="K948" s="1652"/>
      <c r="L948" s="1652"/>
      <c r="M948" s="1652"/>
      <c r="N948" s="1652"/>
      <c r="O948" s="1652"/>
      <c r="P948" s="1652"/>
      <c r="Q948" s="1652"/>
      <c r="R948" s="1652"/>
      <c r="S948" s="1652"/>
      <c r="T948" s="1653"/>
      <c r="U948" s="1375" t="s">
        <v>590</v>
      </c>
      <c r="V948" s="1376"/>
      <c r="W948" s="1376"/>
      <c r="X948" s="1376"/>
      <c r="Y948" s="1376"/>
      <c r="Z948" s="1377"/>
      <c r="AA948" s="1420"/>
      <c r="AB948" s="1421"/>
      <c r="AC948" s="1421"/>
      <c r="AD948" s="1421"/>
      <c r="AE948" s="1421"/>
      <c r="AF948" s="1422"/>
      <c r="AZ948" s="30"/>
      <c r="BA948" s="30"/>
    </row>
    <row r="949" spans="6:55" ht="13" customHeight="1">
      <c r="F949" s="1651" t="s">
        <v>2154</v>
      </c>
      <c r="G949" s="1652"/>
      <c r="H949" s="1652"/>
      <c r="I949" s="1652"/>
      <c r="J949" s="1652"/>
      <c r="K949" s="1652"/>
      <c r="L949" s="1652"/>
      <c r="M949" s="1652"/>
      <c r="N949" s="1652"/>
      <c r="O949" s="1652"/>
      <c r="P949" s="1652"/>
      <c r="Q949" s="1652"/>
      <c r="R949" s="1652"/>
      <c r="S949" s="1652"/>
      <c r="T949" s="1653"/>
      <c r="U949" s="1375" t="s">
        <v>590</v>
      </c>
      <c r="V949" s="1376"/>
      <c r="W949" s="1376"/>
      <c r="X949" s="1376"/>
      <c r="Y949" s="1376"/>
      <c r="Z949" s="1377"/>
      <c r="AA949" s="1420"/>
      <c r="AB949" s="1421"/>
      <c r="AC949" s="1421"/>
      <c r="AD949" s="1421"/>
      <c r="AE949" s="1421"/>
      <c r="AF949" s="1422"/>
      <c r="AZ949" s="34"/>
      <c r="BA949" s="34"/>
      <c r="BB949" s="14"/>
      <c r="BC949" s="14"/>
    </row>
    <row r="950" spans="6:55" ht="13" customHeight="1">
      <c r="F950" s="121" t="s">
        <v>1260</v>
      </c>
      <c r="G950" s="5"/>
      <c r="H950" s="5"/>
      <c r="I950" s="5"/>
      <c r="J950" s="5"/>
      <c r="K950" s="5"/>
      <c r="L950" s="5"/>
      <c r="M950" s="5"/>
      <c r="N950" s="5"/>
      <c r="O950" s="5"/>
      <c r="P950" s="5"/>
      <c r="Q950" s="5"/>
      <c r="R950" s="5"/>
      <c r="S950" s="5"/>
      <c r="T950" s="46"/>
      <c r="U950" s="1375" t="s">
        <v>590</v>
      </c>
      <c r="V950" s="1376"/>
      <c r="W950" s="1376"/>
      <c r="X950" s="1376"/>
      <c r="Y950" s="1376"/>
      <c r="Z950" s="1377"/>
      <c r="AA950" s="1420"/>
      <c r="AB950" s="1421"/>
      <c r="AC950" s="1421"/>
      <c r="AD950" s="1421"/>
      <c r="AE950" s="1421"/>
      <c r="AF950" s="1422"/>
      <c r="AZ950" s="34"/>
      <c r="BA950" s="34"/>
      <c r="BB950" s="14"/>
      <c r="BC950" s="14"/>
    </row>
    <row r="951" spans="6:55" ht="13" customHeight="1">
      <c r="F951" s="1643" t="s">
        <v>2157</v>
      </c>
      <c r="G951" s="1644"/>
      <c r="H951" s="1644"/>
      <c r="I951" s="1644"/>
      <c r="J951" s="1644"/>
      <c r="K951" s="1644"/>
      <c r="L951" s="1644"/>
      <c r="M951" s="1644"/>
      <c r="N951" s="1644"/>
      <c r="O951" s="1644"/>
      <c r="P951" s="1644"/>
      <c r="Q951" s="1644"/>
      <c r="R951" s="1644"/>
      <c r="S951" s="1644"/>
      <c r="T951" s="1645"/>
      <c r="U951" s="1375" t="s">
        <v>590</v>
      </c>
      <c r="V951" s="1376"/>
      <c r="W951" s="1376"/>
      <c r="X951" s="1376"/>
      <c r="Y951" s="1376"/>
      <c r="Z951" s="1377"/>
      <c r="AA951" s="1420"/>
      <c r="AB951" s="1421"/>
      <c r="AC951" s="1421"/>
      <c r="AD951" s="1421"/>
      <c r="AE951" s="1421"/>
      <c r="AF951" s="1422"/>
      <c r="AZ951" s="34"/>
      <c r="BA951" s="34"/>
      <c r="BB951" s="34"/>
      <c r="BC951" s="34"/>
    </row>
    <row r="952" spans="6:55" ht="13" customHeight="1">
      <c r="F952" s="121" t="s">
        <v>1261</v>
      </c>
      <c r="G952" s="5"/>
      <c r="H952" s="5"/>
      <c r="I952" s="5"/>
      <c r="J952" s="5"/>
      <c r="K952" s="5"/>
      <c r="L952" s="5"/>
      <c r="M952" s="5"/>
      <c r="N952" s="5"/>
      <c r="O952" s="5"/>
      <c r="P952" s="5"/>
      <c r="Q952" s="5"/>
      <c r="R952" s="5"/>
      <c r="S952" s="5"/>
      <c r="T952" s="46"/>
      <c r="U952" s="1375" t="s">
        <v>590</v>
      </c>
      <c r="V952" s="1376"/>
      <c r="W952" s="1376"/>
      <c r="X952" s="1376"/>
      <c r="Y952" s="1376"/>
      <c r="Z952" s="1377"/>
      <c r="AA952" s="1420"/>
      <c r="AB952" s="1421"/>
      <c r="AC952" s="1421"/>
      <c r="AD952" s="1421"/>
      <c r="AE952" s="1421"/>
      <c r="AF952" s="1422"/>
      <c r="AZ952" s="34"/>
      <c r="BA952" s="34"/>
      <c r="BB952" s="34"/>
      <c r="BC952" s="34"/>
    </row>
    <row r="953" spans="6:55" ht="13" customHeight="1">
      <c r="F953" s="1643" t="s">
        <v>2158</v>
      </c>
      <c r="G953" s="1644"/>
      <c r="H953" s="1644"/>
      <c r="I953" s="1644"/>
      <c r="J953" s="1644"/>
      <c r="K953" s="1644"/>
      <c r="L953" s="1644"/>
      <c r="M953" s="1644"/>
      <c r="N953" s="1644"/>
      <c r="O953" s="1644"/>
      <c r="P953" s="1644"/>
      <c r="Q953" s="1644"/>
      <c r="R953" s="1644"/>
      <c r="S953" s="1644"/>
      <c r="T953" s="1645"/>
      <c r="U953" s="1375" t="s">
        <v>590</v>
      </c>
      <c r="V953" s="1376"/>
      <c r="W953" s="1376"/>
      <c r="X953" s="1376"/>
      <c r="Y953" s="1376"/>
      <c r="Z953" s="1377"/>
      <c r="AA953" s="1420"/>
      <c r="AB953" s="1421"/>
      <c r="AC953" s="1421"/>
      <c r="AD953" s="1421"/>
      <c r="AE953" s="1421"/>
      <c r="AF953" s="1422"/>
      <c r="AZ953" s="34"/>
      <c r="BA953" s="34"/>
      <c r="BB953" s="34"/>
      <c r="BC953" s="34"/>
    </row>
    <row r="954" spans="6:55" ht="13" customHeight="1">
      <c r="F954" s="45" t="s">
        <v>805</v>
      </c>
      <c r="G954" s="5"/>
      <c r="H954" s="5"/>
      <c r="I954" s="5"/>
      <c r="J954" s="5"/>
      <c r="K954" s="5"/>
      <c r="L954" s="5"/>
      <c r="M954" s="5"/>
      <c r="N954" s="5"/>
      <c r="O954" s="5"/>
      <c r="P954" s="1375" t="s">
        <v>668</v>
      </c>
      <c r="Q954" s="1376"/>
      <c r="R954" s="1376"/>
      <c r="S954" s="1376"/>
      <c r="T954" s="1377"/>
      <c r="U954" s="1375" t="s">
        <v>590</v>
      </c>
      <c r="V954" s="1376"/>
      <c r="W954" s="1376"/>
      <c r="X954" s="1376"/>
      <c r="Y954" s="1376"/>
      <c r="Z954" s="1377"/>
      <c r="AA954" s="1420"/>
      <c r="AB954" s="1421"/>
      <c r="AC954" s="1421"/>
      <c r="AD954" s="1421"/>
      <c r="AE954" s="1421"/>
      <c r="AF954" s="1422"/>
      <c r="AZ954" s="34"/>
      <c r="BA954" s="34"/>
      <c r="BB954" s="34"/>
      <c r="BC954" s="34"/>
    </row>
    <row r="955" spans="6:55" ht="13" customHeight="1">
      <c r="F955" s="1651" t="s">
        <v>2145</v>
      </c>
      <c r="G955" s="1652"/>
      <c r="H955" s="1653"/>
      <c r="I955" s="1657" t="s">
        <v>333</v>
      </c>
      <c r="J955" s="1658"/>
      <c r="K955" s="1658"/>
      <c r="L955" s="1658"/>
      <c r="M955" s="1658"/>
      <c r="N955" s="1658"/>
      <c r="O955" s="1658"/>
      <c r="P955" s="1658"/>
      <c r="Q955" s="1658"/>
      <c r="R955" s="1658"/>
      <c r="S955" s="1658"/>
      <c r="T955" s="1659"/>
      <c r="U955" s="1375" t="s">
        <v>590</v>
      </c>
      <c r="V955" s="1376"/>
      <c r="W955" s="1376"/>
      <c r="X955" s="1376"/>
      <c r="Y955" s="1376"/>
      <c r="Z955" s="1377"/>
      <c r="AA955" s="1420"/>
      <c r="AB955" s="1421"/>
      <c r="AC955" s="1421"/>
      <c r="AD955" s="1421"/>
      <c r="AE955" s="1421"/>
      <c r="AF955" s="1422"/>
      <c r="AZ955" s="34"/>
      <c r="BA955" s="34"/>
      <c r="BB955" s="34"/>
      <c r="BC955" s="34"/>
    </row>
    <row r="956" spans="6:55" ht="13" customHeight="1">
      <c r="F956" s="45" t="s">
        <v>86</v>
      </c>
      <c r="G956" s="48"/>
      <c r="H956" s="48"/>
      <c r="I956" s="1657" t="s">
        <v>333</v>
      </c>
      <c r="J956" s="1658"/>
      <c r="K956" s="1658"/>
      <c r="L956" s="1658"/>
      <c r="M956" s="1658"/>
      <c r="N956" s="1658"/>
      <c r="O956" s="1658"/>
      <c r="P956" s="1658"/>
      <c r="Q956" s="1658"/>
      <c r="R956" s="1658"/>
      <c r="S956" s="1658"/>
      <c r="T956" s="1659"/>
      <c r="U956" s="1375" t="s">
        <v>590</v>
      </c>
      <c r="V956" s="1376"/>
      <c r="W956" s="1376"/>
      <c r="X956" s="1376"/>
      <c r="Y956" s="1376"/>
      <c r="Z956" s="1377"/>
      <c r="AA956" s="1420"/>
      <c r="AB956" s="1421"/>
      <c r="AC956" s="1421"/>
      <c r="AD956" s="1421"/>
      <c r="AE956" s="1421"/>
      <c r="AF956" s="1422"/>
      <c r="AZ956" s="34"/>
      <c r="BA956" s="34"/>
      <c r="BB956" s="34"/>
      <c r="BC956" s="34"/>
    </row>
    <row r="957" spans="6:55" ht="13" customHeight="1">
      <c r="F957" s="45" t="s">
        <v>10</v>
      </c>
      <c r="G957" s="48"/>
      <c r="H957" s="48"/>
      <c r="I957" s="1581" t="s">
        <v>333</v>
      </c>
      <c r="J957" s="1582"/>
      <c r="K957" s="1582"/>
      <c r="L957" s="1582"/>
      <c r="M957" s="1582"/>
      <c r="N957" s="1582"/>
      <c r="O957" s="1582"/>
      <c r="P957" s="1582"/>
      <c r="Q957" s="1582"/>
      <c r="R957" s="1582"/>
      <c r="S957" s="1582"/>
      <c r="T957" s="1583"/>
      <c r="U957" s="1375" t="s">
        <v>590</v>
      </c>
      <c r="V957" s="1376"/>
      <c r="W957" s="1376"/>
      <c r="X957" s="1376"/>
      <c r="Y957" s="1376"/>
      <c r="Z957" s="1377"/>
      <c r="AA957" s="1420"/>
      <c r="AB957" s="1421"/>
      <c r="AC957" s="1421"/>
      <c r="AD957" s="1421"/>
      <c r="AE957" s="1421"/>
      <c r="AF957" s="1422"/>
      <c r="AV957" s="2"/>
      <c r="AW957" s="2"/>
      <c r="AX957" s="2"/>
      <c r="AY957" s="2"/>
      <c r="AZ957" s="34"/>
      <c r="BA957" s="34"/>
      <c r="BB957" s="34"/>
      <c r="BC957" s="34"/>
    </row>
    <row r="958" spans="6:55" ht="13" customHeight="1">
      <c r="F958" s="47" t="s">
        <v>169</v>
      </c>
      <c r="G958" s="48"/>
      <c r="H958" s="48"/>
      <c r="I958" s="1581" t="s">
        <v>333</v>
      </c>
      <c r="J958" s="1582"/>
      <c r="K958" s="1582"/>
      <c r="L958" s="1582"/>
      <c r="M958" s="1582"/>
      <c r="N958" s="1582"/>
      <c r="O958" s="1582"/>
      <c r="P958" s="1582"/>
      <c r="Q958" s="1582"/>
      <c r="R958" s="1582"/>
      <c r="S958" s="1582"/>
      <c r="T958" s="1583"/>
      <c r="U958" s="1375" t="s">
        <v>590</v>
      </c>
      <c r="V958" s="1376"/>
      <c r="W958" s="1376"/>
      <c r="X958" s="1376"/>
      <c r="Y958" s="1376"/>
      <c r="Z958" s="1377"/>
      <c r="AA958" s="1420"/>
      <c r="AB958" s="1421"/>
      <c r="AC958" s="1421"/>
      <c r="AD958" s="1421"/>
      <c r="AE958" s="1421"/>
      <c r="AF958" s="1422"/>
      <c r="AU958" s="2"/>
      <c r="AZ958" s="34"/>
      <c r="BA958" s="34"/>
      <c r="BB958" s="34"/>
      <c r="BC958" s="34"/>
    </row>
    <row r="959" spans="6:55" ht="13" customHeight="1">
      <c r="F959" s="47" t="s">
        <v>169</v>
      </c>
      <c r="G959" s="48"/>
      <c r="H959" s="48"/>
      <c r="I959" s="1581" t="s">
        <v>333</v>
      </c>
      <c r="J959" s="1582"/>
      <c r="K959" s="1582"/>
      <c r="L959" s="1582"/>
      <c r="M959" s="1582"/>
      <c r="N959" s="1582"/>
      <c r="O959" s="1582"/>
      <c r="P959" s="1582"/>
      <c r="Q959" s="1582"/>
      <c r="R959" s="1582"/>
      <c r="S959" s="1582"/>
      <c r="T959" s="1583"/>
      <c r="U959" s="1375" t="s">
        <v>590</v>
      </c>
      <c r="V959" s="1376"/>
      <c r="W959" s="1376"/>
      <c r="X959" s="1376"/>
      <c r="Y959" s="1376"/>
      <c r="Z959" s="1377"/>
      <c r="AA959" s="1420"/>
      <c r="AB959" s="1421"/>
      <c r="AC959" s="1421"/>
      <c r="AD959" s="1421"/>
      <c r="AE959" s="1421"/>
      <c r="AF959" s="1422"/>
      <c r="AU959" s="2"/>
      <c r="AZ959" s="34"/>
      <c r="BA959" s="34"/>
      <c r="BB959" s="34"/>
      <c r="BC959" s="34"/>
    </row>
    <row r="960" spans="6:55" ht="13" customHeight="1">
      <c r="AU960" s="2"/>
      <c r="AZ960" s="34"/>
      <c r="BA960" s="34"/>
      <c r="BB960" s="34"/>
      <c r="BC960" s="34"/>
    </row>
    <row r="961" spans="1:64" ht="13" customHeight="1">
      <c r="A961" s="2" t="s">
        <v>575</v>
      </c>
      <c r="C961" s="2" t="s">
        <v>750</v>
      </c>
      <c r="AZ961" s="34"/>
      <c r="BA961" s="34"/>
      <c r="BB961" s="34"/>
      <c r="BC961" s="34"/>
    </row>
    <row r="962" spans="1:64" ht="13"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578">
        <v>45778</v>
      </c>
      <c r="N964" s="1579"/>
      <c r="O964" s="1579"/>
      <c r="P964" s="1579"/>
      <c r="Q964" s="1579"/>
      <c r="R964" s="1579"/>
      <c r="S964" s="1580"/>
      <c r="U964" s="66" t="s">
        <v>11</v>
      </c>
      <c r="V964" s="5"/>
      <c r="W964" s="5"/>
      <c r="X964" s="5"/>
      <c r="Y964" s="5"/>
      <c r="Z964" s="5"/>
      <c r="AA964" s="5"/>
      <c r="AB964" s="5"/>
      <c r="AC964" s="5"/>
      <c r="AD964" s="46"/>
      <c r="AE964" s="1578"/>
      <c r="AF964" s="1579"/>
      <c r="AG964" s="1579"/>
      <c r="AH964" s="1579"/>
      <c r="AI964" s="1579"/>
      <c r="AJ964" s="1579"/>
      <c r="AK964" s="1580"/>
      <c r="AZ964" s="34"/>
      <c r="BA964" s="34"/>
      <c r="BB964" s="34"/>
      <c r="BC964" s="34"/>
    </row>
    <row r="965" spans="1:64" ht="13" customHeight="1">
      <c r="C965" s="66" t="s">
        <v>12</v>
      </c>
      <c r="D965" s="5"/>
      <c r="E965" s="5"/>
      <c r="F965" s="5"/>
      <c r="G965" s="5"/>
      <c r="H965" s="5"/>
      <c r="I965" s="5"/>
      <c r="J965" s="5"/>
      <c r="K965" s="5"/>
      <c r="L965" s="46"/>
      <c r="M965" s="1381" t="s">
        <v>2750</v>
      </c>
      <c r="N965" s="1382"/>
      <c r="O965" s="1382"/>
      <c r="P965" s="1382"/>
      <c r="Q965" s="1382"/>
      <c r="R965" s="1382"/>
      <c r="S965" s="1383"/>
      <c r="U965" s="66" t="s">
        <v>12</v>
      </c>
      <c r="V965" s="5"/>
      <c r="W965" s="5"/>
      <c r="X965" s="5"/>
      <c r="Y965" s="5"/>
      <c r="Z965" s="5"/>
      <c r="AA965" s="5"/>
      <c r="AB965" s="5"/>
      <c r="AC965" s="5"/>
      <c r="AD965" s="46"/>
      <c r="AE965" s="1381"/>
      <c r="AF965" s="1382"/>
      <c r="AG965" s="1382"/>
      <c r="AH965" s="1382"/>
      <c r="AI965" s="1382"/>
      <c r="AJ965" s="1382"/>
      <c r="AK965" s="1383"/>
      <c r="AZ965" s="34"/>
      <c r="BA965" s="34"/>
      <c r="BB965" s="34"/>
      <c r="BC965" s="34"/>
    </row>
    <row r="966" spans="1:64" ht="13" customHeight="1">
      <c r="C966" s="66" t="s">
        <v>879</v>
      </c>
      <c r="D966" s="5"/>
      <c r="E966" s="5"/>
      <c r="J966" s="1384" t="s">
        <v>2751</v>
      </c>
      <c r="K966" s="1385"/>
      <c r="L966" s="1385"/>
      <c r="M966" s="1385"/>
      <c r="N966" s="1385"/>
      <c r="O966" s="1385"/>
      <c r="P966" s="1385"/>
      <c r="Q966" s="1385"/>
      <c r="R966" s="1385"/>
      <c r="S966" s="1386"/>
      <c r="U966" s="66" t="s">
        <v>879</v>
      </c>
      <c r="V966" s="5"/>
      <c r="W966" s="5"/>
      <c r="AB966" s="1384" t="s">
        <v>306</v>
      </c>
      <c r="AC966" s="1385"/>
      <c r="AD966" s="1385"/>
      <c r="AE966" s="1385"/>
      <c r="AF966" s="1385"/>
      <c r="AG966" s="1385"/>
      <c r="AH966" s="1385"/>
      <c r="AI966" s="1385"/>
      <c r="AJ966" s="1385"/>
      <c r="AK966" s="1386"/>
      <c r="AZ966" s="34"/>
      <c r="BA966" s="34"/>
      <c r="BB966" s="34"/>
      <c r="BC966" s="34"/>
    </row>
    <row r="967" spans="1:64" ht="13" customHeight="1">
      <c r="C967" s="66" t="s">
        <v>13</v>
      </c>
      <c r="D967" s="5"/>
      <c r="E967" s="5"/>
      <c r="F967" s="5"/>
      <c r="G967" s="5"/>
      <c r="H967" s="5"/>
      <c r="I967" s="5"/>
      <c r="J967" s="5"/>
      <c r="K967" s="5"/>
      <c r="L967" s="46"/>
      <c r="M967" s="1678">
        <v>1</v>
      </c>
      <c r="N967" s="1647"/>
      <c r="O967" s="1647"/>
      <c r="P967" s="1647"/>
      <c r="Q967" s="1647"/>
      <c r="R967" s="1647"/>
      <c r="S967" s="1648"/>
      <c r="U967" s="66" t="s">
        <v>13</v>
      </c>
      <c r="V967" s="5"/>
      <c r="W967" s="5"/>
      <c r="X967" s="5"/>
      <c r="Y967" s="5"/>
      <c r="Z967" s="5"/>
      <c r="AA967" s="5"/>
      <c r="AB967" s="5"/>
      <c r="AC967" s="5"/>
      <c r="AD967" s="46"/>
      <c r="AE967" s="1646"/>
      <c r="AF967" s="1647"/>
      <c r="AG967" s="1647"/>
      <c r="AH967" s="1647"/>
      <c r="AI967" s="1647"/>
      <c r="AJ967" s="1647"/>
      <c r="AK967" s="1648"/>
      <c r="AZ967" s="34"/>
      <c r="BA967" s="34"/>
      <c r="BB967" s="34"/>
      <c r="BC967" s="34"/>
    </row>
    <row r="968" spans="1:64" ht="13" customHeight="1">
      <c r="C968" s="66" t="s">
        <v>14</v>
      </c>
      <c r="D968" s="5"/>
      <c r="E968" s="5"/>
      <c r="F968" s="5"/>
      <c r="G968" s="5"/>
      <c r="H968" s="5"/>
      <c r="I968" s="5"/>
      <c r="J968" s="5"/>
      <c r="K968" s="5"/>
      <c r="L968" s="46"/>
      <c r="M968" s="1654">
        <v>60</v>
      </c>
      <c r="N968" s="1655"/>
      <c r="O968" s="1655"/>
      <c r="P968" s="1655"/>
      <c r="Q968" s="1655"/>
      <c r="R968" s="1655"/>
      <c r="S968" s="1656"/>
      <c r="U968" s="66" t="s">
        <v>14</v>
      </c>
      <c r="V968" s="5"/>
      <c r="W968" s="5"/>
      <c r="X968" s="5"/>
      <c r="Y968" s="5"/>
      <c r="Z968" s="5"/>
      <c r="AA968" s="5"/>
      <c r="AB968" s="5"/>
      <c r="AC968" s="5"/>
      <c r="AD968" s="46"/>
      <c r="AE968" s="1654"/>
      <c r="AF968" s="1655"/>
      <c r="AG968" s="1655"/>
      <c r="AH968" s="1655"/>
      <c r="AI968" s="1655"/>
      <c r="AJ968" s="1655"/>
      <c r="AK968" s="1656"/>
      <c r="AV968" s="2"/>
      <c r="AW968" s="2"/>
      <c r="AX968" s="2"/>
      <c r="AY968" s="2"/>
      <c r="AZ968" s="34"/>
      <c r="BA968" s="34"/>
      <c r="BB968" s="34"/>
      <c r="BC968" s="34"/>
    </row>
    <row r="969" spans="1:64" ht="13" customHeight="1">
      <c r="C969" s="66" t="s">
        <v>15</v>
      </c>
      <c r="D969" s="5"/>
      <c r="E969" s="5"/>
      <c r="F969" s="5"/>
      <c r="G969" s="5"/>
      <c r="H969" s="5"/>
      <c r="I969" s="5"/>
      <c r="J969" s="5"/>
      <c r="K969" s="5"/>
      <c r="L969" s="46"/>
      <c r="M969" s="1420">
        <v>817200</v>
      </c>
      <c r="N969" s="1421"/>
      <c r="O969" s="1421"/>
      <c r="P969" s="1421"/>
      <c r="Q969" s="1421"/>
      <c r="R969" s="1421"/>
      <c r="S969" s="1422"/>
      <c r="U969" s="66" t="s">
        <v>15</v>
      </c>
      <c r="V969" s="5"/>
      <c r="W969" s="5"/>
      <c r="X969" s="5"/>
      <c r="Y969" s="5"/>
      <c r="Z969" s="5"/>
      <c r="AA969" s="5"/>
      <c r="AB969" s="5"/>
      <c r="AC969" s="5"/>
      <c r="AD969" s="46"/>
      <c r="AE969" s="1420"/>
      <c r="AF969" s="1421"/>
      <c r="AG969" s="1421"/>
      <c r="AH969" s="1421"/>
      <c r="AI969" s="1421"/>
      <c r="AJ969" s="1421"/>
      <c r="AK969" s="1422"/>
      <c r="AV969" s="2"/>
      <c r="AW969" s="2"/>
      <c r="AX969" s="2"/>
      <c r="AY969" s="2"/>
      <c r="AZ969" s="34"/>
      <c r="BA969" s="34"/>
      <c r="BB969" s="34"/>
      <c r="BC969" s="34"/>
    </row>
    <row r="970" spans="1:64" ht="13" customHeight="1">
      <c r="C970" s="66" t="s">
        <v>16</v>
      </c>
      <c r="D970" s="5"/>
      <c r="E970" s="5"/>
      <c r="F970" s="5"/>
      <c r="G970" s="5"/>
      <c r="H970" s="5"/>
      <c r="I970" s="5"/>
      <c r="J970" s="5"/>
      <c r="K970" s="5"/>
      <c r="L970" s="46"/>
      <c r="M970" s="1420">
        <v>16344000</v>
      </c>
      <c r="N970" s="1421"/>
      <c r="O970" s="1421"/>
      <c r="P970" s="1421"/>
      <c r="Q970" s="1421"/>
      <c r="R970" s="1421"/>
      <c r="S970" s="1422"/>
      <c r="U970" s="66" t="s">
        <v>16</v>
      </c>
      <c r="V970" s="5"/>
      <c r="W970" s="5"/>
      <c r="X970" s="5"/>
      <c r="Y970" s="5"/>
      <c r="Z970" s="5"/>
      <c r="AA970" s="5"/>
      <c r="AB970" s="5"/>
      <c r="AC970" s="5"/>
      <c r="AD970" s="46"/>
      <c r="AE970" s="1420"/>
      <c r="AF970" s="1421"/>
      <c r="AG970" s="1421"/>
      <c r="AH970" s="1421"/>
      <c r="AI970" s="1421"/>
      <c r="AJ970" s="1421"/>
      <c r="AK970" s="1422"/>
      <c r="AV970" s="2"/>
      <c r="AW970" s="2"/>
      <c r="AX970" s="2"/>
      <c r="AY970" s="2"/>
      <c r="AZ970" s="34"/>
      <c r="BB970" s="34"/>
      <c r="BC970" s="34"/>
    </row>
    <row r="971" spans="1:64" ht="13" customHeight="1">
      <c r="C971" s="121" t="s">
        <v>1649</v>
      </c>
      <c r="D971" s="5"/>
      <c r="E971" s="5"/>
      <c r="F971" s="5"/>
      <c r="G971" s="5"/>
      <c r="H971" s="5"/>
      <c r="I971" s="5"/>
      <c r="J971" s="5"/>
      <c r="K971" s="5"/>
      <c r="L971" s="46"/>
      <c r="M971" s="1417">
        <v>20</v>
      </c>
      <c r="N971" s="1418"/>
      <c r="O971" s="1418"/>
      <c r="P971" s="1418"/>
      <c r="Q971" s="1418"/>
      <c r="R971" s="1418"/>
      <c r="S971" s="1419"/>
      <c r="U971" s="121" t="s">
        <v>1649</v>
      </c>
      <c r="V971" s="5"/>
      <c r="W971" s="5"/>
      <c r="X971" s="5"/>
      <c r="Y971" s="5"/>
      <c r="Z971" s="5"/>
      <c r="AA971" s="5"/>
      <c r="AB971" s="5"/>
      <c r="AC971" s="5"/>
      <c r="AD971" s="46"/>
      <c r="AE971" s="1417"/>
      <c r="AF971" s="1418"/>
      <c r="AG971" s="1418"/>
      <c r="AH971" s="1418"/>
      <c r="AI971" s="1418"/>
      <c r="AJ971" s="1418"/>
      <c r="AK971" s="1419"/>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570</v>
      </c>
      <c r="G976" s="5"/>
      <c r="H976" s="5"/>
      <c r="I976" s="5"/>
      <c r="J976" s="5"/>
      <c r="K976" s="5"/>
      <c r="L976" s="46"/>
      <c r="M976" s="1378"/>
      <c r="N976" s="1379"/>
      <c r="O976" s="1379"/>
      <c r="P976" s="1379"/>
      <c r="Q976" s="1379"/>
      <c r="R976" s="1379"/>
      <c r="S976" s="1380"/>
      <c r="T976" s="66" t="s">
        <v>789</v>
      </c>
      <c r="U976" s="5"/>
      <c r="V976" s="5"/>
      <c r="W976" s="5"/>
      <c r="X976" s="5"/>
      <c r="Y976" s="5"/>
      <c r="Z976" s="46"/>
      <c r="AA976" s="1378"/>
      <c r="AB976" s="1379"/>
      <c r="AC976" s="1379"/>
      <c r="AD976" s="1379"/>
      <c r="AE976" s="1379"/>
      <c r="AF976" s="1379"/>
      <c r="AG976" s="138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571</v>
      </c>
      <c r="G977" s="5"/>
      <c r="H977" s="5"/>
      <c r="I977" s="5"/>
      <c r="J977" s="5"/>
      <c r="K977" s="5"/>
      <c r="L977" s="46"/>
      <c r="M977" s="1378"/>
      <c r="N977" s="1379"/>
      <c r="O977" s="1379"/>
      <c r="P977" s="1379"/>
      <c r="Q977" s="1379"/>
      <c r="R977" s="1379"/>
      <c r="S977" s="1380"/>
      <c r="T977" s="66" t="s">
        <v>788</v>
      </c>
      <c r="U977" s="5"/>
      <c r="V977" s="5"/>
      <c r="W977" s="5"/>
      <c r="X977" s="5"/>
      <c r="Y977" s="5"/>
      <c r="Z977" s="46"/>
      <c r="AA977" s="1378"/>
      <c r="AB977" s="1379"/>
      <c r="AC977" s="1379"/>
      <c r="AD977" s="1379"/>
      <c r="AE977" s="1379"/>
      <c r="AF977" s="1379"/>
      <c r="AG977" s="138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900</v>
      </c>
      <c r="G978" s="5"/>
      <c r="H978" s="5"/>
      <c r="I978" s="5"/>
      <c r="J978" s="5"/>
      <c r="K978" s="5"/>
      <c r="L978" s="46"/>
      <c r="M978" s="1670" t="s">
        <v>590</v>
      </c>
      <c r="N978" s="1671"/>
      <c r="O978" s="1671"/>
      <c r="P978" s="1671"/>
      <c r="Q978" s="1671"/>
      <c r="R978" s="1671"/>
      <c r="S978" s="1672"/>
      <c r="T978" s="45" t="s">
        <v>336</v>
      </c>
      <c r="U978" s="5"/>
      <c r="V978" s="5"/>
      <c r="W978" s="5"/>
      <c r="X978" s="5"/>
      <c r="Y978" s="5"/>
      <c r="Z978" s="46"/>
      <c r="AA978" s="1378"/>
      <c r="AB978" s="1379"/>
      <c r="AC978" s="1379"/>
      <c r="AD978" s="1379"/>
      <c r="AE978" s="1379"/>
      <c r="AF978" s="1379"/>
      <c r="AG978" s="138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572</v>
      </c>
      <c r="G979" s="5"/>
      <c r="H979" s="5"/>
      <c r="I979" s="5"/>
      <c r="J979" s="5"/>
      <c r="K979" s="5"/>
      <c r="L979" s="46"/>
      <c r="M979" s="1378"/>
      <c r="N979" s="1379"/>
      <c r="O979" s="1379"/>
      <c r="P979" s="1379"/>
      <c r="Q979" s="1379"/>
      <c r="R979" s="1379"/>
      <c r="S979" s="1380"/>
      <c r="T979" s="45" t="s">
        <v>337</v>
      </c>
      <c r="U979" s="5"/>
      <c r="V979" s="5"/>
      <c r="W979" s="5"/>
      <c r="X979" s="5"/>
      <c r="Y979" s="5"/>
      <c r="Z979" s="46"/>
      <c r="AA979" s="1378"/>
      <c r="AB979" s="1379"/>
      <c r="AC979" s="1379"/>
      <c r="AD979" s="1379"/>
      <c r="AE979" s="1379"/>
      <c r="AF979" s="1379"/>
      <c r="AG979" s="138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463</v>
      </c>
      <c r="G980" s="5"/>
      <c r="H980" s="5"/>
      <c r="I980" s="5"/>
      <c r="J980" s="5"/>
      <c r="K980" s="5"/>
      <c r="L980" s="46"/>
      <c r="M980" s="1378"/>
      <c r="N980" s="1379"/>
      <c r="O980" s="1379"/>
      <c r="P980" s="1379"/>
      <c r="Q980" s="1379"/>
      <c r="R980" s="1379"/>
      <c r="S980" s="1380"/>
      <c r="T980" s="45" t="s">
        <v>375</v>
      </c>
      <c r="U980" s="5"/>
      <c r="V980" s="5"/>
      <c r="W980" s="5"/>
      <c r="X980" s="5"/>
      <c r="Y980" s="5"/>
      <c r="Z980" s="46"/>
      <c r="AA980" s="1378"/>
      <c r="AB980" s="1379"/>
      <c r="AC980" s="1379"/>
      <c r="AD980" s="1379"/>
      <c r="AE980" s="1379"/>
      <c r="AF980" s="1379"/>
      <c r="AG980" s="138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879</v>
      </c>
      <c r="G981" s="42"/>
      <c r="H981" s="42"/>
      <c r="I981" s="42"/>
      <c r="J981" s="42"/>
      <c r="K981" s="42"/>
      <c r="L981" s="58"/>
      <c r="M981" s="1384" t="s">
        <v>306</v>
      </c>
      <c r="N981" s="1385"/>
      <c r="O981" s="1385"/>
      <c r="P981" s="1385"/>
      <c r="Q981" s="1385"/>
      <c r="R981" s="1385"/>
      <c r="S981" s="1386"/>
      <c r="T981" s="1388"/>
      <c r="U981" s="1389"/>
      <c r="V981" s="1389"/>
      <c r="W981" s="1389"/>
      <c r="X981" s="1389"/>
      <c r="Y981" s="1389"/>
      <c r="Z981" s="1390"/>
      <c r="AA981" s="1378"/>
      <c r="AB981" s="1379"/>
      <c r="AC981" s="1379"/>
      <c r="AD981" s="1379"/>
      <c r="AE981" s="1379"/>
      <c r="AF981" s="1379"/>
      <c r="AG981" s="138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464</v>
      </c>
      <c r="G982" s="42"/>
      <c r="H982" s="42"/>
      <c r="I982" s="42"/>
      <c r="J982" s="42"/>
      <c r="K982" s="42"/>
      <c r="L982" s="58"/>
      <c r="M982" s="1378"/>
      <c r="N982" s="1379"/>
      <c r="O982" s="1379"/>
      <c r="P982" s="1379"/>
      <c r="Q982" s="1379"/>
      <c r="R982" s="1379"/>
      <c r="S982" s="1380"/>
      <c r="T982" s="1388"/>
      <c r="U982" s="1389"/>
      <c r="V982" s="1389"/>
      <c r="W982" s="1389"/>
      <c r="X982" s="1389"/>
      <c r="Y982" s="1389"/>
      <c r="Z982" s="1390"/>
      <c r="AA982" s="1378"/>
      <c r="AB982" s="1379"/>
      <c r="AC982" s="1379"/>
      <c r="AD982" s="1379"/>
      <c r="AE982" s="1379"/>
      <c r="AF982" s="1379"/>
      <c r="AG982" s="138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335</v>
      </c>
      <c r="G983" s="42"/>
      <c r="H983" s="42"/>
      <c r="I983" s="42"/>
      <c r="J983" s="42"/>
      <c r="K983" s="42"/>
      <c r="L983" s="42"/>
      <c r="M983" s="42"/>
      <c r="N983" s="42"/>
      <c r="O983" s="1576" t="s">
        <v>668</v>
      </c>
      <c r="P983" s="1577"/>
      <c r="Q983" s="92"/>
      <c r="R983" s="92"/>
      <c r="S983" s="93"/>
      <c r="T983" s="41" t="s">
        <v>169</v>
      </c>
      <c r="U983" s="42"/>
      <c r="V983" s="42"/>
      <c r="W983" s="1597" t="s">
        <v>333</v>
      </c>
      <c r="X983" s="1598"/>
      <c r="Y983" s="1598"/>
      <c r="Z983" s="1598"/>
      <c r="AA983" s="1598"/>
      <c r="AB983" s="1598"/>
      <c r="AC983" s="1598"/>
      <c r="AD983" s="1598"/>
      <c r="AE983" s="1598"/>
      <c r="AF983" s="1598"/>
      <c r="AG983" s="1599"/>
      <c r="AU983" s="68"/>
      <c r="AV983" s="95"/>
      <c r="AW983" s="95"/>
      <c r="AX983" s="95"/>
      <c r="AY983" s="95"/>
      <c r="AZ983" s="34"/>
      <c r="BB983" s="34"/>
      <c r="BC983" s="34"/>
      <c r="BD983" s="34"/>
      <c r="BE983" s="34"/>
      <c r="BF983" s="34"/>
      <c r="BG983" s="34"/>
      <c r="BH983" s="34"/>
      <c r="BI983" s="34"/>
      <c r="BJ983" s="34"/>
      <c r="BK983" s="34"/>
      <c r="BL983" s="34"/>
    </row>
    <row r="984" spans="1:64" ht="13" customHeight="1">
      <c r="F984" s="1636" t="s">
        <v>33</v>
      </c>
      <c r="G984" s="1452"/>
      <c r="H984" s="1452"/>
      <c r="I984" s="1452"/>
      <c r="J984" s="1452"/>
      <c r="K984" s="1452"/>
      <c r="L984" s="1452"/>
      <c r="M984" s="1378"/>
      <c r="N984" s="1379"/>
      <c r="O984" s="1379"/>
      <c r="P984" s="1379"/>
      <c r="Q984" s="1379"/>
      <c r="R984" s="1379"/>
      <c r="S984" s="1380"/>
      <c r="T984" s="47"/>
      <c r="U984" s="48"/>
      <c r="V984" s="48"/>
      <c r="W984" s="48"/>
      <c r="X984" s="48"/>
      <c r="Y984" s="48"/>
      <c r="Z984" s="124" t="s">
        <v>134</v>
      </c>
      <c r="AA984" s="1619"/>
      <c r="AB984" s="1620"/>
      <c r="AC984" s="1620"/>
      <c r="AD984" s="1620"/>
      <c r="AE984" s="1620"/>
      <c r="AF984" s="1620"/>
      <c r="AG984" s="1621"/>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79"/>
      <c r="BH985" s="1679"/>
      <c r="BI985" s="1679"/>
      <c r="BJ985" s="1679"/>
      <c r="BK985" s="1679"/>
      <c r="BL985" s="1679"/>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16" t="s">
        <v>547</v>
      </c>
      <c r="B988" s="1516"/>
      <c r="C988" s="1516"/>
      <c r="D988" s="1516"/>
      <c r="E988" s="1516"/>
      <c r="F988" s="1516"/>
      <c r="G988" s="1516"/>
      <c r="H988" s="1516"/>
      <c r="I988" s="1516"/>
      <c r="J988" s="1516"/>
      <c r="K988" s="1516"/>
      <c r="L988" s="1516"/>
      <c r="M988" s="1516"/>
      <c r="N988" s="1516"/>
      <c r="O988" s="1516"/>
      <c r="P988" s="1516"/>
      <c r="Q988" s="1516"/>
      <c r="R988" s="1516"/>
      <c r="S988" s="1516"/>
      <c r="T988" s="1516"/>
      <c r="U988" s="1516"/>
      <c r="V988" s="1516"/>
      <c r="W988" s="1516"/>
      <c r="X988" s="1516"/>
      <c r="Y988" s="1516"/>
      <c r="Z988" s="1516"/>
      <c r="AA988" s="1516"/>
      <c r="AB988" s="1516"/>
      <c r="AC988" s="1516"/>
      <c r="AD988" s="1516"/>
      <c r="AE988" s="1516"/>
      <c r="AF988" s="1516"/>
      <c r="AG988" s="1516"/>
      <c r="AH988" s="1516"/>
      <c r="AI988" s="1516"/>
      <c r="AJ988" s="1516"/>
      <c r="AK988" s="1516"/>
      <c r="AL988" s="1516"/>
      <c r="AM988" s="1516"/>
      <c r="AN988" s="1516"/>
      <c r="AO988" s="1516"/>
      <c r="AP988" s="1516"/>
      <c r="AQ988" s="1516"/>
      <c r="AR988" s="1516"/>
      <c r="AS988" s="1516"/>
      <c r="AT988" s="1516"/>
      <c r="AU988" s="68"/>
      <c r="AV988" s="68"/>
      <c r="AW988" s="68"/>
      <c r="AX988" s="68"/>
      <c r="AY988" s="68"/>
      <c r="AZ988" s="14"/>
      <c r="BA988" s="14"/>
      <c r="BB988" s="908"/>
      <c r="BC988" s="908"/>
    </row>
    <row r="989" spans="1:64" ht="13" customHeight="1">
      <c r="A989" s="1516"/>
      <c r="B989" s="1516"/>
      <c r="C989" s="1516"/>
      <c r="D989" s="1516"/>
      <c r="E989" s="1516"/>
      <c r="F989" s="1516"/>
      <c r="G989" s="1516"/>
      <c r="H989" s="1516"/>
      <c r="I989" s="1516"/>
      <c r="J989" s="1516"/>
      <c r="K989" s="1516"/>
      <c r="L989" s="1516"/>
      <c r="M989" s="1516"/>
      <c r="N989" s="1516"/>
      <c r="O989" s="1516"/>
      <c r="P989" s="1516"/>
      <c r="Q989" s="1516"/>
      <c r="R989" s="1516"/>
      <c r="S989" s="1516"/>
      <c r="T989" s="1516"/>
      <c r="U989" s="1516"/>
      <c r="V989" s="1516"/>
      <c r="W989" s="1516"/>
      <c r="X989" s="1516"/>
      <c r="Y989" s="1516"/>
      <c r="Z989" s="1516"/>
      <c r="AA989" s="1516"/>
      <c r="AB989" s="1516"/>
      <c r="AC989" s="1516"/>
      <c r="AD989" s="1516"/>
      <c r="AE989" s="1516"/>
      <c r="AF989" s="1516"/>
      <c r="AG989" s="1516"/>
      <c r="AH989" s="1516"/>
      <c r="AI989" s="1516"/>
      <c r="AJ989" s="1516"/>
      <c r="AK989" s="1516"/>
      <c r="AL989" s="1516"/>
      <c r="AM989" s="1516"/>
      <c r="AN989" s="1516"/>
      <c r="AO989" s="1516"/>
      <c r="AP989" s="1516"/>
      <c r="AQ989" s="1516"/>
      <c r="AR989" s="1516"/>
      <c r="AS989" s="1516"/>
      <c r="AT989" s="1516"/>
      <c r="AU989" s="68"/>
      <c r="AV989" s="68"/>
      <c r="AW989" s="68"/>
      <c r="AX989" s="68"/>
      <c r="AY989" s="68"/>
      <c r="AZ989" s="30"/>
      <c r="BA989" s="14"/>
      <c r="BB989" s="14"/>
      <c r="BC989" s="14"/>
    </row>
    <row r="990" spans="1:64" ht="13" customHeight="1">
      <c r="A990" s="1516"/>
      <c r="B990" s="1516"/>
      <c r="C990" s="1516"/>
      <c r="D990" s="1516"/>
      <c r="E990" s="1516"/>
      <c r="F990" s="1516"/>
      <c r="G990" s="1516"/>
      <c r="H990" s="1516"/>
      <c r="I990" s="1516"/>
      <c r="J990" s="1516"/>
      <c r="K990" s="1516"/>
      <c r="L990" s="1516"/>
      <c r="M990" s="1516"/>
      <c r="N990" s="1516"/>
      <c r="O990" s="1516"/>
      <c r="P990" s="1516"/>
      <c r="Q990" s="1516"/>
      <c r="R990" s="1516"/>
      <c r="S990" s="1516"/>
      <c r="T990" s="1516"/>
      <c r="U990" s="1516"/>
      <c r="V990" s="1516"/>
      <c r="W990" s="1516"/>
      <c r="X990" s="1516"/>
      <c r="Y990" s="1516"/>
      <c r="Z990" s="1516"/>
      <c r="AA990" s="1516"/>
      <c r="AB990" s="1516"/>
      <c r="AC990" s="1516"/>
      <c r="AD990" s="1516"/>
      <c r="AE990" s="1516"/>
      <c r="AF990" s="1516"/>
      <c r="AG990" s="1516"/>
      <c r="AH990" s="1516"/>
      <c r="AI990" s="1516"/>
      <c r="AJ990" s="1516"/>
      <c r="AK990" s="1516"/>
      <c r="AL990" s="1516"/>
      <c r="AM990" s="1516"/>
      <c r="AN990" s="1516"/>
      <c r="AO990" s="1516"/>
      <c r="AP990" s="1516"/>
      <c r="AQ990" s="1516"/>
      <c r="AR990" s="1516"/>
      <c r="AS990" s="1516"/>
      <c r="AT990" s="1516"/>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435" t="s">
        <v>637</v>
      </c>
      <c r="E994" s="1436"/>
      <c r="F994" s="1436"/>
      <c r="G994" s="1436"/>
      <c r="H994" s="1436"/>
      <c r="I994" s="1436"/>
      <c r="J994" s="1436"/>
      <c r="K994" s="1436"/>
      <c r="L994" s="1436"/>
      <c r="M994" s="1436"/>
      <c r="N994" s="1436"/>
      <c r="O994" s="1436"/>
      <c r="P994" s="1436"/>
      <c r="Q994" s="1437"/>
      <c r="R994" s="1435" t="s">
        <v>638</v>
      </c>
      <c r="S994" s="1436"/>
      <c r="T994" s="1436"/>
      <c r="U994" s="1436"/>
      <c r="V994" s="1436"/>
      <c r="W994" s="1436"/>
      <c r="X994" s="1436"/>
      <c r="Y994" s="1436"/>
      <c r="Z994" s="1436"/>
      <c r="AA994" s="1437"/>
      <c r="AB994" s="1435" t="s">
        <v>639</v>
      </c>
      <c r="AC994" s="1436"/>
      <c r="AD994" s="1436"/>
      <c r="AE994" s="1436"/>
      <c r="AF994" s="1436"/>
      <c r="AG994" s="1436"/>
      <c r="AH994" s="1436"/>
      <c r="AI994" s="1437"/>
      <c r="AJ994" s="1435" t="s">
        <v>640</v>
      </c>
      <c r="AK994" s="1436"/>
      <c r="AL994" s="1436"/>
      <c r="AM994" s="1436"/>
      <c r="AN994" s="1436"/>
      <c r="AO994" s="1436"/>
      <c r="AP994" s="1436"/>
      <c r="AQ994" s="1437"/>
      <c r="AR994" s="68"/>
      <c r="AS994" s="68"/>
      <c r="AT994" s="68"/>
      <c r="AU994" s="68"/>
      <c r="AV994" s="68"/>
      <c r="AW994" s="68"/>
      <c r="AX994" s="68"/>
      <c r="AY994" s="68"/>
      <c r="AZ994" s="30"/>
      <c r="BB994" s="14"/>
      <c r="BC994" s="14"/>
    </row>
    <row r="995" spans="1:55" ht="13" customHeight="1">
      <c r="A995" s="14"/>
      <c r="B995" s="73"/>
      <c r="C995" s="925"/>
      <c r="D995" s="1394" t="s">
        <v>632</v>
      </c>
      <c r="E995" s="1395"/>
      <c r="F995" s="1395"/>
      <c r="G995" s="1395"/>
      <c r="H995" s="1395"/>
      <c r="I995" s="1395"/>
      <c r="J995" s="1395"/>
      <c r="K995" s="1395"/>
      <c r="L995" s="1395"/>
      <c r="M995" s="1395"/>
      <c r="N995" s="1395"/>
      <c r="O995" s="1395"/>
      <c r="P995" s="1395"/>
      <c r="Q995" s="1396"/>
      <c r="R995" s="1397">
        <f>IF(ISNA(IF($CU$122="4%",(INDEX($CS$160:$CW$217,MATCH($DG$122,$CR$160:$CR$217,0),MATCH(D995,$CS$159:$CW$159,0))),(INDEX($CZ$160:$DD$217,MATCH($DG$122,$CY$160:$CY$217,0),MATCH(D995,$CZ$159:$DD$159,0))))),0,IF($CU$122="4%",(INDEX($CS$160:$CW$217,MATCH($DG$122,$CR$160:$CR$217,0),MATCH(D995,$CS$159:$CW$159,0))),(INDEX($CZ$160:$DD$217,MATCH($DG$122,$CY$160:$CY$217,0),MATCH(D995,$CZ$159:$DD$159,0)))))</f>
        <v>437727</v>
      </c>
      <c r="S995" s="1397"/>
      <c r="T995" s="1397"/>
      <c r="U995" s="1397"/>
      <c r="V995" s="1397"/>
      <c r="W995" s="1397"/>
      <c r="X995" s="1397"/>
      <c r="Y995" s="1397"/>
      <c r="Z995" s="1397"/>
      <c r="AA995" s="1397"/>
      <c r="AB995" s="1391">
        <f>CP810</f>
        <v>0</v>
      </c>
      <c r="AC995" s="1392"/>
      <c r="AD995" s="1392"/>
      <c r="AE995" s="1392"/>
      <c r="AF995" s="1392"/>
      <c r="AG995" s="1392"/>
      <c r="AH995" s="1392"/>
      <c r="AI995" s="1393"/>
      <c r="AJ995" s="1398">
        <f>IF(ISERROR((R995*AB995)),0,(R995*AB995))</f>
        <v>0</v>
      </c>
      <c r="AK995" s="1399"/>
      <c r="AL995" s="1399"/>
      <c r="AM995" s="1399"/>
      <c r="AN995" s="1399"/>
      <c r="AO995" s="1399"/>
      <c r="AP995" s="1399"/>
      <c r="AQ995" s="1400"/>
      <c r="AR995" s="68"/>
      <c r="AS995" s="68"/>
      <c r="AT995" s="68"/>
      <c r="AU995" s="68"/>
      <c r="AV995" s="68"/>
      <c r="AW995" s="68"/>
      <c r="AX995" s="68"/>
      <c r="AY995" s="68"/>
      <c r="AZ995" s="30"/>
      <c r="BB995" s="14"/>
      <c r="BC995" s="14"/>
    </row>
    <row r="996" spans="1:55" ht="13" customHeight="1">
      <c r="A996" s="14"/>
      <c r="B996" s="73"/>
      <c r="C996" s="83"/>
      <c r="D996" s="1394" t="s">
        <v>324</v>
      </c>
      <c r="E996" s="1395"/>
      <c r="F996" s="1395"/>
      <c r="G996" s="1395"/>
      <c r="H996" s="1395"/>
      <c r="I996" s="1395"/>
      <c r="J996" s="1395"/>
      <c r="K996" s="1395"/>
      <c r="L996" s="1395"/>
      <c r="M996" s="1395"/>
      <c r="N996" s="1395"/>
      <c r="O996" s="1395"/>
      <c r="P996" s="1395"/>
      <c r="Q996" s="1396"/>
      <c r="R996" s="1397">
        <f>IF(ISNA(IF($CU$122="4%",(INDEX($CS$160:$CW$217,MATCH($DG$122,$CR$160:$CR$217,0),MATCH(D996,$CS$159:$CW$159,0))),(INDEX($CZ$160:$DD$217,MATCH($DG$122,$CY$160:$CY$217,0),MATCH(D996,$CZ$159:$DD$159,0))))),0,IF($CU$122="4%",(INDEX($CS$160:$CW$217,MATCH($DG$122,$CR$160:$CR$217,0),MATCH(D996,$CS$159:$CW$159,0))),(INDEX($CZ$160:$DD$217,MATCH($DG$122,$CY$160:$CY$217,0),MATCH(D996,$CZ$159:$DD$159,0)))))</f>
        <v>504695</v>
      </c>
      <c r="S996" s="1397"/>
      <c r="T996" s="1397"/>
      <c r="U996" s="1397"/>
      <c r="V996" s="1397"/>
      <c r="W996" s="1397"/>
      <c r="X996" s="1397"/>
      <c r="Y996" s="1397"/>
      <c r="Z996" s="1397"/>
      <c r="AA996" s="1397"/>
      <c r="AB996" s="1391">
        <f>CU810</f>
        <v>60</v>
      </c>
      <c r="AC996" s="1392"/>
      <c r="AD996" s="1392"/>
      <c r="AE996" s="1392"/>
      <c r="AF996" s="1392"/>
      <c r="AG996" s="1392"/>
      <c r="AH996" s="1392"/>
      <c r="AI996" s="1393"/>
      <c r="AJ996" s="1398">
        <f>IF(ISERROR((R996*AB996)),0,(R996*AB996))</f>
        <v>30281700</v>
      </c>
      <c r="AK996" s="1399"/>
      <c r="AL996" s="1399"/>
      <c r="AM996" s="1399"/>
      <c r="AN996" s="1399"/>
      <c r="AO996" s="1399"/>
      <c r="AP996" s="1399"/>
      <c r="AQ996" s="1400"/>
      <c r="AR996" s="68"/>
      <c r="AS996" s="68"/>
      <c r="AT996" s="68"/>
      <c r="AU996" s="68"/>
      <c r="AV996" s="68"/>
      <c r="AW996" s="68"/>
      <c r="AX996" s="68"/>
      <c r="AY996" s="68"/>
      <c r="AZ996" s="30"/>
      <c r="BB996" s="14"/>
      <c r="BC996" s="14"/>
    </row>
    <row r="997" spans="1:55" ht="13" customHeight="1">
      <c r="A997" s="14"/>
      <c r="B997" s="73"/>
      <c r="C997" s="83"/>
      <c r="D997" s="1394" t="s">
        <v>163</v>
      </c>
      <c r="E997" s="1395"/>
      <c r="F997" s="1395"/>
      <c r="G997" s="1395"/>
      <c r="H997" s="1395"/>
      <c r="I997" s="1395"/>
      <c r="J997" s="1395"/>
      <c r="K997" s="1395"/>
      <c r="L997" s="1395"/>
      <c r="M997" s="1395"/>
      <c r="N997" s="1395"/>
      <c r="O997" s="1395"/>
      <c r="P997" s="1395"/>
      <c r="Q997" s="1396"/>
      <c r="R997" s="1397">
        <f>IF(ISNA(IF($CU$122="4%",(INDEX($CS$160:$CW$217,MATCH($DG$122,$CR$160:$CR$217,0),MATCH(D997,$CS$159:$CW$159,0))),(INDEX($CZ$160:$DD$217,MATCH($DG$122,$CY$160:$CY$217,0),MATCH(D997,$CZ$159:$DD$159,0))))),0,IF($CU$122="4%",(INDEX($CS$160:$CW$217,MATCH($DG$122,$CR$160:$CR$217,0),MATCH(D997,$CS$159:$CW$159,0))),(INDEX($CZ$160:$DD$217,MATCH($DG$122,$CY$160:$CY$217,0),MATCH(D997,$CZ$159:$DD$159,0)))))</f>
        <v>608800</v>
      </c>
      <c r="S997" s="1397"/>
      <c r="T997" s="1397"/>
      <c r="U997" s="1397"/>
      <c r="V997" s="1397"/>
      <c r="W997" s="1397"/>
      <c r="X997" s="1397"/>
      <c r="Y997" s="1397"/>
      <c r="Z997" s="1397"/>
      <c r="AA997" s="1397"/>
      <c r="AB997" s="1391">
        <f>CZ810</f>
        <v>1</v>
      </c>
      <c r="AC997" s="1392"/>
      <c r="AD997" s="1392"/>
      <c r="AE997" s="1392"/>
      <c r="AF997" s="1392"/>
      <c r="AG997" s="1392"/>
      <c r="AH997" s="1392"/>
      <c r="AI997" s="1393"/>
      <c r="AJ997" s="1398">
        <f>IF(ISERROR((R997*AB997)),0,(R997*AB997))</f>
        <v>608800</v>
      </c>
      <c r="AK997" s="1399"/>
      <c r="AL997" s="1399"/>
      <c r="AM997" s="1399"/>
      <c r="AN997" s="1399"/>
      <c r="AO997" s="1399"/>
      <c r="AP997" s="1399"/>
      <c r="AQ997" s="1400"/>
      <c r="AR997" s="68"/>
      <c r="AS997" s="68"/>
      <c r="AT997" s="68"/>
      <c r="AU997" s="68"/>
      <c r="AV997" s="68"/>
      <c r="AW997" s="68"/>
      <c r="AX997" s="68"/>
      <c r="AY997" s="68"/>
      <c r="AZ997" s="30"/>
      <c r="BB997" s="14"/>
      <c r="BC997" s="14"/>
    </row>
    <row r="998" spans="1:55" ht="13" customHeight="1">
      <c r="A998" s="14"/>
      <c r="B998" s="73"/>
      <c r="C998" s="83"/>
      <c r="D998" s="1394" t="s">
        <v>164</v>
      </c>
      <c r="E998" s="1395"/>
      <c r="F998" s="1395"/>
      <c r="G998" s="1395"/>
      <c r="H998" s="1395"/>
      <c r="I998" s="1395"/>
      <c r="J998" s="1395"/>
      <c r="K998" s="1395"/>
      <c r="L998" s="1395"/>
      <c r="M998" s="1395"/>
      <c r="N998" s="1395"/>
      <c r="O998" s="1395"/>
      <c r="P998" s="1395"/>
      <c r="Q998" s="1396"/>
      <c r="R998" s="1397">
        <f>IF(ISNA(IF($CU$122="4%",(INDEX($CS$160:$CW$217,MATCH($DG$122,$CR$160:$CR$217,0),MATCH(D998,$CS$159:$CW$159,0))),(INDEX($CZ$160:$DD$217,MATCH($DG$122,$CY$160:$CY$217,0),MATCH(D998,$CZ$159:$DD$159,0))))),0,IF($CU$122="4%",(INDEX($CS$160:$CW$217,MATCH($DG$122,$CR$160:$CR$217,0),MATCH(D998,$CS$159:$CW$159,0))),(INDEX($CZ$160:$DD$217,MATCH($DG$122,$CY$160:$CY$217,0),MATCH(D998,$CZ$159:$DD$159,0)))))</f>
        <v>779264</v>
      </c>
      <c r="S998" s="1397"/>
      <c r="T998" s="1397"/>
      <c r="U998" s="1397"/>
      <c r="V998" s="1397"/>
      <c r="W998" s="1397"/>
      <c r="X998" s="1397"/>
      <c r="Y998" s="1397"/>
      <c r="Z998" s="1397"/>
      <c r="AA998" s="1397"/>
      <c r="AB998" s="1391">
        <f>DE810</f>
        <v>0</v>
      </c>
      <c r="AC998" s="1392"/>
      <c r="AD998" s="1392"/>
      <c r="AE998" s="1392"/>
      <c r="AF998" s="1392"/>
      <c r="AG998" s="1392"/>
      <c r="AH998" s="1392"/>
      <c r="AI998" s="1393"/>
      <c r="AJ998" s="1398">
        <f>IF(ISERROR((R998*AB998)),0,(R998*AB998))</f>
        <v>0</v>
      </c>
      <c r="AK998" s="1399"/>
      <c r="AL998" s="1399"/>
      <c r="AM998" s="1399"/>
      <c r="AN998" s="1399"/>
      <c r="AO998" s="1399"/>
      <c r="AP998" s="1399"/>
      <c r="AQ998" s="1400"/>
      <c r="AR998" s="68"/>
      <c r="AS998" s="68"/>
      <c r="AT998" s="68"/>
      <c r="AU998" s="68"/>
      <c r="AV998" s="68"/>
      <c r="AW998" s="68"/>
      <c r="AX998" s="68"/>
      <c r="AY998" s="68"/>
      <c r="AZ998" s="30"/>
      <c r="BA998" s="34"/>
      <c r="BB998" s="14"/>
      <c r="BC998" s="14"/>
    </row>
    <row r="999" spans="1:55" ht="13" customHeight="1">
      <c r="A999" s="14"/>
      <c r="B999" s="47"/>
      <c r="C999" s="78"/>
      <c r="D999" s="1394" t="s">
        <v>459</v>
      </c>
      <c r="E999" s="1395"/>
      <c r="F999" s="1395"/>
      <c r="G999" s="1395"/>
      <c r="H999" s="1395"/>
      <c r="I999" s="1395"/>
      <c r="J999" s="1395"/>
      <c r="K999" s="1395"/>
      <c r="L999" s="1395"/>
      <c r="M999" s="1395"/>
      <c r="N999" s="1395"/>
      <c r="O999" s="1395"/>
      <c r="P999" s="1395"/>
      <c r="Q999" s="1396"/>
      <c r="R999" s="1397">
        <f>IF(ISNA(IF($CU$122="4%",(INDEX($CS$160:$CW$217,MATCH($DG$122,$CR$160:$CR$217,0),MATCH(D999,$CS$159:$CW$159,0))),(INDEX($CZ$160:$DD$217,MATCH($DG$122,$CY$160:$CY$217,0),MATCH(D999,$CZ$159:$DD$159,0))))),0,IF($CU$122="4%",(INDEX($CS$160:$CW$217,MATCH($DG$122,$CR$160:$CR$217,0),MATCH(D999,$CS$159:$CW$159,0))),(INDEX($CZ$160:$DD$217,MATCH($DG$122,$CY$160:$CY$217,0),MATCH(D999,$CZ$159:$DD$159,0)))))</f>
        <v>868149</v>
      </c>
      <c r="S999" s="1397"/>
      <c r="T999" s="1397"/>
      <c r="U999" s="1397"/>
      <c r="V999" s="1397"/>
      <c r="W999" s="1397"/>
      <c r="X999" s="1397"/>
      <c r="Y999" s="1397"/>
      <c r="Z999" s="1397"/>
      <c r="AA999" s="1397"/>
      <c r="AB999" s="1391">
        <f>DO810+DJ810</f>
        <v>0</v>
      </c>
      <c r="AC999" s="1392"/>
      <c r="AD999" s="1392"/>
      <c r="AE999" s="1392"/>
      <c r="AF999" s="1392"/>
      <c r="AG999" s="1392"/>
      <c r="AH999" s="1392"/>
      <c r="AI999" s="1393"/>
      <c r="AJ999" s="1398">
        <f>IF(ISERROR((R999*AB999)),0,(R999*AB999))</f>
        <v>0</v>
      </c>
      <c r="AK999" s="1399"/>
      <c r="AL999" s="1399"/>
      <c r="AM999" s="1399"/>
      <c r="AN999" s="1399"/>
      <c r="AO999" s="1399"/>
      <c r="AP999" s="1399"/>
      <c r="AQ999" s="1400"/>
      <c r="AR999" s="68"/>
      <c r="AS999" s="68"/>
      <c r="AT999" s="68"/>
      <c r="AU999" s="68"/>
      <c r="AV999" s="68"/>
      <c r="AW999" s="68"/>
      <c r="AX999" s="68"/>
      <c r="AY999" s="68"/>
      <c r="AZ999" s="30"/>
      <c r="BB999" s="14"/>
      <c r="BC999" s="14"/>
    </row>
    <row r="1000" spans="1:55" ht="13" customHeight="1">
      <c r="A1000" s="14"/>
      <c r="B1000" s="1640" t="s">
        <v>790</v>
      </c>
      <c r="C1000" s="1641"/>
      <c r="D1000" s="1641"/>
      <c r="E1000" s="1641"/>
      <c r="F1000" s="1641"/>
      <c r="G1000" s="1641"/>
      <c r="H1000" s="1641"/>
      <c r="I1000" s="1641"/>
      <c r="J1000" s="1641"/>
      <c r="K1000" s="1641"/>
      <c r="L1000" s="1641"/>
      <c r="M1000" s="1641"/>
      <c r="N1000" s="1641"/>
      <c r="O1000" s="1641"/>
      <c r="P1000" s="1641"/>
      <c r="Q1000" s="1641"/>
      <c r="R1000" s="1641"/>
      <c r="S1000" s="1641"/>
      <c r="T1000" s="1641"/>
      <c r="U1000" s="1641"/>
      <c r="V1000" s="1641"/>
      <c r="W1000" s="1641"/>
      <c r="X1000" s="1641"/>
      <c r="Y1000" s="1641"/>
      <c r="Z1000" s="1641"/>
      <c r="AA1000" s="1642"/>
      <c r="AB1000" s="1391">
        <f>SUM(AB995:AI999)</f>
        <v>61</v>
      </c>
      <c r="AC1000" s="1392"/>
      <c r="AD1000" s="1392"/>
      <c r="AE1000" s="1392"/>
      <c r="AF1000" s="1392"/>
      <c r="AG1000" s="1392"/>
      <c r="AH1000" s="1392"/>
      <c r="AI1000" s="1393"/>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14"/>
      <c r="BC1000" s="14"/>
    </row>
    <row r="1001" spans="1:55" ht="13" customHeight="1">
      <c r="A1001" s="14"/>
      <c r="B1001" s="1637" t="s">
        <v>511</v>
      </c>
      <c r="C1001" s="1638"/>
      <c r="D1001" s="1638"/>
      <c r="E1001" s="1638"/>
      <c r="F1001" s="1638"/>
      <c r="G1001" s="1638"/>
      <c r="H1001" s="1638"/>
      <c r="I1001" s="1638"/>
      <c r="J1001" s="1638"/>
      <c r="K1001" s="1638"/>
      <c r="L1001" s="1638"/>
      <c r="M1001" s="1638"/>
      <c r="N1001" s="1638"/>
      <c r="O1001" s="1638"/>
      <c r="P1001" s="1638"/>
      <c r="Q1001" s="1638"/>
      <c r="R1001" s="1638"/>
      <c r="S1001" s="1638"/>
      <c r="T1001" s="1638"/>
      <c r="U1001" s="1638"/>
      <c r="V1001" s="1638"/>
      <c r="W1001" s="1638"/>
      <c r="X1001" s="1638"/>
      <c r="Y1001" s="1638"/>
      <c r="Z1001" s="1638"/>
      <c r="AA1001" s="1638"/>
      <c r="AB1001" s="1638"/>
      <c r="AC1001" s="1638"/>
      <c r="AD1001" s="1638"/>
      <c r="AE1001" s="1638"/>
      <c r="AF1001" s="1638"/>
      <c r="AG1001" s="1638"/>
      <c r="AH1001" s="1638"/>
      <c r="AI1001" s="1639"/>
      <c r="AJ1001" s="1398">
        <f>SUM(AJ995:AQ999)</f>
        <v>30890500</v>
      </c>
      <c r="AK1001" s="1399"/>
      <c r="AL1001" s="1399"/>
      <c r="AM1001" s="1399"/>
      <c r="AN1001" s="1399"/>
      <c r="AO1001" s="1399"/>
      <c r="AP1001" s="1399"/>
      <c r="AQ1001" s="1400"/>
      <c r="AR1001" s="68"/>
      <c r="AS1001" s="68"/>
      <c r="AT1001" s="68"/>
      <c r="AU1001" s="68"/>
      <c r="AV1001" s="68"/>
      <c r="AW1001" s="68"/>
      <c r="AX1001" s="68"/>
      <c r="AY1001" s="68"/>
      <c r="AZ1001" s="34"/>
      <c r="BB1001" s="34"/>
      <c r="BC1001" s="34"/>
    </row>
    <row r="1002" spans="1:55" ht="13" customHeight="1">
      <c r="A1002" s="14"/>
      <c r="B1002" s="1404"/>
      <c r="C1002" s="1405"/>
      <c r="D1002" s="1405"/>
      <c r="E1002" s="1405"/>
      <c r="F1002" s="1405"/>
      <c r="G1002" s="1405"/>
      <c r="H1002" s="1405"/>
      <c r="I1002" s="1405"/>
      <c r="J1002" s="1405"/>
      <c r="K1002" s="1405"/>
      <c r="L1002" s="1405"/>
      <c r="M1002" s="1405"/>
      <c r="N1002" s="1405"/>
      <c r="O1002" s="1405"/>
      <c r="P1002" s="1405"/>
      <c r="Q1002" s="1405"/>
      <c r="R1002" s="1405"/>
      <c r="S1002" s="1405"/>
      <c r="T1002" s="1405"/>
      <c r="U1002" s="1405"/>
      <c r="V1002" s="1405"/>
      <c r="W1002" s="1405"/>
      <c r="X1002" s="1405"/>
      <c r="Y1002" s="1405"/>
      <c r="Z1002" s="1405"/>
      <c r="AA1002" s="1405"/>
      <c r="AB1002" s="1405"/>
      <c r="AC1002" s="1405"/>
      <c r="AD1002" s="1405"/>
      <c r="AE1002" s="1406"/>
      <c r="AF1002" s="1622" t="s">
        <v>665</v>
      </c>
      <c r="AG1002" s="1623"/>
      <c r="AH1002" s="1623"/>
      <c r="AI1002" s="1624"/>
      <c r="AJ1002" s="1404"/>
      <c r="AK1002" s="1405"/>
      <c r="AL1002" s="1405"/>
      <c r="AM1002" s="1405"/>
      <c r="AN1002" s="1405"/>
      <c r="AO1002" s="1405"/>
      <c r="AP1002" s="1405"/>
      <c r="AQ1002" s="1406"/>
      <c r="AR1002" s="68"/>
      <c r="AS1002" s="68"/>
      <c r="AT1002" s="68"/>
      <c r="AU1002" s="68"/>
      <c r="AV1002" s="68"/>
      <c r="AW1002" s="68"/>
      <c r="AX1002" s="68"/>
      <c r="AY1002" s="68"/>
      <c r="AZ1002" s="34"/>
      <c r="BA1002" s="34"/>
      <c r="BB1002" s="34"/>
      <c r="BC1002" s="34"/>
    </row>
    <row r="1003" spans="1:55" ht="13" customHeight="1">
      <c r="A1003" s="14"/>
      <c r="B1003" s="73"/>
      <c r="C1003" s="923" t="s">
        <v>667</v>
      </c>
      <c r="D1003" s="1561" t="s">
        <v>1219</v>
      </c>
      <c r="E1003" s="1562"/>
      <c r="F1003" s="1562"/>
      <c r="G1003" s="1562"/>
      <c r="H1003" s="1562"/>
      <c r="I1003" s="1562"/>
      <c r="J1003" s="1562"/>
      <c r="K1003" s="1562"/>
      <c r="L1003" s="1562"/>
      <c r="M1003" s="1562"/>
      <c r="N1003" s="1562"/>
      <c r="O1003" s="1562"/>
      <c r="P1003" s="1562"/>
      <c r="Q1003" s="1562"/>
      <c r="R1003" s="1562"/>
      <c r="S1003" s="1562"/>
      <c r="T1003" s="1562"/>
      <c r="U1003" s="1562"/>
      <c r="V1003" s="1562"/>
      <c r="W1003" s="1562"/>
      <c r="X1003" s="1562"/>
      <c r="Y1003" s="1562"/>
      <c r="Z1003" s="1562"/>
      <c r="AA1003" s="1562"/>
      <c r="AB1003" s="1562"/>
      <c r="AC1003" s="1562"/>
      <c r="AD1003" s="1562"/>
      <c r="AE1003" s="1563"/>
      <c r="AF1003" s="79"/>
      <c r="AG1003" s="1625" t="s">
        <v>668</v>
      </c>
      <c r="AH1003" s="1626"/>
      <c r="AI1003" s="87"/>
      <c r="AJ1003" s="1366">
        <f>ROUND(IF(AND(AG1003="yes",D1009&gt;0),AJ1001*0.2,0),0)</f>
        <v>0</v>
      </c>
      <c r="AK1003" s="1367"/>
      <c r="AL1003" s="1367"/>
      <c r="AM1003" s="1367"/>
      <c r="AN1003" s="1367"/>
      <c r="AO1003" s="1367"/>
      <c r="AP1003" s="1367"/>
      <c r="AQ1003" s="1368"/>
      <c r="AR1003" s="68"/>
      <c r="AS1003" s="68"/>
      <c r="AT1003" s="68"/>
      <c r="AU1003" s="68"/>
      <c r="AV1003" s="68"/>
      <c r="AW1003" s="68"/>
      <c r="AX1003" s="68"/>
      <c r="AY1003" s="68"/>
      <c r="AZ1003" s="34"/>
      <c r="BA1003" s="34"/>
      <c r="BB1003" s="34"/>
      <c r="BC1003" s="34"/>
    </row>
    <row r="1004" spans="1:55" ht="13" customHeight="1">
      <c r="A1004" s="14"/>
      <c r="B1004" s="257"/>
      <c r="C1004" s="256"/>
      <c r="D1004" s="1567" t="s">
        <v>2188</v>
      </c>
      <c r="E1004" s="1568"/>
      <c r="F1004" s="1568"/>
      <c r="G1004" s="1568"/>
      <c r="H1004" s="1568"/>
      <c r="I1004" s="1568"/>
      <c r="J1004" s="1568"/>
      <c r="K1004" s="1568"/>
      <c r="L1004" s="1568"/>
      <c r="M1004" s="1568"/>
      <c r="N1004" s="1568"/>
      <c r="O1004" s="1568"/>
      <c r="P1004" s="1568"/>
      <c r="Q1004" s="1568"/>
      <c r="R1004" s="1568"/>
      <c r="S1004" s="1568"/>
      <c r="T1004" s="1568"/>
      <c r="U1004" s="1568"/>
      <c r="V1004" s="1568"/>
      <c r="W1004" s="1568"/>
      <c r="X1004" s="1568"/>
      <c r="Y1004" s="1568"/>
      <c r="Z1004" s="1568"/>
      <c r="AA1004" s="1568"/>
      <c r="AB1004" s="1568"/>
      <c r="AC1004" s="1568"/>
      <c r="AD1004" s="1568"/>
      <c r="AE1004" s="1569"/>
      <c r="AF1004" s="73"/>
      <c r="AG1004" s="14"/>
      <c r="AH1004" s="14"/>
      <c r="AI1004" s="83"/>
      <c r="AJ1004" s="1369"/>
      <c r="AK1004" s="1370"/>
      <c r="AL1004" s="1370"/>
      <c r="AM1004" s="1370"/>
      <c r="AN1004" s="1370"/>
      <c r="AO1004" s="1370"/>
      <c r="AP1004" s="1370"/>
      <c r="AQ1004" s="1371"/>
      <c r="AR1004" s="68"/>
      <c r="AS1004" s="68"/>
      <c r="AT1004" s="68"/>
      <c r="AU1004" s="68"/>
      <c r="AV1004" s="68"/>
      <c r="AW1004" s="68"/>
      <c r="AX1004" s="68"/>
      <c r="AY1004" s="68"/>
      <c r="AZ1004" s="34"/>
      <c r="BA1004" s="34"/>
      <c r="BB1004" s="34"/>
      <c r="BC1004" s="34"/>
    </row>
    <row r="1005" spans="1:55" ht="13" customHeight="1">
      <c r="A1005" s="14"/>
      <c r="B1005" s="257"/>
      <c r="C1005" s="256"/>
      <c r="D1005" s="1567"/>
      <c r="E1005" s="1568"/>
      <c r="F1005" s="1568"/>
      <c r="G1005" s="1568"/>
      <c r="H1005" s="1568"/>
      <c r="I1005" s="1568"/>
      <c r="J1005" s="1568"/>
      <c r="K1005" s="1568"/>
      <c r="L1005" s="1568"/>
      <c r="M1005" s="1568"/>
      <c r="N1005" s="1568"/>
      <c r="O1005" s="1568"/>
      <c r="P1005" s="1568"/>
      <c r="Q1005" s="1568"/>
      <c r="R1005" s="1568"/>
      <c r="S1005" s="1568"/>
      <c r="T1005" s="1568"/>
      <c r="U1005" s="1568"/>
      <c r="V1005" s="1568"/>
      <c r="W1005" s="1568"/>
      <c r="X1005" s="1568"/>
      <c r="Y1005" s="1568"/>
      <c r="Z1005" s="1568"/>
      <c r="AA1005" s="1568"/>
      <c r="AB1005" s="1568"/>
      <c r="AC1005" s="1568"/>
      <c r="AD1005" s="1568"/>
      <c r="AE1005" s="1569"/>
      <c r="AF1005" s="73"/>
      <c r="AG1005" s="14"/>
      <c r="AH1005" s="14"/>
      <c r="AI1005" s="83"/>
      <c r="AJ1005" s="1369"/>
      <c r="AK1005" s="1370"/>
      <c r="AL1005" s="1370"/>
      <c r="AM1005" s="1370"/>
      <c r="AN1005" s="1370"/>
      <c r="AO1005" s="1370"/>
      <c r="AP1005" s="1370"/>
      <c r="AQ1005" s="1371"/>
      <c r="AR1005" s="68"/>
      <c r="AS1005" s="68"/>
      <c r="AT1005" s="68"/>
      <c r="AU1005" s="68"/>
      <c r="AV1005" s="68"/>
      <c r="AW1005" s="68"/>
      <c r="AX1005" s="68"/>
      <c r="AY1005" s="68"/>
      <c r="AZ1005" s="34"/>
      <c r="BA1005" s="34"/>
      <c r="BB1005" s="34"/>
      <c r="BC1005" s="34"/>
    </row>
    <row r="1006" spans="1:55" ht="13" customHeight="1">
      <c r="A1006" s="14"/>
      <c r="B1006" s="257"/>
      <c r="C1006" s="256"/>
      <c r="D1006" s="1567"/>
      <c r="E1006" s="1568"/>
      <c r="F1006" s="1568"/>
      <c r="G1006" s="1568"/>
      <c r="H1006" s="1568"/>
      <c r="I1006" s="1568"/>
      <c r="J1006" s="1568"/>
      <c r="K1006" s="1568"/>
      <c r="L1006" s="1568"/>
      <c r="M1006" s="1568"/>
      <c r="N1006" s="1568"/>
      <c r="O1006" s="1568"/>
      <c r="P1006" s="1568"/>
      <c r="Q1006" s="1568"/>
      <c r="R1006" s="1568"/>
      <c r="S1006" s="1568"/>
      <c r="T1006" s="1568"/>
      <c r="U1006" s="1568"/>
      <c r="V1006" s="1568"/>
      <c r="W1006" s="1568"/>
      <c r="X1006" s="1568"/>
      <c r="Y1006" s="1568"/>
      <c r="Z1006" s="1568"/>
      <c r="AA1006" s="1568"/>
      <c r="AB1006" s="1568"/>
      <c r="AC1006" s="1568"/>
      <c r="AD1006" s="1568"/>
      <c r="AE1006" s="1569"/>
      <c r="AF1006" s="73"/>
      <c r="AG1006" s="14"/>
      <c r="AH1006" s="14"/>
      <c r="AI1006" s="83"/>
      <c r="AJ1006" s="1369"/>
      <c r="AK1006" s="1370"/>
      <c r="AL1006" s="1370"/>
      <c r="AM1006" s="1370"/>
      <c r="AN1006" s="1370"/>
      <c r="AO1006" s="1370"/>
      <c r="AP1006" s="1370"/>
      <c r="AQ1006" s="1371"/>
      <c r="AR1006" s="68"/>
      <c r="AS1006" s="68"/>
      <c r="AT1006" s="68"/>
      <c r="AU1006" s="68"/>
      <c r="AV1006" s="68"/>
      <c r="AW1006" s="68"/>
      <c r="AX1006" s="68"/>
      <c r="AY1006" s="68"/>
      <c r="AZ1006" s="34"/>
      <c r="BA1006" s="34"/>
      <c r="BB1006" s="34"/>
      <c r="BC1006" s="34"/>
    </row>
    <row r="1007" spans="1:55" ht="13" customHeight="1">
      <c r="A1007" s="14"/>
      <c r="B1007" s="257"/>
      <c r="C1007" s="256"/>
      <c r="D1007" s="1567"/>
      <c r="E1007" s="1568"/>
      <c r="F1007" s="1568"/>
      <c r="G1007" s="1568"/>
      <c r="H1007" s="1568"/>
      <c r="I1007" s="1568"/>
      <c r="J1007" s="1568"/>
      <c r="K1007" s="1568"/>
      <c r="L1007" s="1568"/>
      <c r="M1007" s="1568"/>
      <c r="N1007" s="1568"/>
      <c r="O1007" s="1568"/>
      <c r="P1007" s="1568"/>
      <c r="Q1007" s="1568"/>
      <c r="R1007" s="1568"/>
      <c r="S1007" s="1568"/>
      <c r="T1007" s="1568"/>
      <c r="U1007" s="1568"/>
      <c r="V1007" s="1568"/>
      <c r="W1007" s="1568"/>
      <c r="X1007" s="1568"/>
      <c r="Y1007" s="1568"/>
      <c r="Z1007" s="1568"/>
      <c r="AA1007" s="1568"/>
      <c r="AB1007" s="1568"/>
      <c r="AC1007" s="1568"/>
      <c r="AD1007" s="1568"/>
      <c r="AE1007" s="1569"/>
      <c r="AF1007" s="73"/>
      <c r="AG1007" s="14"/>
      <c r="AH1007" s="14"/>
      <c r="AI1007" s="83"/>
      <c r="AJ1007" s="1369"/>
      <c r="AK1007" s="1370"/>
      <c r="AL1007" s="1370"/>
      <c r="AM1007" s="1370"/>
      <c r="AN1007" s="1370"/>
      <c r="AO1007" s="1370"/>
      <c r="AP1007" s="1370"/>
      <c r="AQ1007" s="1371"/>
      <c r="AR1007" s="68"/>
      <c r="AS1007" s="68"/>
      <c r="AT1007" s="68"/>
      <c r="AU1007" s="68"/>
      <c r="AV1007" s="68"/>
      <c r="AW1007" s="68"/>
      <c r="AX1007" s="68"/>
      <c r="AY1007" s="68"/>
      <c r="AZ1007" s="34"/>
      <c r="BA1007" s="34"/>
      <c r="BB1007" s="34"/>
      <c r="BC1007" s="34"/>
    </row>
    <row r="1008" spans="1:55" ht="13" customHeight="1">
      <c r="A1008" s="14"/>
      <c r="B1008" s="257"/>
      <c r="C1008" s="256"/>
      <c r="D1008" s="1555" t="s">
        <v>2159</v>
      </c>
      <c r="E1008" s="1556"/>
      <c r="F1008" s="1556"/>
      <c r="G1008" s="1556"/>
      <c r="H1008" s="1556"/>
      <c r="I1008" s="1556"/>
      <c r="J1008" s="1556"/>
      <c r="K1008" s="1556"/>
      <c r="L1008" s="1556"/>
      <c r="M1008" s="1556"/>
      <c r="N1008" s="1556"/>
      <c r="O1008" s="1556"/>
      <c r="P1008" s="1556"/>
      <c r="Q1008" s="1556"/>
      <c r="R1008" s="1556"/>
      <c r="S1008" s="1556"/>
      <c r="T1008" s="1556"/>
      <c r="U1008" s="1556"/>
      <c r="V1008" s="1556"/>
      <c r="W1008" s="1556"/>
      <c r="X1008" s="1556"/>
      <c r="Y1008" s="1556"/>
      <c r="Z1008" s="1556"/>
      <c r="AA1008" s="1556"/>
      <c r="AB1008" s="1556"/>
      <c r="AC1008" s="1556"/>
      <c r="AD1008" s="1556"/>
      <c r="AE1008" s="1557"/>
      <c r="AF1008" s="73"/>
      <c r="AG1008" s="14"/>
      <c r="AH1008" s="14"/>
      <c r="AI1008" s="83"/>
      <c r="AJ1008" s="1369"/>
      <c r="AK1008" s="1370"/>
      <c r="AL1008" s="1370"/>
      <c r="AM1008" s="1370"/>
      <c r="AN1008" s="1370"/>
      <c r="AO1008" s="1370"/>
      <c r="AP1008" s="1370"/>
      <c r="AQ1008" s="1371"/>
      <c r="AR1008" s="68"/>
      <c r="AS1008" s="68"/>
      <c r="AT1008" s="68"/>
      <c r="AU1008" s="68"/>
      <c r="AV1008" s="68"/>
      <c r="AW1008" s="68"/>
      <c r="AX1008" s="68"/>
      <c r="AY1008" s="68"/>
      <c r="AZ1008" s="34"/>
      <c r="BA1008" s="34"/>
      <c r="BB1008" s="34"/>
      <c r="BC1008" s="34"/>
    </row>
    <row r="1009" spans="1:55" ht="13" customHeight="1">
      <c r="A1009" s="14"/>
      <c r="B1009" s="257"/>
      <c r="C1009" s="256"/>
      <c r="D1009" s="1564"/>
      <c r="E1009" s="1565"/>
      <c r="F1009" s="1565"/>
      <c r="G1009" s="1565"/>
      <c r="H1009" s="1565"/>
      <c r="I1009" s="1565"/>
      <c r="J1009" s="1565"/>
      <c r="K1009" s="1565"/>
      <c r="L1009" s="1565"/>
      <c r="M1009" s="1565"/>
      <c r="N1009" s="1565"/>
      <c r="O1009" s="1565"/>
      <c r="P1009" s="1565"/>
      <c r="Q1009" s="1565"/>
      <c r="R1009" s="1565"/>
      <c r="S1009" s="1565"/>
      <c r="T1009" s="1565"/>
      <c r="U1009" s="1565"/>
      <c r="V1009" s="1565"/>
      <c r="W1009" s="1565"/>
      <c r="X1009" s="1565"/>
      <c r="Y1009" s="1565"/>
      <c r="Z1009" s="1565"/>
      <c r="AA1009" s="1565"/>
      <c r="AB1009" s="1565"/>
      <c r="AC1009" s="1565"/>
      <c r="AD1009" s="1565"/>
      <c r="AE1009" s="1566"/>
      <c r="AF1009" s="77"/>
      <c r="AG1009" s="7"/>
      <c r="AH1009" s="7"/>
      <c r="AI1009" s="78"/>
      <c r="AJ1009" s="1372"/>
      <c r="AK1009" s="1373"/>
      <c r="AL1009" s="1373"/>
      <c r="AM1009" s="1373"/>
      <c r="AN1009" s="1373"/>
      <c r="AO1009" s="1373"/>
      <c r="AP1009" s="1373"/>
      <c r="AQ1009" s="1374"/>
      <c r="AR1009" s="68"/>
      <c r="AS1009" s="68"/>
      <c r="AT1009" s="68"/>
      <c r="AU1009" s="68"/>
      <c r="AV1009" s="68"/>
      <c r="AW1009" s="68"/>
      <c r="AX1009" s="68"/>
      <c r="AY1009" s="68"/>
      <c r="AZ1009" s="34"/>
      <c r="BA1009" s="34"/>
      <c r="BB1009" s="34"/>
      <c r="BC1009" s="34"/>
    </row>
    <row r="1010" spans="1:55" ht="13" customHeight="1">
      <c r="A1010" s="14"/>
      <c r="B1010" s="255"/>
      <c r="C1010" s="318"/>
      <c r="D1010" s="1570" t="s">
        <v>1285</v>
      </c>
      <c r="E1010" s="1571"/>
      <c r="F1010" s="1571"/>
      <c r="G1010" s="1571"/>
      <c r="H1010" s="1571"/>
      <c r="I1010" s="1571"/>
      <c r="J1010" s="1571"/>
      <c r="K1010" s="1571"/>
      <c r="L1010" s="1571"/>
      <c r="M1010" s="1571"/>
      <c r="N1010" s="1571"/>
      <c r="O1010" s="1571"/>
      <c r="P1010" s="1571"/>
      <c r="Q1010" s="1571"/>
      <c r="R1010" s="1571"/>
      <c r="S1010" s="1571"/>
      <c r="T1010" s="1571"/>
      <c r="U1010" s="1571"/>
      <c r="V1010" s="1571"/>
      <c r="W1010" s="1571"/>
      <c r="X1010" s="1571"/>
      <c r="Y1010" s="1571"/>
      <c r="Z1010" s="1571"/>
      <c r="AA1010" s="1571"/>
      <c r="AB1010" s="1571"/>
      <c r="AC1010" s="1571"/>
      <c r="AD1010" s="1571"/>
      <c r="AE1010" s="1572"/>
      <c r="AF1010" s="79"/>
      <c r="AG1010" s="1595" t="s">
        <v>668</v>
      </c>
      <c r="AH1010" s="1596"/>
      <c r="AI1010" s="87"/>
      <c r="AJ1010" s="1366">
        <f>ROUND(IF(AG1010="yes",AJ1001*0.05,0),0)</f>
        <v>0</v>
      </c>
      <c r="AK1010" s="1367"/>
      <c r="AL1010" s="1367"/>
      <c r="AM1010" s="1367"/>
      <c r="AN1010" s="1367"/>
      <c r="AO1010" s="1367"/>
      <c r="AP1010" s="1367"/>
      <c r="AQ1010" s="1368"/>
      <c r="AR1010" s="68"/>
      <c r="AS1010" s="68"/>
      <c r="AT1010" s="68"/>
      <c r="AU1010" s="68"/>
      <c r="AV1010" s="68"/>
      <c r="AW1010" s="68"/>
      <c r="AX1010" s="68"/>
      <c r="AY1010" s="68"/>
      <c r="AZ1010" s="34"/>
      <c r="BA1010" s="34"/>
      <c r="BB1010" s="34"/>
      <c r="BC1010" s="34"/>
    </row>
    <row r="1011" spans="1:55" ht="13" customHeight="1">
      <c r="A1011" s="14"/>
      <c r="B1011" s="257"/>
      <c r="C1011" s="82"/>
      <c r="D1011" s="1567" t="s">
        <v>1283</v>
      </c>
      <c r="E1011" s="1568"/>
      <c r="F1011" s="1568"/>
      <c r="G1011" s="1568"/>
      <c r="H1011" s="1568"/>
      <c r="I1011" s="1568"/>
      <c r="J1011" s="1568"/>
      <c r="K1011" s="1568"/>
      <c r="L1011" s="1568"/>
      <c r="M1011" s="1568"/>
      <c r="N1011" s="1568"/>
      <c r="O1011" s="1568"/>
      <c r="P1011" s="1568"/>
      <c r="Q1011" s="1568"/>
      <c r="R1011" s="1568"/>
      <c r="S1011" s="1568"/>
      <c r="T1011" s="1568"/>
      <c r="U1011" s="1568"/>
      <c r="V1011" s="1568"/>
      <c r="W1011" s="1568"/>
      <c r="X1011" s="1568"/>
      <c r="Y1011" s="1568"/>
      <c r="Z1011" s="1568"/>
      <c r="AA1011" s="1568"/>
      <c r="AB1011" s="1568"/>
      <c r="AC1011" s="1568"/>
      <c r="AD1011" s="1568"/>
      <c r="AE1011" s="1569"/>
      <c r="AF1011" s="73"/>
      <c r="AG1011" s="14"/>
      <c r="AH1011" s="14"/>
      <c r="AI1011" s="83"/>
      <c r="AJ1011" s="1369"/>
      <c r="AK1011" s="1370"/>
      <c r="AL1011" s="1370"/>
      <c r="AM1011" s="1370"/>
      <c r="AN1011" s="1370"/>
      <c r="AO1011" s="1370"/>
      <c r="AP1011" s="1370"/>
      <c r="AQ1011" s="1371"/>
      <c r="AR1011" s="68"/>
      <c r="AS1011" s="68"/>
      <c r="AT1011" s="68"/>
      <c r="AU1011" s="68"/>
      <c r="AV1011" s="68"/>
      <c r="AW1011" s="68"/>
      <c r="AX1011" s="68"/>
      <c r="AY1011" s="34"/>
      <c r="AZ1011" s="34"/>
      <c r="BB1011" s="34"/>
    </row>
    <row r="1012" spans="1:55" ht="13" customHeight="1">
      <c r="A1012" s="14"/>
      <c r="B1012" s="257"/>
      <c r="C1012" s="82"/>
      <c r="D1012" s="1567"/>
      <c r="E1012" s="1568"/>
      <c r="F1012" s="1568"/>
      <c r="G1012" s="1568"/>
      <c r="H1012" s="1568"/>
      <c r="I1012" s="1568"/>
      <c r="J1012" s="1568"/>
      <c r="K1012" s="1568"/>
      <c r="L1012" s="1568"/>
      <c r="M1012" s="1568"/>
      <c r="N1012" s="1568"/>
      <c r="O1012" s="1568"/>
      <c r="P1012" s="1568"/>
      <c r="Q1012" s="1568"/>
      <c r="R1012" s="1568"/>
      <c r="S1012" s="1568"/>
      <c r="T1012" s="1568"/>
      <c r="U1012" s="1568"/>
      <c r="V1012" s="1568"/>
      <c r="W1012" s="1568"/>
      <c r="X1012" s="1568"/>
      <c r="Y1012" s="1568"/>
      <c r="Z1012" s="1568"/>
      <c r="AA1012" s="1568"/>
      <c r="AB1012" s="1568"/>
      <c r="AC1012" s="1568"/>
      <c r="AD1012" s="1568"/>
      <c r="AE1012" s="1569"/>
      <c r="AF1012" s="73"/>
      <c r="AG1012" s="14"/>
      <c r="AH1012" s="14"/>
      <c r="AI1012" s="83"/>
      <c r="AJ1012" s="1369"/>
      <c r="AK1012" s="1370"/>
      <c r="AL1012" s="1370"/>
      <c r="AM1012" s="1370"/>
      <c r="AN1012" s="1370"/>
      <c r="AO1012" s="1370"/>
      <c r="AP1012" s="1370"/>
      <c r="AQ1012" s="1371"/>
      <c r="AR1012" s="68"/>
      <c r="AS1012" s="68"/>
      <c r="AT1012" s="68"/>
      <c r="AU1012" s="68"/>
      <c r="AV1012" s="68"/>
      <c r="AW1012" s="68"/>
      <c r="AX1012" s="68"/>
      <c r="AY1012" s="910">
        <f>G761+O805</f>
        <v>60</v>
      </c>
      <c r="AZ1012" s="34"/>
      <c r="BB1012" s="34"/>
    </row>
    <row r="1013" spans="1:55" ht="13" customHeight="1">
      <c r="A1013" s="14"/>
      <c r="B1013" s="257"/>
      <c r="C1013" s="82"/>
      <c r="D1013" s="1567"/>
      <c r="E1013" s="1568"/>
      <c r="F1013" s="1568"/>
      <c r="G1013" s="1568"/>
      <c r="H1013" s="1568"/>
      <c r="I1013" s="1568"/>
      <c r="J1013" s="1568"/>
      <c r="K1013" s="1568"/>
      <c r="L1013" s="1568"/>
      <c r="M1013" s="1568"/>
      <c r="N1013" s="1568"/>
      <c r="O1013" s="1568"/>
      <c r="P1013" s="1568"/>
      <c r="Q1013" s="1568"/>
      <c r="R1013" s="1568"/>
      <c r="S1013" s="1568"/>
      <c r="T1013" s="1568"/>
      <c r="U1013" s="1568"/>
      <c r="V1013" s="1568"/>
      <c r="W1013" s="1568"/>
      <c r="X1013" s="1568"/>
      <c r="Y1013" s="1568"/>
      <c r="Z1013" s="1568"/>
      <c r="AA1013" s="1568"/>
      <c r="AB1013" s="1568"/>
      <c r="AC1013" s="1568"/>
      <c r="AD1013" s="1568"/>
      <c r="AE1013" s="1569"/>
      <c r="AF1013" s="73"/>
      <c r="AG1013" s="14"/>
      <c r="AH1013" s="14"/>
      <c r="AI1013" s="83"/>
      <c r="AJ1013" s="1369"/>
      <c r="AK1013" s="1370"/>
      <c r="AL1013" s="1370"/>
      <c r="AM1013" s="1370"/>
      <c r="AN1013" s="1370"/>
      <c r="AO1013" s="1370"/>
      <c r="AP1013" s="1370"/>
      <c r="AQ1013" s="1371"/>
      <c r="AR1013" s="68"/>
      <c r="AS1013" s="68"/>
      <c r="AT1013" s="68"/>
      <c r="AU1013" s="68"/>
      <c r="AV1013" s="68"/>
      <c r="AW1013" s="68"/>
      <c r="AX1013" s="68"/>
      <c r="AY1013" s="14"/>
      <c r="AZ1013" s="34"/>
      <c r="BB1013" s="34"/>
    </row>
    <row r="1014" spans="1:55" ht="13" customHeight="1">
      <c r="A1014" s="14"/>
      <c r="B1014" s="257"/>
      <c r="C1014" s="82"/>
      <c r="D1014" s="1567"/>
      <c r="E1014" s="1568"/>
      <c r="F1014" s="1568"/>
      <c r="G1014" s="1568"/>
      <c r="H1014" s="1568"/>
      <c r="I1014" s="1568"/>
      <c r="J1014" s="1568"/>
      <c r="K1014" s="1568"/>
      <c r="L1014" s="1568"/>
      <c r="M1014" s="1568"/>
      <c r="N1014" s="1568"/>
      <c r="O1014" s="1568"/>
      <c r="P1014" s="1568"/>
      <c r="Q1014" s="1568"/>
      <c r="R1014" s="1568"/>
      <c r="S1014" s="1568"/>
      <c r="T1014" s="1568"/>
      <c r="U1014" s="1568"/>
      <c r="V1014" s="1568"/>
      <c r="W1014" s="1568"/>
      <c r="X1014" s="1568"/>
      <c r="Y1014" s="1568"/>
      <c r="Z1014" s="1568"/>
      <c r="AA1014" s="1568"/>
      <c r="AB1014" s="1568"/>
      <c r="AC1014" s="1568"/>
      <c r="AD1014" s="1568"/>
      <c r="AE1014" s="1569"/>
      <c r="AF1014" s="73"/>
      <c r="AG1014" s="14"/>
      <c r="AH1014" s="14"/>
      <c r="AI1014" s="83"/>
      <c r="AJ1014" s="1369"/>
      <c r="AK1014" s="1370"/>
      <c r="AL1014" s="1370"/>
      <c r="AM1014" s="1370"/>
      <c r="AN1014" s="1370"/>
      <c r="AO1014" s="1370"/>
      <c r="AP1014" s="1370"/>
      <c r="AQ1014" s="1371"/>
      <c r="AR1014" s="68"/>
      <c r="AS1014" s="68"/>
      <c r="AT1014" s="68"/>
      <c r="AU1014" s="68"/>
      <c r="AV1014" s="68"/>
      <c r="AW1014" s="68"/>
      <c r="AX1014" s="68"/>
      <c r="AY1014" s="909">
        <f>ROUNDDOWN(X1057/I1057,2)</f>
        <v>0.5</v>
      </c>
      <c r="AZ1014" s="34"/>
      <c r="BB1014" s="34"/>
    </row>
    <row r="1015" spans="1:55" ht="13" customHeight="1">
      <c r="A1015" s="14"/>
      <c r="B1015" s="75"/>
      <c r="C1015" s="76"/>
      <c r="D1015" s="1555"/>
      <c r="E1015" s="1556"/>
      <c r="F1015" s="1556"/>
      <c r="G1015" s="1556"/>
      <c r="H1015" s="1556"/>
      <c r="I1015" s="1556"/>
      <c r="J1015" s="1556"/>
      <c r="K1015" s="1556"/>
      <c r="L1015" s="1556"/>
      <c r="M1015" s="1556"/>
      <c r="N1015" s="1556"/>
      <c r="O1015" s="1556"/>
      <c r="P1015" s="1556"/>
      <c r="Q1015" s="1556"/>
      <c r="R1015" s="1556"/>
      <c r="S1015" s="1556"/>
      <c r="T1015" s="1556"/>
      <c r="U1015" s="1556"/>
      <c r="V1015" s="1556"/>
      <c r="W1015" s="1556"/>
      <c r="X1015" s="1556"/>
      <c r="Y1015" s="1556"/>
      <c r="Z1015" s="1556"/>
      <c r="AA1015" s="1556"/>
      <c r="AB1015" s="1556"/>
      <c r="AC1015" s="1556"/>
      <c r="AD1015" s="1556"/>
      <c r="AE1015" s="1557"/>
      <c r="AF1015" s="77"/>
      <c r="AG1015" s="7"/>
      <c r="AH1015" s="7"/>
      <c r="AI1015" s="78"/>
      <c r="AJ1015" s="1372"/>
      <c r="AK1015" s="1373"/>
      <c r="AL1015" s="1373"/>
      <c r="AM1015" s="1373"/>
      <c r="AN1015" s="1373"/>
      <c r="AO1015" s="1373"/>
      <c r="AP1015" s="1373"/>
      <c r="AQ1015" s="1374"/>
      <c r="AR1015" s="68"/>
      <c r="AS1015" s="68"/>
      <c r="AT1015" s="68"/>
      <c r="AU1015" s="68"/>
      <c r="AV1015" s="68"/>
      <c r="AW1015" s="68"/>
      <c r="AX1015" s="68"/>
      <c r="AY1015" s="909">
        <f>ROUNDDOWN(X1061/I1061,2)</f>
        <v>0.5</v>
      </c>
      <c r="AZ1015" s="34"/>
      <c r="BB1015" s="34"/>
    </row>
    <row r="1016" spans="1:55" ht="13" customHeight="1">
      <c r="A1016" s="14"/>
      <c r="B1016" s="255"/>
      <c r="C1016" s="80" t="s">
        <v>671</v>
      </c>
      <c r="D1016" s="1570" t="s">
        <v>1671</v>
      </c>
      <c r="E1016" s="1571"/>
      <c r="F1016" s="1571"/>
      <c r="G1016" s="1571"/>
      <c r="H1016" s="1571"/>
      <c r="I1016" s="1571"/>
      <c r="J1016" s="1571"/>
      <c r="K1016" s="1571"/>
      <c r="L1016" s="1571"/>
      <c r="M1016" s="1571"/>
      <c r="N1016" s="1571"/>
      <c r="O1016" s="1571"/>
      <c r="P1016" s="1571"/>
      <c r="Q1016" s="1571"/>
      <c r="R1016" s="1571"/>
      <c r="S1016" s="1571"/>
      <c r="T1016" s="1571"/>
      <c r="U1016" s="1571"/>
      <c r="V1016" s="1571"/>
      <c r="W1016" s="1571"/>
      <c r="X1016" s="1571"/>
      <c r="Y1016" s="1571"/>
      <c r="Z1016" s="1571"/>
      <c r="AA1016" s="1571"/>
      <c r="AB1016" s="1571"/>
      <c r="AC1016" s="1571"/>
      <c r="AD1016" s="1571"/>
      <c r="AE1016" s="1572"/>
      <c r="AF1016" s="86"/>
      <c r="AG1016" s="1595" t="s">
        <v>668</v>
      </c>
      <c r="AH1016" s="1596"/>
      <c r="AI1016" s="87"/>
      <c r="AJ1016" s="1366">
        <f>ROUND(IF(AG1016="yes",AJ1001*0.1,0),0)</f>
        <v>0</v>
      </c>
      <c r="AK1016" s="1367"/>
      <c r="AL1016" s="1367"/>
      <c r="AM1016" s="1367"/>
      <c r="AN1016" s="1367"/>
      <c r="AO1016" s="1367"/>
      <c r="AP1016" s="1367"/>
      <c r="AQ1016" s="1368"/>
      <c r="AR1016" s="68"/>
      <c r="AS1016" s="68"/>
      <c r="AT1016" s="68"/>
      <c r="AU1016" s="68"/>
      <c r="AV1016" s="68"/>
      <c r="AW1016" s="68"/>
      <c r="AX1016" s="68"/>
      <c r="BB1016" s="34"/>
    </row>
    <row r="1017" spans="1:55" ht="13" customHeight="1">
      <c r="A1017" s="14"/>
      <c r="B1017" s="73"/>
      <c r="C1017" s="74"/>
      <c r="D1017" s="1586" t="s">
        <v>1284</v>
      </c>
      <c r="E1017" s="1587"/>
      <c r="F1017" s="1587"/>
      <c r="G1017" s="1587"/>
      <c r="H1017" s="1587"/>
      <c r="I1017" s="1587"/>
      <c r="J1017" s="1587"/>
      <c r="K1017" s="1587"/>
      <c r="L1017" s="1587"/>
      <c r="M1017" s="1587"/>
      <c r="N1017" s="1587"/>
      <c r="O1017" s="1587"/>
      <c r="P1017" s="1587"/>
      <c r="Q1017" s="1587"/>
      <c r="R1017" s="1587"/>
      <c r="S1017" s="1587"/>
      <c r="T1017" s="1587"/>
      <c r="U1017" s="1587"/>
      <c r="V1017" s="1587"/>
      <c r="W1017" s="1587"/>
      <c r="X1017" s="1587"/>
      <c r="Y1017" s="1587"/>
      <c r="Z1017" s="1587"/>
      <c r="AA1017" s="1587"/>
      <c r="AB1017" s="1587"/>
      <c r="AC1017" s="1587"/>
      <c r="AD1017" s="1587"/>
      <c r="AE1017" s="1588"/>
      <c r="AF1017" s="73"/>
      <c r="AI1017" s="83"/>
      <c r="AJ1017" s="1369"/>
      <c r="AK1017" s="1370"/>
      <c r="AL1017" s="1370"/>
      <c r="AM1017" s="1370"/>
      <c r="AN1017" s="1370"/>
      <c r="AO1017" s="1370"/>
      <c r="AP1017" s="1370"/>
      <c r="AQ1017" s="1371"/>
      <c r="AR1017" s="68"/>
      <c r="AS1017" s="68"/>
      <c r="AT1017" s="68"/>
      <c r="AU1017" s="68"/>
      <c r="AV1017" s="68"/>
      <c r="AW1017" s="68"/>
      <c r="AX1017" s="68"/>
    </row>
    <row r="1018" spans="1:55" ht="13" customHeight="1">
      <c r="A1018" s="14"/>
      <c r="B1018" s="73"/>
      <c r="C1018" s="74"/>
      <c r="D1018" s="1586"/>
      <c r="E1018" s="1587"/>
      <c r="F1018" s="1587"/>
      <c r="G1018" s="1587"/>
      <c r="H1018" s="1587"/>
      <c r="I1018" s="1587"/>
      <c r="J1018" s="1587"/>
      <c r="K1018" s="1587"/>
      <c r="L1018" s="1587"/>
      <c r="M1018" s="1587"/>
      <c r="N1018" s="1587"/>
      <c r="O1018" s="1587"/>
      <c r="P1018" s="1587"/>
      <c r="Q1018" s="1587"/>
      <c r="R1018" s="1587"/>
      <c r="S1018" s="1587"/>
      <c r="T1018" s="1587"/>
      <c r="U1018" s="1587"/>
      <c r="V1018" s="1587"/>
      <c r="W1018" s="1587"/>
      <c r="X1018" s="1587"/>
      <c r="Y1018" s="1587"/>
      <c r="Z1018" s="1587"/>
      <c r="AA1018" s="1587"/>
      <c r="AB1018" s="1587"/>
      <c r="AC1018" s="1587"/>
      <c r="AD1018" s="1587"/>
      <c r="AE1018" s="1588"/>
      <c r="AF1018" s="73"/>
      <c r="AG1018" s="14"/>
      <c r="AH1018" s="14"/>
      <c r="AI1018" s="83"/>
      <c r="AJ1018" s="1369"/>
      <c r="AK1018" s="1370"/>
      <c r="AL1018" s="1370"/>
      <c r="AM1018" s="1370"/>
      <c r="AN1018" s="1370"/>
      <c r="AO1018" s="1370"/>
      <c r="AP1018" s="1370"/>
      <c r="AQ1018" s="1371"/>
      <c r="AR1018" s="68"/>
      <c r="AS1018" s="68"/>
      <c r="AT1018" s="68"/>
      <c r="AU1018" s="68"/>
      <c r="AV1018" s="68"/>
      <c r="AW1018" s="68"/>
      <c r="AX1018" s="68"/>
    </row>
    <row r="1019" spans="1:55" ht="13" customHeight="1">
      <c r="A1019" s="14"/>
      <c r="B1019" s="85"/>
      <c r="C1019" s="76"/>
      <c r="D1019" s="1573"/>
      <c r="E1019" s="1574"/>
      <c r="F1019" s="1574"/>
      <c r="G1019" s="1574"/>
      <c r="H1019" s="1574"/>
      <c r="I1019" s="1574"/>
      <c r="J1019" s="1574"/>
      <c r="K1019" s="1574"/>
      <c r="L1019" s="1574"/>
      <c r="M1019" s="1574"/>
      <c r="N1019" s="1574"/>
      <c r="O1019" s="1574"/>
      <c r="P1019" s="1574"/>
      <c r="Q1019" s="1574"/>
      <c r="R1019" s="1574"/>
      <c r="S1019" s="1574"/>
      <c r="T1019" s="1574"/>
      <c r="U1019" s="1574"/>
      <c r="V1019" s="1574"/>
      <c r="W1019" s="1574"/>
      <c r="X1019" s="1574"/>
      <c r="Y1019" s="1574"/>
      <c r="Z1019" s="1574"/>
      <c r="AA1019" s="1574"/>
      <c r="AB1019" s="1574"/>
      <c r="AC1019" s="1574"/>
      <c r="AD1019" s="1574"/>
      <c r="AE1019" s="1575"/>
      <c r="AF1019" s="77"/>
      <c r="AG1019" s="7"/>
      <c r="AH1019" s="7"/>
      <c r="AI1019" s="78"/>
      <c r="AJ1019" s="1372"/>
      <c r="AK1019" s="1373"/>
      <c r="AL1019" s="1373"/>
      <c r="AM1019" s="1373"/>
      <c r="AN1019" s="1373"/>
      <c r="AO1019" s="1373"/>
      <c r="AP1019" s="1373"/>
      <c r="AQ1019" s="1374"/>
      <c r="AR1019" s="68"/>
      <c r="AS1019" s="68"/>
      <c r="AT1019" s="68"/>
      <c r="AU1019" s="68"/>
      <c r="AV1019" s="68"/>
      <c r="AW1019" s="68"/>
      <c r="AX1019" s="68"/>
    </row>
    <row r="1020" spans="1:55" ht="13" customHeight="1">
      <c r="A1020" s="14"/>
      <c r="B1020" s="79"/>
      <c r="C1020" s="80" t="s">
        <v>211</v>
      </c>
      <c r="D1020" s="1570" t="s">
        <v>1286</v>
      </c>
      <c r="E1020" s="1571"/>
      <c r="F1020" s="1571"/>
      <c r="G1020" s="1571"/>
      <c r="H1020" s="1571"/>
      <c r="I1020" s="1571"/>
      <c r="J1020" s="1571"/>
      <c r="K1020" s="1571"/>
      <c r="L1020" s="1571"/>
      <c r="M1020" s="1571"/>
      <c r="N1020" s="1571"/>
      <c r="O1020" s="1571"/>
      <c r="P1020" s="1571"/>
      <c r="Q1020" s="1571"/>
      <c r="R1020" s="1571"/>
      <c r="S1020" s="1571"/>
      <c r="T1020" s="1571"/>
      <c r="U1020" s="1571"/>
      <c r="V1020" s="1571"/>
      <c r="W1020" s="1571"/>
      <c r="X1020" s="1571"/>
      <c r="Y1020" s="1571"/>
      <c r="Z1020" s="1571"/>
      <c r="AA1020" s="1571"/>
      <c r="AB1020" s="1571"/>
      <c r="AC1020" s="1571"/>
      <c r="AD1020" s="1571"/>
      <c r="AE1020" s="1572"/>
      <c r="AF1020" s="79"/>
      <c r="AG1020" s="1595" t="s">
        <v>668</v>
      </c>
      <c r="AH1020" s="1596"/>
      <c r="AI1020" s="87"/>
      <c r="AJ1020" s="1366">
        <f>ROUND(IF(AG1020="yes",AJ1001*0.02,0),0)</f>
        <v>0</v>
      </c>
      <c r="AK1020" s="1367"/>
      <c r="AL1020" s="1367"/>
      <c r="AM1020" s="1367"/>
      <c r="AN1020" s="1367"/>
      <c r="AO1020" s="1367"/>
      <c r="AP1020" s="1367"/>
      <c r="AQ1020" s="1368"/>
      <c r="AR1020" s="68"/>
      <c r="AS1020" s="68"/>
      <c r="AT1020" s="68"/>
      <c r="AU1020" s="68"/>
      <c r="AV1020" s="68"/>
      <c r="AW1020" s="68"/>
      <c r="AX1020" s="68"/>
    </row>
    <row r="1021" spans="1:55" ht="14.25" customHeight="1">
      <c r="A1021" s="14"/>
      <c r="B1021" s="73"/>
      <c r="C1021" s="74"/>
      <c r="D1021" s="1573" t="s">
        <v>1287</v>
      </c>
      <c r="E1021" s="1574"/>
      <c r="F1021" s="1574"/>
      <c r="G1021" s="1574"/>
      <c r="H1021" s="1574"/>
      <c r="I1021" s="1574"/>
      <c r="J1021" s="1574"/>
      <c r="K1021" s="1574"/>
      <c r="L1021" s="1574"/>
      <c r="M1021" s="1574"/>
      <c r="N1021" s="1574"/>
      <c r="O1021" s="1574"/>
      <c r="P1021" s="1574"/>
      <c r="Q1021" s="1574"/>
      <c r="R1021" s="1574"/>
      <c r="S1021" s="1574"/>
      <c r="T1021" s="1574"/>
      <c r="U1021" s="1574"/>
      <c r="V1021" s="1574"/>
      <c r="W1021" s="1574"/>
      <c r="X1021" s="1574"/>
      <c r="Y1021" s="1574"/>
      <c r="Z1021" s="1574"/>
      <c r="AA1021" s="1574"/>
      <c r="AB1021" s="1574"/>
      <c r="AC1021" s="1574"/>
      <c r="AD1021" s="1574"/>
      <c r="AE1021" s="1575"/>
      <c r="AF1021" s="77"/>
      <c r="AG1021" s="7"/>
      <c r="AH1021" s="7"/>
      <c r="AI1021" s="78"/>
      <c r="AJ1021" s="1372"/>
      <c r="AK1021" s="1373"/>
      <c r="AL1021" s="1373"/>
      <c r="AM1021" s="1373"/>
      <c r="AN1021" s="1373"/>
      <c r="AO1021" s="1373"/>
      <c r="AP1021" s="1373"/>
      <c r="AQ1021" s="1374"/>
      <c r="AR1021" s="68"/>
      <c r="AS1021" s="68"/>
      <c r="AT1021" s="68"/>
      <c r="AU1021" s="68"/>
      <c r="AV1021" s="68"/>
      <c r="AW1021" s="68"/>
      <c r="AX1021" s="3" t="s">
        <v>1817</v>
      </c>
      <c r="AZ1021" s="3" t="s">
        <v>2531</v>
      </c>
    </row>
    <row r="1022" spans="1:55" ht="13" customHeight="1">
      <c r="A1022" s="14"/>
      <c r="B1022" s="79"/>
      <c r="C1022" s="80" t="s">
        <v>214</v>
      </c>
      <c r="D1022" s="1570" t="s">
        <v>1288</v>
      </c>
      <c r="E1022" s="1571"/>
      <c r="F1022" s="1571"/>
      <c r="G1022" s="1571"/>
      <c r="H1022" s="1571"/>
      <c r="I1022" s="1571"/>
      <c r="J1022" s="1571"/>
      <c r="K1022" s="1571"/>
      <c r="L1022" s="1571"/>
      <c r="M1022" s="1571"/>
      <c r="N1022" s="1571"/>
      <c r="O1022" s="1571"/>
      <c r="P1022" s="1571"/>
      <c r="Q1022" s="1571"/>
      <c r="R1022" s="1571"/>
      <c r="S1022" s="1571"/>
      <c r="T1022" s="1571"/>
      <c r="U1022" s="1571"/>
      <c r="V1022" s="1571"/>
      <c r="W1022" s="1571"/>
      <c r="X1022" s="1571"/>
      <c r="Y1022" s="1571"/>
      <c r="Z1022" s="1571"/>
      <c r="AA1022" s="1571"/>
      <c r="AB1022" s="1571"/>
      <c r="AC1022" s="1571"/>
      <c r="AD1022" s="1571"/>
      <c r="AE1022" s="1572"/>
      <c r="AF1022" s="79"/>
      <c r="AG1022" s="1595" t="s">
        <v>668</v>
      </c>
      <c r="AH1022" s="1596"/>
      <c r="AI1022" s="79"/>
      <c r="AJ1022" s="1366">
        <f>ROUND(IF(AG1022="yes",AJ1001*0.02,0),0)</f>
        <v>0</v>
      </c>
      <c r="AK1022" s="1367"/>
      <c r="AL1022" s="1367"/>
      <c r="AM1022" s="1367"/>
      <c r="AN1022" s="1367"/>
      <c r="AO1022" s="1367"/>
      <c r="AP1022" s="1367"/>
      <c r="AQ1022" s="1368"/>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586" t="s">
        <v>1289</v>
      </c>
      <c r="E1023" s="1587"/>
      <c r="F1023" s="1587"/>
      <c r="G1023" s="1587"/>
      <c r="H1023" s="1587"/>
      <c r="I1023" s="1587"/>
      <c r="J1023" s="1587"/>
      <c r="K1023" s="1587"/>
      <c r="L1023" s="1587"/>
      <c r="M1023" s="1587"/>
      <c r="N1023" s="1587"/>
      <c r="O1023" s="1587"/>
      <c r="P1023" s="1587"/>
      <c r="Q1023" s="1587"/>
      <c r="R1023" s="1587"/>
      <c r="S1023" s="1587"/>
      <c r="T1023" s="1587"/>
      <c r="U1023" s="1587"/>
      <c r="V1023" s="1587"/>
      <c r="W1023" s="1587"/>
      <c r="X1023" s="1587"/>
      <c r="Y1023" s="1587"/>
      <c r="Z1023" s="1587"/>
      <c r="AA1023" s="1587"/>
      <c r="AB1023" s="1587"/>
      <c r="AC1023" s="1587"/>
      <c r="AD1023" s="1587"/>
      <c r="AE1023" s="1588"/>
      <c r="AF1023" s="1350" t="str">
        <f>IF(AND(AG1022="yes",T212&lt;&gt;1),"The project may not be eligible for this boost","")</f>
        <v/>
      </c>
      <c r="AG1023" s="1351"/>
      <c r="AH1023" s="1351"/>
      <c r="AI1023" s="1352"/>
      <c r="AJ1023" s="1369"/>
      <c r="AK1023" s="1370"/>
      <c r="AL1023" s="1370"/>
      <c r="AM1023" s="1370"/>
      <c r="AN1023" s="1370"/>
      <c r="AO1023" s="1370"/>
      <c r="AP1023" s="1370"/>
      <c r="AQ1023" s="1371"/>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573"/>
      <c r="E1024" s="1574"/>
      <c r="F1024" s="1574"/>
      <c r="G1024" s="1574"/>
      <c r="H1024" s="1574"/>
      <c r="I1024" s="1574"/>
      <c r="J1024" s="1574"/>
      <c r="K1024" s="1574"/>
      <c r="L1024" s="1574"/>
      <c r="M1024" s="1574"/>
      <c r="N1024" s="1574"/>
      <c r="O1024" s="1574"/>
      <c r="P1024" s="1574"/>
      <c r="Q1024" s="1574"/>
      <c r="R1024" s="1574"/>
      <c r="S1024" s="1574"/>
      <c r="T1024" s="1574"/>
      <c r="U1024" s="1574"/>
      <c r="V1024" s="1574"/>
      <c r="W1024" s="1574"/>
      <c r="X1024" s="1574"/>
      <c r="Y1024" s="1574"/>
      <c r="Z1024" s="1574"/>
      <c r="AA1024" s="1574"/>
      <c r="AB1024" s="1574"/>
      <c r="AC1024" s="1574"/>
      <c r="AD1024" s="1574"/>
      <c r="AE1024" s="1575"/>
      <c r="AF1024" s="1353"/>
      <c r="AG1024" s="1354"/>
      <c r="AH1024" s="1354"/>
      <c r="AI1024" s="1355"/>
      <c r="AJ1024" s="1372"/>
      <c r="AK1024" s="1373"/>
      <c r="AL1024" s="1373"/>
      <c r="AM1024" s="1373"/>
      <c r="AN1024" s="1373"/>
      <c r="AO1024" s="1373"/>
      <c r="AP1024" s="1373"/>
      <c r="AQ1024" s="1374"/>
      <c r="AR1024" s="68"/>
      <c r="AS1024" s="68"/>
      <c r="AT1024" s="68"/>
      <c r="AU1024" s="68"/>
      <c r="AV1024" s="68"/>
      <c r="AW1024" s="68"/>
      <c r="AX1024" s="3">
        <v>3</v>
      </c>
      <c r="AY1024" s="200">
        <f t="shared" si="55"/>
        <v>0</v>
      </c>
      <c r="AZ1024" s="1189">
        <v>0.05</v>
      </c>
    </row>
    <row r="1025" spans="1:52" ht="13" customHeight="1">
      <c r="A1025" s="14"/>
      <c r="B1025" s="79"/>
      <c r="C1025" s="80" t="s">
        <v>217</v>
      </c>
      <c r="D1025" s="1561" t="s">
        <v>2189</v>
      </c>
      <c r="E1025" s="1562"/>
      <c r="F1025" s="1562"/>
      <c r="G1025" s="1562"/>
      <c r="H1025" s="1562"/>
      <c r="I1025" s="1562"/>
      <c r="J1025" s="1562"/>
      <c r="K1025" s="1562"/>
      <c r="L1025" s="1562"/>
      <c r="M1025" s="1562"/>
      <c r="N1025" s="1562"/>
      <c r="O1025" s="1562"/>
      <c r="P1025" s="1562"/>
      <c r="Q1025" s="1562"/>
      <c r="R1025" s="1562"/>
      <c r="S1025" s="1562"/>
      <c r="T1025" s="1562"/>
      <c r="U1025" s="1562"/>
      <c r="V1025" s="1562"/>
      <c r="W1025" s="1562"/>
      <c r="X1025" s="1562"/>
      <c r="Y1025" s="1562"/>
      <c r="Z1025" s="1562"/>
      <c r="AA1025" s="1562"/>
      <c r="AB1025" s="1562"/>
      <c r="AC1025" s="1562"/>
      <c r="AD1025" s="1562"/>
      <c r="AE1025" s="1563"/>
      <c r="AF1025" s="79"/>
      <c r="AG1025" s="1595" t="s">
        <v>668</v>
      </c>
      <c r="AH1025" s="1596"/>
      <c r="AI1025" s="87"/>
      <c r="AJ1025" s="1366">
        <f>IF(AG1025="yes",AJ1001*AY1033,0)</f>
        <v>0</v>
      </c>
      <c r="AK1025" s="1367"/>
      <c r="AL1025" s="1367"/>
      <c r="AM1025" s="1367"/>
      <c r="AN1025" s="1367"/>
      <c r="AO1025" s="1367"/>
      <c r="AP1025" s="1367"/>
      <c r="AQ1025" s="1368"/>
      <c r="AR1025" s="68"/>
      <c r="AS1025" s="68"/>
      <c r="AT1025" s="68"/>
      <c r="AU1025" s="68"/>
      <c r="AV1025" s="68"/>
      <c r="AW1025" s="68"/>
      <c r="AX1025" s="3">
        <v>4</v>
      </c>
      <c r="AY1025" s="200">
        <f t="shared" si="55"/>
        <v>0</v>
      </c>
      <c r="AZ1025" s="1189">
        <v>0.02</v>
      </c>
    </row>
    <row r="1026" spans="1:52" ht="13" customHeight="1">
      <c r="A1026" s="14"/>
      <c r="B1026" s="73"/>
      <c r="C1026" s="74"/>
      <c r="D1026" s="1586" t="s">
        <v>2597</v>
      </c>
      <c r="E1026" s="1587"/>
      <c r="F1026" s="1587"/>
      <c r="G1026" s="1587"/>
      <c r="H1026" s="1587"/>
      <c r="I1026" s="1587"/>
      <c r="J1026" s="1587"/>
      <c r="K1026" s="1587"/>
      <c r="L1026" s="1587"/>
      <c r="M1026" s="1587"/>
      <c r="N1026" s="1587"/>
      <c r="O1026" s="1587"/>
      <c r="P1026" s="1587"/>
      <c r="Q1026" s="1587"/>
      <c r="R1026" s="1587"/>
      <c r="S1026" s="1587"/>
      <c r="T1026" s="1587"/>
      <c r="U1026" s="1587"/>
      <c r="V1026" s="1587"/>
      <c r="W1026" s="1587"/>
      <c r="X1026" s="1587"/>
      <c r="Y1026" s="1587"/>
      <c r="Z1026" s="1587"/>
      <c r="AA1026" s="1587"/>
      <c r="AB1026" s="1587"/>
      <c r="AC1026" s="1587"/>
      <c r="AD1026" s="1587"/>
      <c r="AE1026" s="1588"/>
      <c r="AF1026" s="1344" t="str">
        <f>IF(AND(AG1025="Yes",AY1033=0),AY1036,"")</f>
        <v/>
      </c>
      <c r="AG1026" s="1345"/>
      <c r="AH1026" s="1345"/>
      <c r="AI1026" s="1346"/>
      <c r="AJ1026" s="1369"/>
      <c r="AK1026" s="1370"/>
      <c r="AL1026" s="1370"/>
      <c r="AM1026" s="1370"/>
      <c r="AN1026" s="1370"/>
      <c r="AO1026" s="1370"/>
      <c r="AP1026" s="1370"/>
      <c r="AQ1026" s="1371"/>
      <c r="AR1026" s="68"/>
      <c r="AS1026" s="68"/>
      <c r="AT1026" s="68"/>
      <c r="AU1026" s="68"/>
      <c r="AV1026" s="68"/>
      <c r="AW1026" s="68"/>
      <c r="AX1026" s="3">
        <v>5</v>
      </c>
      <c r="AY1026" s="200">
        <f t="shared" si="55"/>
        <v>0</v>
      </c>
      <c r="AZ1026" s="1189">
        <v>0.04</v>
      </c>
    </row>
    <row r="1027" spans="1:52" ht="13" customHeight="1">
      <c r="A1027" s="14"/>
      <c r="B1027" s="73"/>
      <c r="C1027" s="74"/>
      <c r="D1027" s="1586"/>
      <c r="E1027" s="1587"/>
      <c r="F1027" s="1587"/>
      <c r="G1027" s="1587"/>
      <c r="H1027" s="1587"/>
      <c r="I1027" s="1587"/>
      <c r="J1027" s="1587"/>
      <c r="K1027" s="1587"/>
      <c r="L1027" s="1587"/>
      <c r="M1027" s="1587"/>
      <c r="N1027" s="1587"/>
      <c r="O1027" s="1587"/>
      <c r="P1027" s="1587"/>
      <c r="Q1027" s="1587"/>
      <c r="R1027" s="1587"/>
      <c r="S1027" s="1587"/>
      <c r="T1027" s="1587"/>
      <c r="U1027" s="1587"/>
      <c r="V1027" s="1587"/>
      <c r="W1027" s="1587"/>
      <c r="X1027" s="1587"/>
      <c r="Y1027" s="1587"/>
      <c r="Z1027" s="1587"/>
      <c r="AA1027" s="1587"/>
      <c r="AB1027" s="1587"/>
      <c r="AC1027" s="1587"/>
      <c r="AD1027" s="1587"/>
      <c r="AE1027" s="1588"/>
      <c r="AF1027" s="1344"/>
      <c r="AG1027" s="1345"/>
      <c r="AH1027" s="1345"/>
      <c r="AI1027" s="1346"/>
      <c r="AJ1027" s="1369"/>
      <c r="AK1027" s="1370"/>
      <c r="AL1027" s="1370"/>
      <c r="AM1027" s="1370"/>
      <c r="AN1027" s="1370"/>
      <c r="AO1027" s="1370"/>
      <c r="AP1027" s="1370"/>
      <c r="AQ1027" s="1371"/>
      <c r="AR1027" s="68"/>
      <c r="AS1027" s="68"/>
      <c r="AT1027" s="68"/>
      <c r="AU1027" s="68"/>
      <c r="AV1027" s="68"/>
      <c r="AW1027" s="68"/>
      <c r="AX1027" s="3">
        <v>6</v>
      </c>
      <c r="AY1027" s="200">
        <f t="shared" si="55"/>
        <v>0</v>
      </c>
      <c r="AZ1027" s="1189">
        <v>0.04</v>
      </c>
    </row>
    <row r="1028" spans="1:52" ht="13" customHeight="1">
      <c r="A1028" s="14"/>
      <c r="B1028" s="81"/>
      <c r="C1028" s="82"/>
      <c r="D1028" s="1573"/>
      <c r="E1028" s="1574"/>
      <c r="F1028" s="1574"/>
      <c r="G1028" s="1574"/>
      <c r="H1028" s="1574"/>
      <c r="I1028" s="1574"/>
      <c r="J1028" s="1574"/>
      <c r="K1028" s="1574"/>
      <c r="L1028" s="1574"/>
      <c r="M1028" s="1574"/>
      <c r="N1028" s="1574"/>
      <c r="O1028" s="1574"/>
      <c r="P1028" s="1574"/>
      <c r="Q1028" s="1574"/>
      <c r="R1028" s="1574"/>
      <c r="S1028" s="1574"/>
      <c r="T1028" s="1574"/>
      <c r="U1028" s="1574"/>
      <c r="V1028" s="1574"/>
      <c r="W1028" s="1574"/>
      <c r="X1028" s="1574"/>
      <c r="Y1028" s="1574"/>
      <c r="Z1028" s="1574"/>
      <c r="AA1028" s="1574"/>
      <c r="AB1028" s="1574"/>
      <c r="AC1028" s="1574"/>
      <c r="AD1028" s="1574"/>
      <c r="AE1028" s="1575"/>
      <c r="AF1028" s="1347"/>
      <c r="AG1028" s="1348"/>
      <c r="AH1028" s="1348"/>
      <c r="AI1028" s="1349"/>
      <c r="AJ1028" s="1372"/>
      <c r="AK1028" s="1373"/>
      <c r="AL1028" s="1373"/>
      <c r="AM1028" s="1373"/>
      <c r="AN1028" s="1373"/>
      <c r="AO1028" s="1373"/>
      <c r="AP1028" s="1373"/>
      <c r="AQ1028" s="1374"/>
      <c r="AR1028" s="68"/>
      <c r="AS1028" s="68"/>
      <c r="AT1028" s="68"/>
      <c r="AU1028" s="68"/>
      <c r="AV1028" s="68"/>
      <c r="AW1028" s="68"/>
      <c r="AX1028" s="3">
        <v>7</v>
      </c>
      <c r="AY1028" s="200">
        <f t="shared" si="55"/>
        <v>0</v>
      </c>
      <c r="AZ1028" s="1189">
        <v>0.01</v>
      </c>
    </row>
    <row r="1029" spans="1:52" ht="13" customHeight="1">
      <c r="A1029" s="14"/>
      <c r="B1029" s="79"/>
      <c r="C1029" s="80" t="s">
        <v>222</v>
      </c>
      <c r="D1029" s="1627" t="s">
        <v>1290</v>
      </c>
      <c r="E1029" s="1628"/>
      <c r="F1029" s="1628"/>
      <c r="G1029" s="1628"/>
      <c r="H1029" s="1628"/>
      <c r="I1029" s="1628"/>
      <c r="J1029" s="1628"/>
      <c r="K1029" s="1628"/>
      <c r="L1029" s="1628"/>
      <c r="M1029" s="1628"/>
      <c r="N1029" s="1628"/>
      <c r="O1029" s="1628"/>
      <c r="P1029" s="1628"/>
      <c r="Q1029" s="1628"/>
      <c r="R1029" s="1628"/>
      <c r="S1029" s="1628"/>
      <c r="T1029" s="1628"/>
      <c r="U1029" s="1628"/>
      <c r="V1029" s="1628"/>
      <c r="W1029" s="1628"/>
      <c r="X1029" s="1628"/>
      <c r="Y1029" s="1628"/>
      <c r="Z1029" s="1628"/>
      <c r="AA1029" s="1628"/>
      <c r="AB1029" s="1628"/>
      <c r="AC1029" s="1628"/>
      <c r="AD1029" s="1628"/>
      <c r="AE1029" s="1629"/>
      <c r="AF1029" s="79"/>
      <c r="AG1029" s="1595" t="s">
        <v>668</v>
      </c>
      <c r="AH1029" s="1596"/>
      <c r="AI1029" s="87"/>
      <c r="AJ1029" s="1366">
        <f>ROUND(IF(AND(AG1029="Yes",J1033&lt;&gt;"N/A",AF1032&lt;&gt;""),MIN(AF1032,(0.15*AJ1001)),0),0)</f>
        <v>0</v>
      </c>
      <c r="AK1029" s="1367"/>
      <c r="AL1029" s="1367"/>
      <c r="AM1029" s="1367"/>
      <c r="AN1029" s="1367"/>
      <c r="AO1029" s="1367"/>
      <c r="AP1029" s="1367"/>
      <c r="AQ1029" s="1368"/>
      <c r="AR1029" s="68"/>
      <c r="AS1029" s="68"/>
      <c r="AT1029" s="68"/>
      <c r="AU1029" s="68"/>
      <c r="AV1029" s="68"/>
      <c r="AW1029" s="68"/>
      <c r="AX1029" s="3">
        <v>8</v>
      </c>
      <c r="AY1029" s="200">
        <f t="shared" si="55"/>
        <v>0</v>
      </c>
      <c r="AZ1029" s="1189">
        <v>0.01</v>
      </c>
    </row>
    <row r="1030" spans="1:52" ht="13" customHeight="1">
      <c r="A1030" s="14"/>
      <c r="B1030" s="81"/>
      <c r="C1030" s="84"/>
      <c r="D1030" s="1630"/>
      <c r="E1030" s="1631"/>
      <c r="F1030" s="1631"/>
      <c r="G1030" s="1631"/>
      <c r="H1030" s="1631"/>
      <c r="I1030" s="1631"/>
      <c r="J1030" s="1631"/>
      <c r="K1030" s="1631"/>
      <c r="L1030" s="1631"/>
      <c r="M1030" s="1631"/>
      <c r="N1030" s="1631"/>
      <c r="O1030" s="1631"/>
      <c r="P1030" s="1631"/>
      <c r="Q1030" s="1631"/>
      <c r="R1030" s="1631"/>
      <c r="S1030" s="1631"/>
      <c r="T1030" s="1631"/>
      <c r="U1030" s="1631"/>
      <c r="V1030" s="1631"/>
      <c r="W1030" s="1631"/>
      <c r="X1030" s="1631"/>
      <c r="Y1030" s="1631"/>
      <c r="Z1030" s="1631"/>
      <c r="AA1030" s="1631"/>
      <c r="AB1030" s="1631"/>
      <c r="AC1030" s="1631"/>
      <c r="AD1030" s="1631"/>
      <c r="AE1030" s="1632"/>
      <c r="AF1030" s="1600" t="str">
        <f>IF(AG1029="yes","Please Select Type and Enter Amount:","")</f>
        <v/>
      </c>
      <c r="AG1030" s="1601"/>
      <c r="AH1030" s="1601"/>
      <c r="AI1030" s="1602"/>
      <c r="AJ1030" s="1369"/>
      <c r="AK1030" s="1370"/>
      <c r="AL1030" s="1370"/>
      <c r="AM1030" s="1370"/>
      <c r="AN1030" s="1370"/>
      <c r="AO1030" s="1370"/>
      <c r="AP1030" s="1370"/>
      <c r="AQ1030" s="1371"/>
      <c r="AR1030" s="68"/>
      <c r="AS1030" s="68"/>
      <c r="AT1030" s="68"/>
      <c r="AU1030" s="68"/>
      <c r="AV1030" s="68"/>
      <c r="AW1030" s="68"/>
      <c r="AX1030" s="3">
        <v>9</v>
      </c>
      <c r="AY1030" s="200">
        <f t="shared" si="55"/>
        <v>0</v>
      </c>
      <c r="AZ1030" s="1189">
        <v>0.01</v>
      </c>
    </row>
    <row r="1031" spans="1:52" ht="13" customHeight="1">
      <c r="A1031" s="14"/>
      <c r="B1031" s="81"/>
      <c r="C1031" s="84"/>
      <c r="D1031" s="1586" t="s">
        <v>1291</v>
      </c>
      <c r="E1031" s="1587"/>
      <c r="F1031" s="1587"/>
      <c r="G1031" s="1587"/>
      <c r="H1031" s="1587"/>
      <c r="I1031" s="1587"/>
      <c r="J1031" s="1587"/>
      <c r="K1031" s="1587"/>
      <c r="L1031" s="1587"/>
      <c r="M1031" s="1587"/>
      <c r="N1031" s="1587"/>
      <c r="O1031" s="1587"/>
      <c r="P1031" s="1587"/>
      <c r="Q1031" s="1587"/>
      <c r="R1031" s="1587"/>
      <c r="S1031" s="1587"/>
      <c r="T1031" s="1587"/>
      <c r="U1031" s="1587"/>
      <c r="V1031" s="1587"/>
      <c r="W1031" s="1587"/>
      <c r="X1031" s="1587"/>
      <c r="Y1031" s="1587"/>
      <c r="Z1031" s="1587"/>
      <c r="AA1031" s="1587"/>
      <c r="AB1031" s="1587"/>
      <c r="AC1031" s="1587"/>
      <c r="AD1031" s="1587"/>
      <c r="AE1031" s="1588"/>
      <c r="AF1031" s="1600"/>
      <c r="AG1031" s="1601"/>
      <c r="AH1031" s="1601"/>
      <c r="AI1031" s="1602"/>
      <c r="AJ1031" s="1369"/>
      <c r="AK1031" s="1370"/>
      <c r="AL1031" s="1370"/>
      <c r="AM1031" s="1370"/>
      <c r="AN1031" s="1370"/>
      <c r="AO1031" s="1370"/>
      <c r="AP1031" s="1370"/>
      <c r="AQ1031" s="1371"/>
      <c r="AR1031" s="68"/>
      <c r="AS1031" s="68"/>
      <c r="AT1031" s="68"/>
      <c r="AU1031" s="68"/>
      <c r="AV1031" s="68"/>
      <c r="AW1031" s="68"/>
      <c r="AX1031" s="3">
        <v>10</v>
      </c>
      <c r="AY1031" s="200">
        <f t="shared" si="55"/>
        <v>0</v>
      </c>
      <c r="AZ1031" s="1189">
        <v>0.02</v>
      </c>
    </row>
    <row r="1032" spans="1:52" ht="13" customHeight="1">
      <c r="A1032" s="14"/>
      <c r="B1032" s="81"/>
      <c r="C1032" s="84"/>
      <c r="D1032" s="1586"/>
      <c r="E1032" s="1587"/>
      <c r="F1032" s="1587"/>
      <c r="G1032" s="1587"/>
      <c r="H1032" s="1587"/>
      <c r="I1032" s="1587"/>
      <c r="J1032" s="1587"/>
      <c r="K1032" s="1587"/>
      <c r="L1032" s="1587"/>
      <c r="M1032" s="1587"/>
      <c r="N1032" s="1587"/>
      <c r="O1032" s="1587"/>
      <c r="P1032" s="1587"/>
      <c r="Q1032" s="1587"/>
      <c r="R1032" s="1587"/>
      <c r="S1032" s="1587"/>
      <c r="T1032" s="1587"/>
      <c r="U1032" s="1587"/>
      <c r="V1032" s="1587"/>
      <c r="W1032" s="1587"/>
      <c r="X1032" s="1587"/>
      <c r="Y1032" s="1587"/>
      <c r="Z1032" s="1587"/>
      <c r="AA1032" s="1587"/>
      <c r="AB1032" s="1587"/>
      <c r="AC1032" s="1587"/>
      <c r="AD1032" s="1587"/>
      <c r="AE1032" s="1588"/>
      <c r="AF1032" s="1387"/>
      <c r="AG1032" s="1387"/>
      <c r="AH1032" s="1387"/>
      <c r="AI1032" s="1387"/>
      <c r="AJ1032" s="1369"/>
      <c r="AK1032" s="1370"/>
      <c r="AL1032" s="1370"/>
      <c r="AM1032" s="1370"/>
      <c r="AN1032" s="1370"/>
      <c r="AO1032" s="1370"/>
      <c r="AP1032" s="1370"/>
      <c r="AQ1032" s="1371"/>
      <c r="AR1032" s="68"/>
      <c r="AS1032" s="68"/>
      <c r="AT1032" s="68"/>
      <c r="AU1032" s="68"/>
      <c r="AV1032" s="68"/>
      <c r="AW1032" s="68"/>
      <c r="AX1032" s="3">
        <v>11</v>
      </c>
      <c r="AY1032" s="200">
        <f t="shared" si="55"/>
        <v>0</v>
      </c>
      <c r="AZ1032" s="1189">
        <v>0.02</v>
      </c>
    </row>
    <row r="1033" spans="1:52" ht="13" customHeight="1">
      <c r="A1033" s="14"/>
      <c r="B1033" s="81"/>
      <c r="C1033" s="84"/>
      <c r="D1033" s="526" t="s">
        <v>358</v>
      </c>
      <c r="E1033" s="90"/>
      <c r="F1033" s="90"/>
      <c r="G1033" s="104"/>
      <c r="H1033" s="104"/>
      <c r="I1033" s="49"/>
      <c r="J1033" s="1401" t="s">
        <v>590</v>
      </c>
      <c r="K1033" s="1402"/>
      <c r="L1033" s="1402"/>
      <c r="M1033" s="1402"/>
      <c r="N1033" s="1402"/>
      <c r="O1033" s="1402"/>
      <c r="P1033" s="1402"/>
      <c r="Q1033" s="1402"/>
      <c r="R1033" s="1402"/>
      <c r="S1033" s="1402"/>
      <c r="T1033" s="1402"/>
      <c r="U1033" s="1402"/>
      <c r="V1033" s="1402"/>
      <c r="W1033" s="1402"/>
      <c r="X1033" s="1402"/>
      <c r="Y1033" s="1402"/>
      <c r="Z1033" s="1402"/>
      <c r="AA1033" s="1402"/>
      <c r="AB1033" s="1402"/>
      <c r="AC1033" s="1402"/>
      <c r="AD1033" s="1402"/>
      <c r="AE1033" s="1403"/>
      <c r="AF1033" s="1387"/>
      <c r="AG1033" s="1387"/>
      <c r="AH1033" s="1387"/>
      <c r="AI1033" s="1387"/>
      <c r="AJ1033" s="1372"/>
      <c r="AK1033" s="1373"/>
      <c r="AL1033" s="1373"/>
      <c r="AM1033" s="1373"/>
      <c r="AN1033" s="1373"/>
      <c r="AO1033" s="1373"/>
      <c r="AP1033" s="1373"/>
      <c r="AQ1033" s="1374"/>
      <c r="AR1033" s="68"/>
      <c r="AS1033" s="68"/>
      <c r="AT1033" s="68"/>
      <c r="AU1033" s="68"/>
      <c r="AV1033" s="68"/>
      <c r="AW1033" s="68"/>
      <c r="AX1033" s="1027" t="s">
        <v>2530</v>
      </c>
      <c r="AY1033" s="201">
        <f>IF(SUM(AY1022:AY1032)&lt;=0.2,SUM(AY1022:AY1032),0.2)</f>
        <v>0</v>
      </c>
    </row>
    <row r="1034" spans="1:52" ht="13" customHeight="1">
      <c r="A1034" s="14"/>
      <c r="B1034" s="79"/>
      <c r="C1034" s="80" t="s">
        <v>228</v>
      </c>
      <c r="D1034" s="1570" t="s">
        <v>1292</v>
      </c>
      <c r="E1034" s="1571"/>
      <c r="F1034" s="1571"/>
      <c r="G1034" s="1571"/>
      <c r="H1034" s="1571"/>
      <c r="I1034" s="1571"/>
      <c r="J1034" s="1571"/>
      <c r="K1034" s="1571"/>
      <c r="L1034" s="1571"/>
      <c r="M1034" s="1571"/>
      <c r="N1034" s="1571"/>
      <c r="O1034" s="1571"/>
      <c r="P1034" s="1571"/>
      <c r="Q1034" s="1571"/>
      <c r="R1034" s="1571"/>
      <c r="S1034" s="1571"/>
      <c r="T1034" s="1571"/>
      <c r="U1034" s="1571"/>
      <c r="V1034" s="1571"/>
      <c r="W1034" s="1571"/>
      <c r="X1034" s="1571"/>
      <c r="Y1034" s="1571"/>
      <c r="Z1034" s="1571"/>
      <c r="AA1034" s="1571"/>
      <c r="AB1034" s="1571"/>
      <c r="AC1034" s="1571"/>
      <c r="AD1034" s="1571"/>
      <c r="AE1034" s="1572"/>
      <c r="AF1034" s="79"/>
      <c r="AG1034" s="1595" t="s">
        <v>668</v>
      </c>
      <c r="AH1034" s="1596"/>
      <c r="AI1034" s="87"/>
      <c r="AJ1034" s="1366">
        <f>ROUND(IF(AG1034="Yes",AF1036,0),0)</f>
        <v>0</v>
      </c>
      <c r="AK1034" s="1367"/>
      <c r="AL1034" s="1367"/>
      <c r="AM1034" s="1367"/>
      <c r="AN1034" s="1367"/>
      <c r="AO1034" s="1367"/>
      <c r="AP1034" s="1367"/>
      <c r="AQ1034" s="1368"/>
      <c r="AR1034" s="68"/>
      <c r="AS1034" s="68"/>
      <c r="AT1034" s="68"/>
      <c r="AU1034" s="68"/>
      <c r="AV1034" s="68"/>
      <c r="AW1034" s="68"/>
      <c r="AX1034" s="68"/>
      <c r="AY1034" s="68"/>
    </row>
    <row r="1035" spans="1:52" ht="13" customHeight="1">
      <c r="A1035" s="14"/>
      <c r="B1035" s="73"/>
      <c r="C1035" s="74"/>
      <c r="D1035" s="1586" t="s">
        <v>1678</v>
      </c>
      <c r="E1035" s="1587"/>
      <c r="F1035" s="1587"/>
      <c r="G1035" s="1587"/>
      <c r="H1035" s="1587"/>
      <c r="I1035" s="1587"/>
      <c r="J1035" s="1587"/>
      <c r="K1035" s="1587"/>
      <c r="L1035" s="1587"/>
      <c r="M1035" s="1587"/>
      <c r="N1035" s="1587"/>
      <c r="O1035" s="1587"/>
      <c r="P1035" s="1587"/>
      <c r="Q1035" s="1587"/>
      <c r="R1035" s="1587"/>
      <c r="S1035" s="1587"/>
      <c r="T1035" s="1587"/>
      <c r="U1035" s="1587"/>
      <c r="V1035" s="1587"/>
      <c r="W1035" s="1587"/>
      <c r="X1035" s="1587"/>
      <c r="Y1035" s="1587"/>
      <c r="Z1035" s="1587"/>
      <c r="AA1035" s="1587"/>
      <c r="AB1035" s="1587"/>
      <c r="AC1035" s="1587"/>
      <c r="AD1035" s="1587"/>
      <c r="AE1035" s="1588"/>
      <c r="AF1035" s="1633" t="str">
        <f>IF(AG1034="yes","Enter Amount:","")</f>
        <v/>
      </c>
      <c r="AG1035" s="1634"/>
      <c r="AH1035" s="1634"/>
      <c r="AI1035" s="1635"/>
      <c r="AJ1035" s="1369"/>
      <c r="AK1035" s="1370"/>
      <c r="AL1035" s="1370"/>
      <c r="AM1035" s="1370"/>
      <c r="AN1035" s="1370"/>
      <c r="AO1035" s="1370"/>
      <c r="AP1035" s="1370"/>
      <c r="AQ1035" s="1371"/>
      <c r="AR1035" s="68"/>
      <c r="AS1035" s="68"/>
      <c r="AT1035" s="68"/>
      <c r="AU1035" s="68"/>
      <c r="AV1035" s="68"/>
      <c r="AW1035" s="68"/>
      <c r="AX1035" s="68"/>
      <c r="AY1035" s="68"/>
    </row>
    <row r="1036" spans="1:52" ht="13" customHeight="1">
      <c r="A1036" s="14"/>
      <c r="B1036" s="73"/>
      <c r="C1036" s="74"/>
      <c r="D1036" s="1586"/>
      <c r="E1036" s="1587"/>
      <c r="F1036" s="1587"/>
      <c r="G1036" s="1587"/>
      <c r="H1036" s="1587"/>
      <c r="I1036" s="1587"/>
      <c r="J1036" s="1587"/>
      <c r="K1036" s="1587"/>
      <c r="L1036" s="1587"/>
      <c r="M1036" s="1587"/>
      <c r="N1036" s="1587"/>
      <c r="O1036" s="1587"/>
      <c r="P1036" s="1587"/>
      <c r="Q1036" s="1587"/>
      <c r="R1036" s="1587"/>
      <c r="S1036" s="1587"/>
      <c r="T1036" s="1587"/>
      <c r="U1036" s="1587"/>
      <c r="V1036" s="1587"/>
      <c r="W1036" s="1587"/>
      <c r="X1036" s="1587"/>
      <c r="Y1036" s="1587"/>
      <c r="Z1036" s="1587"/>
      <c r="AA1036" s="1587"/>
      <c r="AB1036" s="1587"/>
      <c r="AC1036" s="1587"/>
      <c r="AD1036" s="1587"/>
      <c r="AE1036" s="1588"/>
      <c r="AF1036" s="1387"/>
      <c r="AG1036" s="1387"/>
      <c r="AH1036" s="1387"/>
      <c r="AI1036" s="1387"/>
      <c r="AJ1036" s="1369"/>
      <c r="AK1036" s="1370"/>
      <c r="AL1036" s="1370"/>
      <c r="AM1036" s="1370"/>
      <c r="AN1036" s="1370"/>
      <c r="AO1036" s="1370"/>
      <c r="AP1036" s="1370"/>
      <c r="AQ1036" s="1371"/>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573"/>
      <c r="E1037" s="1574"/>
      <c r="F1037" s="1574"/>
      <c r="G1037" s="1574"/>
      <c r="H1037" s="1574"/>
      <c r="I1037" s="1574"/>
      <c r="J1037" s="1574"/>
      <c r="K1037" s="1574"/>
      <c r="L1037" s="1574"/>
      <c r="M1037" s="1574"/>
      <c r="N1037" s="1574"/>
      <c r="O1037" s="1574"/>
      <c r="P1037" s="1574"/>
      <c r="Q1037" s="1574"/>
      <c r="R1037" s="1574"/>
      <c r="S1037" s="1574"/>
      <c r="T1037" s="1574"/>
      <c r="U1037" s="1574"/>
      <c r="V1037" s="1574"/>
      <c r="W1037" s="1574"/>
      <c r="X1037" s="1574"/>
      <c r="Y1037" s="1574"/>
      <c r="Z1037" s="1574"/>
      <c r="AA1037" s="1574"/>
      <c r="AB1037" s="1574"/>
      <c r="AC1037" s="1574"/>
      <c r="AD1037" s="1574"/>
      <c r="AE1037" s="1575"/>
      <c r="AF1037" s="1387"/>
      <c r="AG1037" s="1387"/>
      <c r="AH1037" s="1387"/>
      <c r="AI1037" s="1387"/>
      <c r="AJ1037" s="1372"/>
      <c r="AK1037" s="1373"/>
      <c r="AL1037" s="1373"/>
      <c r="AM1037" s="1373"/>
      <c r="AN1037" s="1373"/>
      <c r="AO1037" s="1373"/>
      <c r="AP1037" s="1373"/>
      <c r="AQ1037" s="1374"/>
      <c r="AR1037" s="68"/>
      <c r="AS1037" s="68"/>
      <c r="AT1037" s="68"/>
      <c r="AU1037" s="68"/>
      <c r="AV1037" s="68"/>
      <c r="AW1037" s="68"/>
      <c r="AX1037" s="68"/>
      <c r="AY1037" s="68"/>
    </row>
    <row r="1038" spans="1:52" ht="13" customHeight="1">
      <c r="A1038" s="14"/>
      <c r="B1038" s="79"/>
      <c r="C1038" s="80" t="s">
        <v>233</v>
      </c>
      <c r="D1038" s="1561" t="s">
        <v>1293</v>
      </c>
      <c r="E1038" s="1562"/>
      <c r="F1038" s="1562"/>
      <c r="G1038" s="1562"/>
      <c r="H1038" s="1562"/>
      <c r="I1038" s="1562"/>
      <c r="J1038" s="1562"/>
      <c r="K1038" s="1562"/>
      <c r="L1038" s="1562"/>
      <c r="M1038" s="1562"/>
      <c r="N1038" s="1562"/>
      <c r="O1038" s="1562"/>
      <c r="P1038" s="1562"/>
      <c r="Q1038" s="1562"/>
      <c r="R1038" s="1562"/>
      <c r="S1038" s="1562"/>
      <c r="T1038" s="1562"/>
      <c r="U1038" s="1562"/>
      <c r="V1038" s="1562"/>
      <c r="W1038" s="1562"/>
      <c r="X1038" s="1562"/>
      <c r="Y1038" s="1562"/>
      <c r="Z1038" s="1562"/>
      <c r="AA1038" s="1562"/>
      <c r="AB1038" s="1562"/>
      <c r="AC1038" s="1562"/>
      <c r="AD1038" s="1562"/>
      <c r="AE1038" s="1563"/>
      <c r="AF1038" s="79"/>
      <c r="AG1038" s="1595" t="s">
        <v>544</v>
      </c>
      <c r="AH1038" s="1596"/>
      <c r="AI1038" s="87"/>
      <c r="AJ1038" s="1366">
        <f>ROUND(IF(AG1038="yes",(AJ1001*0.1),0),0)</f>
        <v>3089050</v>
      </c>
      <c r="AK1038" s="1367"/>
      <c r="AL1038" s="1367"/>
      <c r="AM1038" s="1367"/>
      <c r="AN1038" s="1367"/>
      <c r="AO1038" s="1367"/>
      <c r="AP1038" s="1367"/>
      <c r="AQ1038" s="1368"/>
      <c r="AR1038" s="68"/>
      <c r="AS1038" s="68"/>
      <c r="AT1038" s="68"/>
      <c r="AU1038" s="68"/>
      <c r="AV1038" s="68"/>
      <c r="AW1038" s="68"/>
      <c r="AX1038" s="68"/>
      <c r="AY1038" s="68"/>
    </row>
    <row r="1039" spans="1:52" ht="13" customHeight="1">
      <c r="A1039" s="14"/>
      <c r="B1039" s="73"/>
      <c r="C1039" s="74"/>
      <c r="D1039" s="1586" t="s">
        <v>1294</v>
      </c>
      <c r="E1039" s="1587"/>
      <c r="F1039" s="1587"/>
      <c r="G1039" s="1587"/>
      <c r="H1039" s="1587"/>
      <c r="I1039" s="1587"/>
      <c r="J1039" s="1587"/>
      <c r="K1039" s="1587"/>
      <c r="L1039" s="1587"/>
      <c r="M1039" s="1587"/>
      <c r="N1039" s="1587"/>
      <c r="O1039" s="1587"/>
      <c r="P1039" s="1587"/>
      <c r="Q1039" s="1587"/>
      <c r="R1039" s="1587"/>
      <c r="S1039" s="1587"/>
      <c r="T1039" s="1587"/>
      <c r="U1039" s="1587"/>
      <c r="V1039" s="1587"/>
      <c r="W1039" s="1587"/>
      <c r="X1039" s="1587"/>
      <c r="Y1039" s="1587"/>
      <c r="Z1039" s="1587"/>
      <c r="AA1039" s="1587"/>
      <c r="AB1039" s="1587"/>
      <c r="AC1039" s="1587"/>
      <c r="AD1039" s="1587"/>
      <c r="AE1039" s="1588"/>
      <c r="AF1039" s="73"/>
      <c r="AG1039" s="14"/>
      <c r="AH1039" s="14"/>
      <c r="AI1039" s="83"/>
      <c r="AJ1039" s="1369"/>
      <c r="AK1039" s="1370"/>
      <c r="AL1039" s="1370"/>
      <c r="AM1039" s="1370"/>
      <c r="AN1039" s="1370"/>
      <c r="AO1039" s="1370"/>
      <c r="AP1039" s="1370"/>
      <c r="AQ1039" s="1371"/>
      <c r="AR1039" s="68"/>
      <c r="AS1039" s="68"/>
      <c r="AT1039" s="68"/>
      <c r="AU1039" s="68"/>
      <c r="AV1039" s="68"/>
      <c r="AW1039" s="68"/>
      <c r="AX1039" s="68"/>
      <c r="AY1039" s="68"/>
    </row>
    <row r="1040" spans="1:52" ht="13" customHeight="1">
      <c r="A1040" s="14"/>
      <c r="B1040" s="77"/>
      <c r="C1040" s="74"/>
      <c r="D1040" s="1573"/>
      <c r="E1040" s="1574"/>
      <c r="F1040" s="1574"/>
      <c r="G1040" s="1574"/>
      <c r="H1040" s="1574"/>
      <c r="I1040" s="1574"/>
      <c r="J1040" s="1574"/>
      <c r="K1040" s="1574"/>
      <c r="L1040" s="1574"/>
      <c r="M1040" s="1574"/>
      <c r="N1040" s="1574"/>
      <c r="O1040" s="1574"/>
      <c r="P1040" s="1574"/>
      <c r="Q1040" s="1574"/>
      <c r="R1040" s="1574"/>
      <c r="S1040" s="1574"/>
      <c r="T1040" s="1574"/>
      <c r="U1040" s="1574"/>
      <c r="V1040" s="1574"/>
      <c r="W1040" s="1574"/>
      <c r="X1040" s="1574"/>
      <c r="Y1040" s="1574"/>
      <c r="Z1040" s="1574"/>
      <c r="AA1040" s="1574"/>
      <c r="AB1040" s="1574"/>
      <c r="AC1040" s="1574"/>
      <c r="AD1040" s="1574"/>
      <c r="AE1040" s="1575"/>
      <c r="AF1040" s="73"/>
      <c r="AG1040" s="14"/>
      <c r="AH1040" s="14"/>
      <c r="AI1040" s="83"/>
      <c r="AJ1040" s="1372"/>
      <c r="AK1040" s="1373"/>
      <c r="AL1040" s="1373"/>
      <c r="AM1040" s="1373"/>
      <c r="AN1040" s="1373"/>
      <c r="AO1040" s="1373"/>
      <c r="AP1040" s="1373"/>
      <c r="AQ1040" s="1374"/>
      <c r="AR1040" s="68"/>
      <c r="AS1040" s="68"/>
      <c r="AT1040" s="68"/>
      <c r="AU1040" s="68"/>
      <c r="AV1040" s="68"/>
      <c r="AW1040" s="68"/>
      <c r="AX1040" s="68"/>
      <c r="AY1040" s="68"/>
    </row>
    <row r="1041" spans="1:57" ht="13" customHeight="1">
      <c r="A1041" s="14"/>
      <c r="B1041" s="73"/>
      <c r="C1041" s="339" t="s">
        <v>686</v>
      </c>
      <c r="D1041" s="1570" t="s">
        <v>1674</v>
      </c>
      <c r="E1041" s="1571"/>
      <c r="F1041" s="1571"/>
      <c r="G1041" s="1571"/>
      <c r="H1041" s="1571"/>
      <c r="I1041" s="1571"/>
      <c r="J1041" s="1571"/>
      <c r="K1041" s="1571"/>
      <c r="L1041" s="1571"/>
      <c r="M1041" s="1571"/>
      <c r="N1041" s="1571"/>
      <c r="O1041" s="1571"/>
      <c r="P1041" s="1571"/>
      <c r="Q1041" s="1571"/>
      <c r="R1041" s="1571"/>
      <c r="S1041" s="1571"/>
      <c r="T1041" s="1571"/>
      <c r="U1041" s="1571"/>
      <c r="V1041" s="1571"/>
      <c r="W1041" s="1571"/>
      <c r="X1041" s="1571"/>
      <c r="Y1041" s="1571"/>
      <c r="Z1041" s="1571"/>
      <c r="AA1041" s="1571"/>
      <c r="AB1041" s="1571"/>
      <c r="AC1041" s="1571"/>
      <c r="AD1041" s="1571"/>
      <c r="AE1041" s="1572"/>
      <c r="AF1041" s="79"/>
      <c r="AG1041" s="1595" t="s">
        <v>668</v>
      </c>
      <c r="AH1041" s="1596"/>
      <c r="AI1041" s="87"/>
      <c r="AJ1041" s="1366">
        <f>ROUND(IF(AG1041="yes",(AJ1001*0.15),0),0)</f>
        <v>0</v>
      </c>
      <c r="AK1041" s="1367"/>
      <c r="AL1041" s="1367"/>
      <c r="AM1041" s="1367"/>
      <c r="AN1041" s="1367"/>
      <c r="AO1041" s="1367"/>
      <c r="AP1041" s="1367"/>
      <c r="AQ1041" s="1368"/>
      <c r="AR1041" s="68"/>
      <c r="AS1041" s="68"/>
      <c r="AT1041" s="68"/>
      <c r="AU1041" s="68"/>
      <c r="AV1041" s="68"/>
      <c r="AW1041" s="68"/>
      <c r="AX1041" s="68"/>
      <c r="AY1041" s="68"/>
    </row>
    <row r="1042" spans="1:57" ht="13" customHeight="1">
      <c r="A1042" s="14"/>
      <c r="B1042" s="73"/>
      <c r="C1042" s="74"/>
      <c r="D1042" s="1606" t="s">
        <v>1675</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607"/>
      <c r="AF1042" s="911"/>
      <c r="AG1042" s="912"/>
      <c r="AH1042" s="912"/>
      <c r="AI1042" s="913"/>
      <c r="AJ1042" s="1369"/>
      <c r="AK1042" s="1370"/>
      <c r="AL1042" s="1370"/>
      <c r="AM1042" s="1370"/>
      <c r="AN1042" s="1370"/>
      <c r="AO1042" s="1370"/>
      <c r="AP1042" s="1370"/>
      <c r="AQ1042" s="1371"/>
      <c r="AR1042" s="68"/>
      <c r="AS1042" s="68"/>
      <c r="AT1042" s="68"/>
      <c r="AU1042" s="68"/>
      <c r="AV1042" s="68"/>
      <c r="AW1042" s="68"/>
      <c r="AX1042" s="68"/>
      <c r="AY1042" s="68"/>
    </row>
    <row r="1043" spans="1:57" ht="13" customHeight="1">
      <c r="A1043" s="14"/>
      <c r="B1043" s="73"/>
      <c r="C1043" s="74"/>
      <c r="D1043" s="1606"/>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607"/>
      <c r="AF1043" s="911"/>
      <c r="AG1043" s="912"/>
      <c r="AH1043" s="912"/>
      <c r="AI1043" s="913"/>
      <c r="AJ1043" s="1369"/>
      <c r="AK1043" s="1370"/>
      <c r="AL1043" s="1370"/>
      <c r="AM1043" s="1370"/>
      <c r="AN1043" s="1370"/>
      <c r="AO1043" s="1370"/>
      <c r="AP1043" s="1370"/>
      <c r="AQ1043" s="1371"/>
      <c r="AR1043" s="68"/>
      <c r="AS1043" s="68"/>
      <c r="AT1043" s="68"/>
      <c r="AU1043" s="68"/>
      <c r="AV1043" s="68"/>
      <c r="AW1043" s="68"/>
      <c r="AX1043" s="68"/>
      <c r="AY1043" s="68"/>
    </row>
    <row r="1044" spans="1:57" ht="13" customHeight="1">
      <c r="A1044" s="14"/>
      <c r="B1044" s="73"/>
      <c r="C1044" s="74"/>
      <c r="D1044" s="1608"/>
      <c r="E1044" s="1609"/>
      <c r="F1044" s="1609"/>
      <c r="G1044" s="1609"/>
      <c r="H1044" s="1609"/>
      <c r="I1044" s="1609"/>
      <c r="J1044" s="1609"/>
      <c r="K1044" s="1609"/>
      <c r="L1044" s="1609"/>
      <c r="M1044" s="1609"/>
      <c r="N1044" s="1609"/>
      <c r="O1044" s="1609"/>
      <c r="P1044" s="1609"/>
      <c r="Q1044" s="1609"/>
      <c r="R1044" s="1609"/>
      <c r="S1044" s="1609"/>
      <c r="T1044" s="1609"/>
      <c r="U1044" s="1609"/>
      <c r="V1044" s="1609"/>
      <c r="W1044" s="1609"/>
      <c r="X1044" s="1609"/>
      <c r="Y1044" s="1609"/>
      <c r="Z1044" s="1609"/>
      <c r="AA1044" s="1609"/>
      <c r="AB1044" s="1609"/>
      <c r="AC1044" s="1609"/>
      <c r="AD1044" s="1609"/>
      <c r="AE1044" s="1610"/>
      <c r="AF1044" s="914"/>
      <c r="AG1044" s="915"/>
      <c r="AH1044" s="915"/>
      <c r="AI1044" s="916"/>
      <c r="AJ1044" s="1372"/>
      <c r="AK1044" s="1373"/>
      <c r="AL1044" s="1373"/>
      <c r="AM1044" s="1373"/>
      <c r="AN1044" s="1373"/>
      <c r="AO1044" s="1373"/>
      <c r="AP1044" s="1373"/>
      <c r="AQ1044" s="1374"/>
      <c r="AR1044" s="68"/>
      <c r="AS1044" s="68"/>
      <c r="AT1044" s="68"/>
      <c r="AU1044" s="68"/>
      <c r="AV1044" s="68"/>
      <c r="AW1044" s="68"/>
      <c r="AX1044" s="68"/>
      <c r="AY1044" s="68"/>
    </row>
    <row r="1045" spans="1:57" ht="13" customHeight="1">
      <c r="A1045" s="14"/>
      <c r="B1045" s="73"/>
      <c r="C1045" s="339" t="s">
        <v>686</v>
      </c>
      <c r="D1045" s="1561" t="s">
        <v>1676</v>
      </c>
      <c r="E1045" s="1562"/>
      <c r="F1045" s="1562"/>
      <c r="G1045" s="1562"/>
      <c r="H1045" s="1562"/>
      <c r="I1045" s="1562"/>
      <c r="J1045" s="1562"/>
      <c r="K1045" s="1562"/>
      <c r="L1045" s="1562"/>
      <c r="M1045" s="1562"/>
      <c r="N1045" s="1562"/>
      <c r="O1045" s="1562"/>
      <c r="P1045" s="1562"/>
      <c r="Q1045" s="1562"/>
      <c r="R1045" s="1562"/>
      <c r="S1045" s="1562"/>
      <c r="T1045" s="1562"/>
      <c r="U1045" s="1562"/>
      <c r="V1045" s="1562"/>
      <c r="W1045" s="1562"/>
      <c r="X1045" s="1562"/>
      <c r="Y1045" s="1562"/>
      <c r="Z1045" s="1562"/>
      <c r="AA1045" s="1562"/>
      <c r="AB1045" s="1562"/>
      <c r="AC1045" s="1562"/>
      <c r="AD1045" s="1562"/>
      <c r="AE1045" s="1563"/>
      <c r="AF1045" s="73"/>
      <c r="AG1045" s="1611" t="s">
        <v>668</v>
      </c>
      <c r="AH1045" s="1612"/>
      <c r="AI1045" s="83"/>
      <c r="AJ1045" s="1366">
        <f>ROUND(IF(AND(AG1045="yes",AJ1041=0),(AJ1001*0.1),0),0)</f>
        <v>0</v>
      </c>
      <c r="AK1045" s="1367"/>
      <c r="AL1045" s="1367"/>
      <c r="AM1045" s="1367"/>
      <c r="AN1045" s="1367"/>
      <c r="AO1045" s="1367"/>
      <c r="AP1045" s="1367"/>
      <c r="AQ1045" s="1368"/>
      <c r="AR1045" s="68"/>
      <c r="AS1045" s="68"/>
      <c r="AT1045" s="68"/>
      <c r="AU1045" s="68"/>
      <c r="AV1045" s="68"/>
      <c r="AW1045" s="68"/>
      <c r="AX1045" s="68"/>
      <c r="AY1045" s="68"/>
    </row>
    <row r="1046" spans="1:57" ht="13" customHeight="1">
      <c r="A1046" s="14"/>
      <c r="B1046" s="73"/>
      <c r="C1046" s="74"/>
      <c r="D1046" s="1606" t="s">
        <v>1677</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607"/>
      <c r="AF1046" s="73"/>
      <c r="AG1046" s="14"/>
      <c r="AH1046" s="14"/>
      <c r="AI1046" s="83"/>
      <c r="AJ1046" s="1369"/>
      <c r="AK1046" s="1370"/>
      <c r="AL1046" s="1370"/>
      <c r="AM1046" s="1370"/>
      <c r="AN1046" s="1370"/>
      <c r="AO1046" s="1370"/>
      <c r="AP1046" s="1370"/>
      <c r="AQ1046" s="1371"/>
      <c r="AR1046" s="68"/>
      <c r="AS1046" s="68"/>
      <c r="AT1046" s="68"/>
      <c r="AU1046" s="68"/>
      <c r="AV1046" s="68"/>
      <c r="AW1046" s="68"/>
      <c r="AX1046" s="68"/>
      <c r="AY1046" s="68"/>
    </row>
    <row r="1047" spans="1:57" ht="13" customHeight="1">
      <c r="A1047" s="14"/>
      <c r="B1047" s="73"/>
      <c r="C1047" s="74"/>
      <c r="D1047" s="1606"/>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607"/>
      <c r="AF1047" s="73"/>
      <c r="AG1047" s="14"/>
      <c r="AH1047" s="14"/>
      <c r="AI1047" s="83"/>
      <c r="AJ1047" s="1369"/>
      <c r="AK1047" s="1370"/>
      <c r="AL1047" s="1370"/>
      <c r="AM1047" s="1370"/>
      <c r="AN1047" s="1370"/>
      <c r="AO1047" s="1370"/>
      <c r="AP1047" s="1370"/>
      <c r="AQ1047" s="1371"/>
      <c r="AR1047" s="68"/>
      <c r="AS1047" s="68"/>
      <c r="AT1047" s="68"/>
      <c r="AU1047" s="68"/>
      <c r="AV1047" s="68"/>
      <c r="AW1047" s="68"/>
      <c r="AX1047" s="68"/>
      <c r="AY1047" s="68"/>
      <c r="BA1047" s="1176">
        <f>IFERROR(('Sources and Uses Budget'!$C$17+'Sources and Uses Budget'!$C$18+'Sources and Uses Budget'!$C$22)/$AG$446,0)</f>
        <v>136564.70491803277</v>
      </c>
      <c r="BB1047" s="1176" t="s">
        <v>2418</v>
      </c>
      <c r="BC1047" s="1176"/>
      <c r="BD1047" s="1176"/>
      <c r="BE1047" s="1176"/>
    </row>
    <row r="1048" spans="1:57" ht="13" customHeight="1">
      <c r="A1048" s="14"/>
      <c r="B1048" s="73"/>
      <c r="C1048" s="74"/>
      <c r="D1048" s="1606"/>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607"/>
      <c r="AF1048" s="73"/>
      <c r="AG1048" s="14"/>
      <c r="AH1048" s="14"/>
      <c r="AI1048" s="83"/>
      <c r="AJ1048" s="1369"/>
      <c r="AK1048" s="1370"/>
      <c r="AL1048" s="1370"/>
      <c r="AM1048" s="1370"/>
      <c r="AN1048" s="1370"/>
      <c r="AO1048" s="1370"/>
      <c r="AP1048" s="1370"/>
      <c r="AQ1048" s="1371"/>
      <c r="AR1048" s="68"/>
      <c r="AS1048" s="68"/>
      <c r="AT1048" s="68"/>
      <c r="AU1048" s="68"/>
      <c r="AV1048" s="68"/>
      <c r="AW1048" s="68"/>
      <c r="AX1048" s="68"/>
      <c r="AY1048" s="68"/>
      <c r="BA1048">
        <f>IFERROR((($CI$761+$CM$761)/$AG$449),0)</f>
        <v>1</v>
      </c>
      <c r="BB1048" s="3" t="s">
        <v>2422</v>
      </c>
    </row>
    <row r="1049" spans="1:57" ht="13" customHeight="1">
      <c r="A1049" s="14"/>
      <c r="B1049" s="73"/>
      <c r="C1049" s="74"/>
      <c r="D1049" s="1608"/>
      <c r="E1049" s="1609"/>
      <c r="F1049" s="1609"/>
      <c r="G1049" s="1609"/>
      <c r="H1049" s="1609"/>
      <c r="I1049" s="1609"/>
      <c r="J1049" s="1609"/>
      <c r="K1049" s="1609"/>
      <c r="L1049" s="1609"/>
      <c r="M1049" s="1609"/>
      <c r="N1049" s="1609"/>
      <c r="O1049" s="1609"/>
      <c r="P1049" s="1609"/>
      <c r="Q1049" s="1609"/>
      <c r="R1049" s="1609"/>
      <c r="S1049" s="1609"/>
      <c r="T1049" s="1609"/>
      <c r="U1049" s="1609"/>
      <c r="V1049" s="1609"/>
      <c r="W1049" s="1609"/>
      <c r="X1049" s="1609"/>
      <c r="Y1049" s="1609"/>
      <c r="Z1049" s="1609"/>
      <c r="AA1049" s="1609"/>
      <c r="AB1049" s="1609"/>
      <c r="AC1049" s="1609"/>
      <c r="AD1049" s="1609"/>
      <c r="AE1049" s="1610"/>
      <c r="AF1049" s="73"/>
      <c r="AG1049" s="14"/>
      <c r="AH1049" s="14"/>
      <c r="AI1049" s="83"/>
      <c r="AJ1049" s="1369"/>
      <c r="AK1049" s="1370"/>
      <c r="AL1049" s="1370"/>
      <c r="AM1049" s="1370"/>
      <c r="AN1049" s="1370"/>
      <c r="AO1049" s="1370"/>
      <c r="AP1049" s="1370"/>
      <c r="AQ1049" s="1371"/>
      <c r="AR1049" s="68"/>
      <c r="AS1049" s="68"/>
      <c r="AT1049" s="68"/>
      <c r="AU1049" s="68"/>
      <c r="AV1049" s="68"/>
      <c r="AW1049" s="68"/>
      <c r="AX1049" s="68"/>
      <c r="AY1049" s="68"/>
      <c r="BA1049" t="b">
        <f>'Points System'!AJ163="Yes"</f>
        <v>0</v>
      </c>
      <c r="BB1049" s="3" t="s">
        <v>2419</v>
      </c>
    </row>
    <row r="1050" spans="1:57" ht="13" customHeight="1">
      <c r="A1050" s="14"/>
      <c r="B1050" s="79"/>
      <c r="C1050" s="131" t="s">
        <v>1009</v>
      </c>
      <c r="D1050" s="1570" t="s">
        <v>1295</v>
      </c>
      <c r="E1050" s="1571"/>
      <c r="F1050" s="1571"/>
      <c r="G1050" s="1571"/>
      <c r="H1050" s="1571"/>
      <c r="I1050" s="1571"/>
      <c r="J1050" s="1571"/>
      <c r="K1050" s="1571"/>
      <c r="L1050" s="1571"/>
      <c r="M1050" s="1571"/>
      <c r="N1050" s="1571"/>
      <c r="O1050" s="1571"/>
      <c r="P1050" s="1571"/>
      <c r="Q1050" s="1571"/>
      <c r="R1050" s="1571"/>
      <c r="S1050" s="1571"/>
      <c r="T1050" s="1571"/>
      <c r="U1050" s="1571"/>
      <c r="V1050" s="1571"/>
      <c r="W1050" s="1571"/>
      <c r="X1050" s="1571"/>
      <c r="Y1050" s="1571"/>
      <c r="Z1050" s="1571"/>
      <c r="AA1050" s="1571"/>
      <c r="AB1050" s="1571"/>
      <c r="AC1050" s="1571"/>
      <c r="AD1050" s="1571"/>
      <c r="AE1050" s="1572"/>
      <c r="AF1050" s="79"/>
      <c r="AG1050" s="1595" t="s">
        <v>668</v>
      </c>
      <c r="AH1050" s="1596"/>
      <c r="AI1050" s="87"/>
      <c r="AJ1050" s="1366">
        <f>ROUND(IF(AG1050="yes",(AJ1001*0.1),0),0)</f>
        <v>0</v>
      </c>
      <c r="AK1050" s="1367"/>
      <c r="AL1050" s="1367"/>
      <c r="AM1050" s="1367"/>
      <c r="AN1050" s="1367"/>
      <c r="AO1050" s="1367"/>
      <c r="AP1050" s="1367"/>
      <c r="AQ1050" s="1368"/>
      <c r="AR1050" s="68"/>
      <c r="AS1050" s="68"/>
      <c r="AT1050" s="68"/>
      <c r="AU1050" s="68"/>
      <c r="AV1050" s="68"/>
      <c r="AW1050" s="68"/>
      <c r="AX1050" s="68"/>
      <c r="AY1050" s="68"/>
      <c r="BA1050">
        <f>Q212</f>
        <v>0</v>
      </c>
      <c r="BB1050" s="3" t="s">
        <v>2420</v>
      </c>
    </row>
    <row r="1051" spans="1:57" ht="13" customHeight="1">
      <c r="A1051" s="14"/>
      <c r="B1051" s="73"/>
      <c r="C1051" s="74"/>
      <c r="D1051" s="1586" t="s">
        <v>2098</v>
      </c>
      <c r="E1051" s="1587"/>
      <c r="F1051" s="1587"/>
      <c r="G1051" s="1587"/>
      <c r="H1051" s="1587"/>
      <c r="I1051" s="1587"/>
      <c r="J1051" s="1587"/>
      <c r="K1051" s="1587"/>
      <c r="L1051" s="1587"/>
      <c r="M1051" s="1587"/>
      <c r="N1051" s="1587"/>
      <c r="O1051" s="1587"/>
      <c r="P1051" s="1587"/>
      <c r="Q1051" s="1587"/>
      <c r="R1051" s="1587"/>
      <c r="S1051" s="1587"/>
      <c r="T1051" s="1587"/>
      <c r="U1051" s="1587"/>
      <c r="V1051" s="1587"/>
      <c r="W1051" s="1587"/>
      <c r="X1051" s="1587"/>
      <c r="Y1051" s="1587"/>
      <c r="Z1051" s="1587"/>
      <c r="AA1051" s="1587"/>
      <c r="AB1051" s="1587"/>
      <c r="AC1051" s="1587"/>
      <c r="AD1051" s="1587"/>
      <c r="AE1051" s="1588"/>
      <c r="AF1051" s="73"/>
      <c r="AG1051" s="14"/>
      <c r="AH1051" s="14"/>
      <c r="AI1051" s="83"/>
      <c r="AJ1051" s="1369"/>
      <c r="AK1051" s="1370"/>
      <c r="AL1051" s="1370"/>
      <c r="AM1051" s="1370"/>
      <c r="AN1051" s="1370"/>
      <c r="AO1051" s="1370"/>
      <c r="AP1051" s="1370"/>
      <c r="AQ1051" s="1371"/>
      <c r="AR1051" s="68"/>
      <c r="AS1051" s="68"/>
      <c r="AT1051" s="68"/>
      <c r="AU1051" s="68"/>
      <c r="AV1051" s="68"/>
      <c r="AW1051" s="68"/>
      <c r="AX1051" s="68"/>
      <c r="AY1051" s="68"/>
      <c r="BA1051" s="1177">
        <f>T212</f>
        <v>0</v>
      </c>
      <c r="BB1051" s="3" t="s">
        <v>2421</v>
      </c>
    </row>
    <row r="1052" spans="1:57" ht="13" customHeight="1">
      <c r="A1052" s="14"/>
      <c r="B1052" s="73"/>
      <c r="C1052" s="74"/>
      <c r="D1052" s="1586"/>
      <c r="E1052" s="1587"/>
      <c r="F1052" s="1587"/>
      <c r="G1052" s="1587"/>
      <c r="H1052" s="1587"/>
      <c r="I1052" s="1587"/>
      <c r="J1052" s="1587"/>
      <c r="K1052" s="1587"/>
      <c r="L1052" s="1587"/>
      <c r="M1052" s="1587"/>
      <c r="N1052" s="1587"/>
      <c r="O1052" s="1587"/>
      <c r="P1052" s="1587"/>
      <c r="Q1052" s="1587"/>
      <c r="R1052" s="1587"/>
      <c r="S1052" s="1587"/>
      <c r="T1052" s="1587"/>
      <c r="U1052" s="1587"/>
      <c r="V1052" s="1587"/>
      <c r="W1052" s="1587"/>
      <c r="X1052" s="1587"/>
      <c r="Y1052" s="1587"/>
      <c r="Z1052" s="1587"/>
      <c r="AA1052" s="1587"/>
      <c r="AB1052" s="1587"/>
      <c r="AC1052" s="1587"/>
      <c r="AD1052" s="1587"/>
      <c r="AE1052" s="1588"/>
      <c r="AF1052" s="73"/>
      <c r="AG1052" s="14"/>
      <c r="AH1052" s="14"/>
      <c r="AI1052" s="83"/>
      <c r="AJ1052" s="1369"/>
      <c r="AK1052" s="1370"/>
      <c r="AL1052" s="1370"/>
      <c r="AM1052" s="1370"/>
      <c r="AN1052" s="1370"/>
      <c r="AO1052" s="1370"/>
      <c r="AP1052" s="1370"/>
      <c r="AQ1052" s="1371"/>
      <c r="AR1052" s="68"/>
      <c r="AS1052" s="68"/>
      <c r="AT1052" s="68"/>
      <c r="AU1052" s="68"/>
      <c r="AV1052" s="68"/>
      <c r="AW1052" s="68"/>
      <c r="AX1052" s="68"/>
      <c r="AY1052" s="68"/>
    </row>
    <row r="1053" spans="1:57" ht="13" customHeight="1">
      <c r="A1053" s="14"/>
      <c r="B1053" s="73"/>
      <c r="C1053" s="74"/>
      <c r="D1053" s="1573"/>
      <c r="E1053" s="1574"/>
      <c r="F1053" s="1574"/>
      <c r="G1053" s="1574"/>
      <c r="H1053" s="1574"/>
      <c r="I1053" s="1574"/>
      <c r="J1053" s="1574"/>
      <c r="K1053" s="1574"/>
      <c r="L1053" s="1574"/>
      <c r="M1053" s="1574"/>
      <c r="N1053" s="1574"/>
      <c r="O1053" s="1574"/>
      <c r="P1053" s="1574"/>
      <c r="Q1053" s="1574"/>
      <c r="R1053" s="1574"/>
      <c r="S1053" s="1574"/>
      <c r="T1053" s="1574"/>
      <c r="U1053" s="1574"/>
      <c r="V1053" s="1574"/>
      <c r="W1053" s="1574"/>
      <c r="X1053" s="1574"/>
      <c r="Y1053" s="1574"/>
      <c r="Z1053" s="1574"/>
      <c r="AA1053" s="1574"/>
      <c r="AB1053" s="1574"/>
      <c r="AC1053" s="1574"/>
      <c r="AD1053" s="1574"/>
      <c r="AE1053" s="1575"/>
      <c r="AF1053" s="73"/>
      <c r="AG1053" s="14"/>
      <c r="AH1053" s="14"/>
      <c r="AI1053" s="83"/>
      <c r="AJ1053" s="1372"/>
      <c r="AK1053" s="1373"/>
      <c r="AL1053" s="1373"/>
      <c r="AM1053" s="1373"/>
      <c r="AN1053" s="1373"/>
      <c r="AO1053" s="1373"/>
      <c r="AP1053" s="1373"/>
      <c r="AQ1053" s="1374"/>
      <c r="AR1053" s="68"/>
      <c r="AS1053" s="68"/>
      <c r="AT1053" s="68"/>
      <c r="AU1053" s="68"/>
      <c r="AV1053" s="68"/>
      <c r="AW1053" s="68"/>
      <c r="AX1053" s="68"/>
      <c r="AY1053" s="68"/>
    </row>
    <row r="1054" spans="1:57" ht="13" customHeight="1">
      <c r="A1054" s="14"/>
      <c r="B1054" s="79"/>
      <c r="C1054" s="131" t="s">
        <v>1672</v>
      </c>
      <c r="D1054" s="1561" t="s">
        <v>1838</v>
      </c>
      <c r="E1054" s="1562"/>
      <c r="F1054" s="1562"/>
      <c r="G1054" s="1562"/>
      <c r="H1054" s="1562"/>
      <c r="I1054" s="1562"/>
      <c r="J1054" s="1562"/>
      <c r="K1054" s="1562"/>
      <c r="L1054" s="1562"/>
      <c r="M1054" s="1562"/>
      <c r="N1054" s="1562"/>
      <c r="O1054" s="1562"/>
      <c r="P1054" s="1562"/>
      <c r="Q1054" s="1562"/>
      <c r="R1054" s="1562"/>
      <c r="S1054" s="1562"/>
      <c r="T1054" s="1562"/>
      <c r="U1054" s="1562"/>
      <c r="V1054" s="1562"/>
      <c r="W1054" s="1562"/>
      <c r="X1054" s="1562"/>
      <c r="Y1054" s="1562"/>
      <c r="Z1054" s="1562"/>
      <c r="AA1054" s="1562"/>
      <c r="AB1054" s="1562"/>
      <c r="AC1054" s="1562"/>
      <c r="AD1054" s="1562"/>
      <c r="AE1054" s="1563"/>
      <c r="AF1054" s="79"/>
      <c r="AG1054" s="1593" t="str">
        <f>IF(X1057&gt;0,"Yes","No")</f>
        <v>Yes</v>
      </c>
      <c r="AH1054" s="1594"/>
      <c r="AI1054" s="87"/>
      <c r="AJ1054" s="1366">
        <f>IF((X1057=0),0,AY1014*AJ1001)</f>
        <v>15445250</v>
      </c>
      <c r="AK1054" s="1367"/>
      <c r="AL1054" s="1367"/>
      <c r="AM1054" s="1367"/>
      <c r="AN1054" s="1367"/>
      <c r="AO1054" s="1367"/>
      <c r="AP1054" s="1367"/>
      <c r="AQ1054" s="136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3" customHeight="1">
      <c r="A1055" s="14"/>
      <c r="B1055" s="73"/>
      <c r="C1055" s="442"/>
      <c r="D1055" s="1586" t="s">
        <v>1297</v>
      </c>
      <c r="E1055" s="1587"/>
      <c r="F1055" s="1587"/>
      <c r="G1055" s="1587"/>
      <c r="H1055" s="1587"/>
      <c r="I1055" s="1587"/>
      <c r="J1055" s="1587"/>
      <c r="K1055" s="1587"/>
      <c r="L1055" s="1587"/>
      <c r="M1055" s="1587"/>
      <c r="N1055" s="1587"/>
      <c r="O1055" s="1587"/>
      <c r="P1055" s="1587"/>
      <c r="Q1055" s="1587"/>
      <c r="R1055" s="1587"/>
      <c r="S1055" s="1587"/>
      <c r="T1055" s="1587"/>
      <c r="U1055" s="1587"/>
      <c r="V1055" s="1587"/>
      <c r="W1055" s="1587"/>
      <c r="X1055" s="1587"/>
      <c r="Y1055" s="1587"/>
      <c r="Z1055" s="1587"/>
      <c r="AA1055" s="1587"/>
      <c r="AB1055" s="1587"/>
      <c r="AC1055" s="1587"/>
      <c r="AD1055" s="1587"/>
      <c r="AE1055" s="1588"/>
      <c r="AF1055" s="73"/>
      <c r="AG1055" s="443"/>
      <c r="AH1055" s="443"/>
      <c r="AI1055" s="83"/>
      <c r="AJ1055" s="1369"/>
      <c r="AK1055" s="1370"/>
      <c r="AL1055" s="1370"/>
      <c r="AM1055" s="1370"/>
      <c r="AN1055" s="1370"/>
      <c r="AO1055" s="1370"/>
      <c r="AP1055" s="1370"/>
      <c r="AQ1055" s="1371"/>
      <c r="AR1055" s="68"/>
      <c r="AS1055" s="68"/>
      <c r="AT1055" s="68"/>
      <c r="AU1055" s="13"/>
      <c r="AV1055" s="68"/>
      <c r="AW1055" s="68"/>
      <c r="AX1055" s="68"/>
      <c r="AY1055" s="68"/>
      <c r="AZ1055" s="958">
        <f>'Sources and Uses Budget'!S97*BA1055</f>
        <v>2278390.5</v>
      </c>
      <c r="BA1055" s="1175">
        <f>IF(BA1049,20%,15%)</f>
        <v>0.15</v>
      </c>
      <c r="BB1055" s="3" t="s">
        <v>2408</v>
      </c>
      <c r="BC1055" s="3" t="s">
        <v>2409</v>
      </c>
      <c r="BD1055" s="3"/>
    </row>
    <row r="1056" spans="1:57" ht="13" customHeight="1">
      <c r="A1056" s="14"/>
      <c r="B1056" s="73"/>
      <c r="C1056" s="442"/>
      <c r="D1056" s="1586"/>
      <c r="E1056" s="1587"/>
      <c r="F1056" s="1587"/>
      <c r="G1056" s="1587"/>
      <c r="H1056" s="1587"/>
      <c r="I1056" s="1587"/>
      <c r="J1056" s="1587"/>
      <c r="K1056" s="1587"/>
      <c r="L1056" s="1587"/>
      <c r="M1056" s="1587"/>
      <c r="N1056" s="1587"/>
      <c r="O1056" s="1587"/>
      <c r="P1056" s="1587"/>
      <c r="Q1056" s="1587"/>
      <c r="R1056" s="1587"/>
      <c r="S1056" s="1587"/>
      <c r="T1056" s="1587"/>
      <c r="U1056" s="1587"/>
      <c r="V1056" s="1587"/>
      <c r="W1056" s="1587"/>
      <c r="X1056" s="1587"/>
      <c r="Y1056" s="1587"/>
      <c r="Z1056" s="1587"/>
      <c r="AA1056" s="1587"/>
      <c r="AB1056" s="1587"/>
      <c r="AC1056" s="1587"/>
      <c r="AD1056" s="1587"/>
      <c r="AE1056" s="1588"/>
      <c r="AF1056" s="73"/>
      <c r="AG1056" s="443"/>
      <c r="AH1056" s="443"/>
      <c r="AI1056" s="83"/>
      <c r="AJ1056" s="1369"/>
      <c r="AK1056" s="1370"/>
      <c r="AL1056" s="1370"/>
      <c r="AM1056" s="1370"/>
      <c r="AN1056" s="1370"/>
      <c r="AO1056" s="1370"/>
      <c r="AP1056" s="1370"/>
      <c r="AQ1056" s="1371"/>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3" customHeight="1">
      <c r="A1057" s="14"/>
      <c r="B1057" s="77"/>
      <c r="C1057" s="78"/>
      <c r="D1057" s="132" t="s">
        <v>971</v>
      </c>
      <c r="E1057" s="133"/>
      <c r="F1057" s="133"/>
      <c r="G1057" s="133"/>
      <c r="H1057" s="133"/>
      <c r="I1057" s="1591">
        <f>AY1012</f>
        <v>60</v>
      </c>
      <c r="J1057" s="1592"/>
      <c r="K1057" s="7"/>
      <c r="L1057" s="133"/>
      <c r="M1057" s="133"/>
      <c r="N1057" s="133"/>
      <c r="O1057" s="133"/>
      <c r="P1057" s="133"/>
      <c r="Q1057" s="133"/>
      <c r="R1057" s="133"/>
      <c r="S1057" s="133"/>
      <c r="T1057" s="133"/>
      <c r="U1057" s="133"/>
      <c r="V1057" s="134" t="s">
        <v>972</v>
      </c>
      <c r="W1057" s="48"/>
      <c r="X1057" s="1589">
        <f>CI761</f>
        <v>30</v>
      </c>
      <c r="Y1057" s="1590"/>
      <c r="Z1057" s="48"/>
      <c r="AA1057" s="48"/>
      <c r="AB1057" s="48"/>
      <c r="AC1057" s="48"/>
      <c r="AD1057" s="48"/>
      <c r="AE1057" s="49"/>
      <c r="AF1057" s="920"/>
      <c r="AG1057" s="921"/>
      <c r="AH1057" s="921"/>
      <c r="AI1057" s="922"/>
      <c r="AJ1057" s="1372"/>
      <c r="AK1057" s="1373"/>
      <c r="AL1057" s="1373"/>
      <c r="AM1057" s="1373"/>
      <c r="AN1057" s="1373"/>
      <c r="AO1057" s="1373"/>
      <c r="AP1057" s="1373"/>
      <c r="AQ1057" s="1374"/>
      <c r="AR1057" s="68"/>
      <c r="AS1057" s="68"/>
      <c r="AT1057" s="68"/>
      <c r="AU1057" s="14"/>
      <c r="AV1057" s="68"/>
      <c r="AW1057" s="68"/>
      <c r="AX1057" s="68"/>
      <c r="AY1057" s="68"/>
      <c r="AZ1057" s="958">
        <f>IF(M367="N/A",0,'Sources and Uses Budget'!T97*BA1057)</f>
        <v>1358552.7</v>
      </c>
      <c r="BA1057" s="1175" cm="1">
        <f t="array" ref="BA1057">_xlfn.IFS(X180="Yes",5%,$BA$1047&gt;50000,15%,BA1048&gt;=30%,15%,TRUE,5%)</f>
        <v>0.15</v>
      </c>
      <c r="BB1057" s="3" t="s">
        <v>2408</v>
      </c>
      <c r="BC1057" s="3" t="s">
        <v>2411</v>
      </c>
      <c r="BD1057" s="3"/>
    </row>
    <row r="1058" spans="1:56" ht="13" customHeight="1">
      <c r="A1058" s="14"/>
      <c r="B1058" s="79"/>
      <c r="C1058" s="131" t="s">
        <v>1673</v>
      </c>
      <c r="D1058" s="1570" t="s">
        <v>2124</v>
      </c>
      <c r="E1058" s="1571"/>
      <c r="F1058" s="1571"/>
      <c r="G1058" s="1571"/>
      <c r="H1058" s="1571"/>
      <c r="I1058" s="1571"/>
      <c r="J1058" s="1571"/>
      <c r="K1058" s="1571"/>
      <c r="L1058" s="1571"/>
      <c r="M1058" s="1571"/>
      <c r="N1058" s="1571"/>
      <c r="O1058" s="1571"/>
      <c r="P1058" s="1571"/>
      <c r="Q1058" s="1571"/>
      <c r="R1058" s="1571"/>
      <c r="S1058" s="1571"/>
      <c r="T1058" s="1571"/>
      <c r="U1058" s="1571"/>
      <c r="V1058" s="1571"/>
      <c r="W1058" s="1571"/>
      <c r="X1058" s="1571"/>
      <c r="Y1058" s="1571"/>
      <c r="Z1058" s="1571"/>
      <c r="AA1058" s="1571"/>
      <c r="AB1058" s="1571"/>
      <c r="AC1058" s="1571"/>
      <c r="AD1058" s="1571"/>
      <c r="AE1058" s="1572"/>
      <c r="AF1058" s="73"/>
      <c r="AG1058" s="1593" t="str">
        <f>IF(X1061&gt;0,"Yes","No")</f>
        <v>Yes</v>
      </c>
      <c r="AH1058" s="1594"/>
      <c r="AI1058" s="83"/>
      <c r="AJ1058" s="1366">
        <f>IF((X1061=0),0,(2*AY1015)*AJ1001)</f>
        <v>30890500</v>
      </c>
      <c r="AK1058" s="1367"/>
      <c r="AL1058" s="1367"/>
      <c r="AM1058" s="1367"/>
      <c r="AN1058" s="1367"/>
      <c r="AO1058" s="1367"/>
      <c r="AP1058" s="1367"/>
      <c r="AQ1058" s="1368"/>
      <c r="AR1058" s="68"/>
      <c r="AS1058" s="68"/>
      <c r="AT1058" s="68"/>
      <c r="AU1058" s="14"/>
      <c r="AV1058" s="68"/>
      <c r="AW1058" s="68"/>
      <c r="AX1058" s="68"/>
      <c r="AY1058" s="68"/>
      <c r="AZ1058" s="958">
        <f>AZ1054*BA1058</f>
        <v>0</v>
      </c>
      <c r="BA1058" s="1175">
        <v>0.15</v>
      </c>
      <c r="BB1058" s="3" t="s">
        <v>2408</v>
      </c>
      <c r="BC1058" s="3" t="s">
        <v>2412</v>
      </c>
      <c r="BD1058" s="3"/>
    </row>
    <row r="1059" spans="1:56" ht="13" customHeight="1">
      <c r="A1059" s="14"/>
      <c r="B1059" s="73"/>
      <c r="C1059" s="442"/>
      <c r="D1059" s="1586" t="s">
        <v>1296</v>
      </c>
      <c r="E1059" s="1587"/>
      <c r="F1059" s="1587"/>
      <c r="G1059" s="1587"/>
      <c r="H1059" s="1587"/>
      <c r="I1059" s="1587"/>
      <c r="J1059" s="1587"/>
      <c r="K1059" s="1587"/>
      <c r="L1059" s="1587"/>
      <c r="M1059" s="1587"/>
      <c r="N1059" s="1587"/>
      <c r="O1059" s="1587"/>
      <c r="P1059" s="1587"/>
      <c r="Q1059" s="1587"/>
      <c r="R1059" s="1587"/>
      <c r="S1059" s="1587"/>
      <c r="T1059" s="1587"/>
      <c r="U1059" s="1587"/>
      <c r="V1059" s="1587"/>
      <c r="W1059" s="1587"/>
      <c r="X1059" s="1587"/>
      <c r="Y1059" s="1587"/>
      <c r="Z1059" s="1587"/>
      <c r="AA1059" s="1587"/>
      <c r="AB1059" s="1587"/>
      <c r="AC1059" s="1587"/>
      <c r="AD1059" s="1587"/>
      <c r="AE1059" s="1588"/>
      <c r="AF1059" s="73"/>
      <c r="AG1059" s="443"/>
      <c r="AH1059" s="443"/>
      <c r="AI1059" s="83"/>
      <c r="AJ1059" s="1369"/>
      <c r="AK1059" s="1370"/>
      <c r="AL1059" s="1370"/>
      <c r="AM1059" s="1370"/>
      <c r="AN1059" s="1370"/>
      <c r="AO1059" s="1370"/>
      <c r="AP1059" s="1370"/>
      <c r="AQ1059" s="1371"/>
      <c r="AR1059" s="68"/>
      <c r="AS1059" s="68"/>
      <c r="AT1059" s="68"/>
      <c r="AU1059" s="68"/>
      <c r="AV1059" s="68"/>
      <c r="AW1059" s="68"/>
      <c r="AX1059" s="68"/>
      <c r="AY1059" s="68"/>
      <c r="AZ1059" s="958"/>
      <c r="BA1059" s="3"/>
      <c r="BB1059" s="3"/>
      <c r="BC1059" s="3"/>
      <c r="BD1059" s="3"/>
    </row>
    <row r="1060" spans="1:56" ht="13" customHeight="1">
      <c r="A1060" s="14"/>
      <c r="B1060" s="73"/>
      <c r="C1060" s="83"/>
      <c r="D1060" s="1586"/>
      <c r="E1060" s="1587"/>
      <c r="F1060" s="1587"/>
      <c r="G1060" s="1587"/>
      <c r="H1060" s="1587"/>
      <c r="I1060" s="1587"/>
      <c r="J1060" s="1587"/>
      <c r="K1060" s="1587"/>
      <c r="L1060" s="1587"/>
      <c r="M1060" s="1587"/>
      <c r="N1060" s="1587"/>
      <c r="O1060" s="1587"/>
      <c r="P1060" s="1587"/>
      <c r="Q1060" s="1587"/>
      <c r="R1060" s="1587"/>
      <c r="S1060" s="1587"/>
      <c r="T1060" s="1587"/>
      <c r="U1060" s="1587"/>
      <c r="V1060" s="1587"/>
      <c r="W1060" s="1587"/>
      <c r="X1060" s="1587"/>
      <c r="Y1060" s="1587"/>
      <c r="Z1060" s="1587"/>
      <c r="AA1060" s="1587"/>
      <c r="AB1060" s="1587"/>
      <c r="AC1060" s="1587"/>
      <c r="AD1060" s="1587"/>
      <c r="AE1060" s="1588"/>
      <c r="AF1060" s="917"/>
      <c r="AG1060" s="918"/>
      <c r="AH1060" s="918"/>
      <c r="AI1060" s="919"/>
      <c r="AJ1060" s="1369"/>
      <c r="AK1060" s="1370"/>
      <c r="AL1060" s="1370"/>
      <c r="AM1060" s="1370"/>
      <c r="AN1060" s="1370"/>
      <c r="AO1060" s="1370"/>
      <c r="AP1060" s="1370"/>
      <c r="AQ1060" s="1371"/>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3" customHeight="1">
      <c r="A1061" s="14"/>
      <c r="B1061" s="77"/>
      <c r="C1061" s="78"/>
      <c r="D1061" s="132" t="s">
        <v>971</v>
      </c>
      <c r="E1061" s="133"/>
      <c r="F1061" s="133"/>
      <c r="G1061" s="133"/>
      <c r="H1061" s="133"/>
      <c r="I1061" s="1591">
        <f>AY1012</f>
        <v>60</v>
      </c>
      <c r="J1061" s="1592"/>
      <c r="K1061" s="14"/>
      <c r="L1061" s="133"/>
      <c r="M1061" s="133"/>
      <c r="N1061" s="133"/>
      <c r="O1061" s="133"/>
      <c r="P1061" s="133"/>
      <c r="Q1061" s="133"/>
      <c r="R1061" s="133"/>
      <c r="S1061" s="133"/>
      <c r="T1061" s="133"/>
      <c r="U1061" s="133"/>
      <c r="V1061" s="134" t="s">
        <v>973</v>
      </c>
      <c r="X1061" s="1589">
        <f>CM761</f>
        <v>30</v>
      </c>
      <c r="Y1061" s="1590"/>
      <c r="AF1061" s="920"/>
      <c r="AG1061" s="921"/>
      <c r="AH1061" s="921"/>
      <c r="AI1061" s="922"/>
      <c r="AJ1061" s="1372"/>
      <c r="AK1061" s="1373"/>
      <c r="AL1061" s="1373"/>
      <c r="AM1061" s="1373"/>
      <c r="AN1061" s="1373"/>
      <c r="AO1061" s="1373"/>
      <c r="AP1061" s="1373"/>
      <c r="AQ1061" s="1374"/>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3" customHeight="1">
      <c r="A1062" s="14"/>
      <c r="B1062" s="102"/>
      <c r="C1062" s="103"/>
      <c r="D1062" s="1584" t="s">
        <v>512</v>
      </c>
      <c r="E1062" s="1584"/>
      <c r="F1062" s="1584"/>
      <c r="G1062" s="1584"/>
      <c r="H1062" s="1584"/>
      <c r="I1062" s="1584"/>
      <c r="J1062" s="1584"/>
      <c r="K1062" s="1584"/>
      <c r="L1062" s="1584"/>
      <c r="M1062" s="1584"/>
      <c r="N1062" s="1584"/>
      <c r="O1062" s="1584"/>
      <c r="P1062" s="1584"/>
      <c r="Q1062" s="1584"/>
      <c r="R1062" s="1584"/>
      <c r="S1062" s="1584"/>
      <c r="T1062" s="1584"/>
      <c r="U1062" s="1584"/>
      <c r="V1062" s="1584"/>
      <c r="W1062" s="1584"/>
      <c r="X1062" s="1584"/>
      <c r="Y1062" s="1584"/>
      <c r="Z1062" s="1584"/>
      <c r="AA1062" s="1584"/>
      <c r="AB1062" s="1584"/>
      <c r="AC1062" s="1584"/>
      <c r="AD1062" s="1584"/>
      <c r="AE1062" s="1584"/>
      <c r="AF1062" s="1584"/>
      <c r="AG1062" s="1584"/>
      <c r="AH1062" s="1584"/>
      <c r="AI1062" s="1585"/>
      <c r="AJ1062" s="1558">
        <f>SUM(AJ1001:AQ1061)</f>
        <v>80315300</v>
      </c>
      <c r="AK1062" s="1559"/>
      <c r="AL1062" s="1559"/>
      <c r="AM1062" s="1559"/>
      <c r="AN1062" s="1559"/>
      <c r="AO1062" s="1559"/>
      <c r="AP1062" s="1559"/>
      <c r="AQ1062" s="1560"/>
      <c r="AR1062" s="68"/>
      <c r="AS1062" s="68"/>
      <c r="AT1062" s="68"/>
      <c r="AU1062" s="68"/>
      <c r="AV1062" s="68"/>
      <c r="AW1062" s="68"/>
      <c r="AX1062" s="68"/>
      <c r="AY1062" s="68"/>
      <c r="AZ1062" s="1174">
        <v>6000000</v>
      </c>
      <c r="BA1062" s="3" t="s">
        <v>2415</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3"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54">
        <f>'Sources and Uses Budget'!S107+'Sources and Uses Budget'!T107</f>
        <v>27883230</v>
      </c>
      <c r="AB1065" s="1854"/>
      <c r="AC1065" s="1854"/>
      <c r="AD1065" s="1854"/>
      <c r="AE1065" s="1854"/>
      <c r="AF1065" s="1854"/>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3636943.2</v>
      </c>
      <c r="BB1065" s="3" t="s">
        <v>2417</v>
      </c>
      <c r="BC1065" s="3"/>
      <c r="BD1065" s="3"/>
    </row>
    <row r="1066" spans="1:56" ht="13"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55">
        <f>IFERROR((AA1065-BA1068)/(AJ1062-AJ1054-AJ1058),"")</f>
        <v>0.78712896433295909</v>
      </c>
      <c r="AB1066" s="1856"/>
      <c r="AC1066" s="1856"/>
      <c r="AD1066" s="1856"/>
      <c r="AE1066" s="1856"/>
      <c r="AF1066" s="1857"/>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85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c r="AL1067" s="1858"/>
      <c r="AM1067" s="1858"/>
      <c r="AN1067" s="1858"/>
      <c r="AO1067" s="68"/>
      <c r="AP1067" s="68"/>
      <c r="AQ1067" s="68"/>
      <c r="AR1067" s="68"/>
      <c r="AS1067" s="68"/>
      <c r="AT1067" s="68"/>
      <c r="AU1067" s="68"/>
      <c r="AV1067" s="14"/>
      <c r="AW1067" s="14"/>
      <c r="AX1067" s="14"/>
      <c r="AY1067" s="14"/>
      <c r="BA1067" s="1178">
        <f>'Sources and Uses Budget'!$S$104+'Sources and Uses Budget'!$T$104</f>
        <v>3636942</v>
      </c>
      <c r="BB1067" s="3" t="s">
        <v>2423</v>
      </c>
    </row>
    <row r="1068" spans="1:56" ht="13" customHeight="1">
      <c r="A1068" s="14"/>
      <c r="B1068" s="14"/>
      <c r="C1068" s="208"/>
      <c r="D1068" s="854"/>
      <c r="E1068" s="854"/>
      <c r="F1068" s="854"/>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c r="AL1068" s="1858"/>
      <c r="AM1068" s="1858"/>
      <c r="AN1068" s="1858"/>
      <c r="AO1068" s="68"/>
      <c r="AP1068" s="68"/>
      <c r="AQ1068" s="68"/>
      <c r="AR1068" s="68"/>
      <c r="AS1068" s="68"/>
      <c r="AT1068" s="68"/>
      <c r="AU1068" s="68"/>
      <c r="AV1068" s="14"/>
      <c r="AW1068" s="14"/>
      <c r="AX1068" s="14"/>
      <c r="AY1068" s="14"/>
      <c r="BA1068" s="1179">
        <f>MAX($BA$1067-$BA$1064,0)</f>
        <v>1136942</v>
      </c>
      <c r="BB1068" s="3" t="s">
        <v>2424</v>
      </c>
    </row>
    <row r="1069" spans="1:56" ht="13" customHeight="1">
      <c r="A1069" s="88"/>
      <c r="B1069" s="1165"/>
      <c r="C1069" s="1165"/>
      <c r="D1069" s="1165"/>
      <c r="E1069" s="1165"/>
      <c r="F1069" s="1165"/>
      <c r="G1069" s="1858"/>
      <c r="H1069" s="1858"/>
      <c r="I1069" s="1858"/>
      <c r="J1069" s="1858"/>
      <c r="K1069" s="1858"/>
      <c r="L1069" s="1858"/>
      <c r="M1069" s="1858"/>
      <c r="N1069" s="1858"/>
      <c r="O1069" s="1858"/>
      <c r="P1069" s="1858"/>
      <c r="Q1069" s="1858"/>
      <c r="R1069" s="1858"/>
      <c r="S1069" s="1858"/>
      <c r="T1069" s="1858"/>
      <c r="U1069" s="1858"/>
      <c r="V1069" s="1858"/>
      <c r="W1069" s="1858"/>
      <c r="X1069" s="1858"/>
      <c r="Y1069" s="1858"/>
      <c r="Z1069" s="1858"/>
      <c r="AA1069" s="1858"/>
      <c r="AB1069" s="1858"/>
      <c r="AC1069" s="1858"/>
      <c r="AD1069" s="1858"/>
      <c r="AE1069" s="1858"/>
      <c r="AF1069" s="1858"/>
      <c r="AG1069" s="1858"/>
      <c r="AH1069" s="1858"/>
      <c r="AI1069" s="1858"/>
      <c r="AJ1069" s="1858"/>
      <c r="AK1069" s="1858"/>
      <c r="AL1069" s="1858"/>
      <c r="AM1069" s="1858"/>
      <c r="AN1069" s="1858"/>
      <c r="AO1069" s="1165"/>
      <c r="AP1069" s="1165"/>
      <c r="AQ1069" s="68"/>
      <c r="AR1069" s="68"/>
      <c r="AS1069" s="68"/>
      <c r="AT1069" s="68"/>
      <c r="AU1069" s="68"/>
      <c r="AV1069" s="68"/>
      <c r="AW1069" s="68"/>
      <c r="AX1069" s="68"/>
      <c r="AY1069" s="68"/>
    </row>
    <row r="1070" spans="1:56" ht="13" customHeight="1">
      <c r="A1070" s="1343" t="s">
        <v>793</v>
      </c>
      <c r="B1070" s="1343"/>
      <c r="C1070" s="1343"/>
      <c r="D1070" s="1343"/>
      <c r="E1070" s="1343"/>
      <c r="F1070" s="1343"/>
      <c r="G1070" s="1343"/>
      <c r="H1070" s="1343"/>
      <c r="I1070" s="1343"/>
      <c r="J1070" s="1343"/>
      <c r="K1070" s="1343"/>
      <c r="L1070" s="1343"/>
      <c r="M1070" s="1343"/>
      <c r="N1070" s="1343"/>
      <c r="O1070" s="1343"/>
      <c r="P1070" s="1343"/>
      <c r="Q1070" s="1343"/>
      <c r="R1070" s="1343"/>
      <c r="S1070" s="1343"/>
      <c r="T1070" s="1343"/>
      <c r="U1070" s="1343"/>
      <c r="V1070" s="1343"/>
      <c r="W1070" s="1343"/>
      <c r="X1070" s="1343"/>
      <c r="Y1070" s="1343"/>
      <c r="Z1070" s="1343"/>
      <c r="AA1070" s="1343"/>
      <c r="AB1070" s="1343"/>
      <c r="AC1070" s="1343"/>
      <c r="AD1070" s="1343"/>
      <c r="AE1070" s="1343"/>
      <c r="AF1070" s="1343"/>
      <c r="AG1070" s="1343"/>
      <c r="AH1070" s="1343"/>
      <c r="AI1070" s="1343"/>
      <c r="AJ1070" s="1343"/>
      <c r="AK1070" s="1343"/>
      <c r="AL1070" s="1343"/>
      <c r="AM1070" s="1343"/>
      <c r="AN1070" s="1343"/>
      <c r="AO1070" s="1343"/>
      <c r="AP1070" s="1343"/>
      <c r="AQ1070" s="1343"/>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39" t="s">
        <v>590</v>
      </c>
      <c r="B1074" s="1339"/>
      <c r="C1074" s="1340">
        <v>1</v>
      </c>
      <c r="D1074" s="1340"/>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340"/>
      <c r="D1075" s="134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39" t="s">
        <v>590</v>
      </c>
      <c r="B1076" s="1339"/>
      <c r="C1076" s="1340">
        <v>2</v>
      </c>
      <c r="D1076" s="1340"/>
      <c r="E1076" s="1342" t="s">
        <v>2191</v>
      </c>
      <c r="F1076" s="1342"/>
      <c r="G1076" s="1342"/>
      <c r="H1076" s="1342"/>
      <c r="I1076" s="1342"/>
      <c r="J1076" s="1342"/>
      <c r="K1076" s="1342"/>
      <c r="L1076" s="1342"/>
      <c r="M1076" s="1342"/>
      <c r="N1076" s="1342"/>
      <c r="O1076" s="1342"/>
      <c r="P1076" s="1342"/>
      <c r="Q1076" s="1342"/>
      <c r="R1076" s="1342"/>
      <c r="S1076" s="1342"/>
      <c r="T1076" s="1342"/>
      <c r="U1076" s="1342"/>
      <c r="V1076" s="1342"/>
      <c r="W1076" s="1342"/>
      <c r="X1076" s="1342"/>
      <c r="Y1076" s="1342"/>
      <c r="Z1076" s="1342"/>
      <c r="AA1076" s="1342"/>
      <c r="AB1076" s="1342"/>
      <c r="AC1076" s="1342"/>
      <c r="AD1076" s="1342"/>
      <c r="AE1076" s="1342"/>
      <c r="AF1076" s="1342"/>
      <c r="AG1076" s="1342"/>
      <c r="AH1076" s="1342"/>
      <c r="AI1076" s="1342"/>
      <c r="AJ1076" s="1342"/>
      <c r="AK1076" s="1342"/>
      <c r="AL1076" s="1342"/>
      <c r="AM1076" s="1342"/>
      <c r="AN1076" s="1342"/>
      <c r="AO1076" s="1342"/>
      <c r="AP1076" s="1342"/>
      <c r="AQ1076" s="1342"/>
      <c r="AR1076" s="1342"/>
      <c r="AS1076" s="14"/>
      <c r="AT1076" s="14"/>
      <c r="AV1076" s="68"/>
      <c r="AW1076" s="68"/>
      <c r="AX1076" s="68"/>
      <c r="AY1076" s="68"/>
    </row>
    <row r="1077" spans="1:51" ht="13" customHeight="1">
      <c r="A1077" s="198"/>
      <c r="B1077" s="67"/>
      <c r="C1077" s="1340"/>
      <c r="D1077" s="1340"/>
      <c r="E1077" s="1342"/>
      <c r="F1077" s="1342"/>
      <c r="G1077" s="1342"/>
      <c r="H1077" s="1342"/>
      <c r="I1077" s="1342"/>
      <c r="J1077" s="1342"/>
      <c r="K1077" s="1342"/>
      <c r="L1077" s="1342"/>
      <c r="M1077" s="1342"/>
      <c r="N1077" s="1342"/>
      <c r="O1077" s="1342"/>
      <c r="P1077" s="1342"/>
      <c r="Q1077" s="1342"/>
      <c r="R1077" s="1342"/>
      <c r="S1077" s="1342"/>
      <c r="T1077" s="1342"/>
      <c r="U1077" s="1342"/>
      <c r="V1077" s="1342"/>
      <c r="W1077" s="1342"/>
      <c r="X1077" s="1342"/>
      <c r="Y1077" s="1342"/>
      <c r="Z1077" s="1342"/>
      <c r="AA1077" s="1342"/>
      <c r="AB1077" s="1342"/>
      <c r="AC1077" s="1342"/>
      <c r="AD1077" s="1342"/>
      <c r="AE1077" s="1342"/>
      <c r="AF1077" s="1342"/>
      <c r="AG1077" s="1342"/>
      <c r="AH1077" s="1342"/>
      <c r="AI1077" s="1342"/>
      <c r="AJ1077" s="1342"/>
      <c r="AK1077" s="1342"/>
      <c r="AL1077" s="1342"/>
      <c r="AM1077" s="1342"/>
      <c r="AN1077" s="1342"/>
      <c r="AO1077" s="1342"/>
      <c r="AP1077" s="1342"/>
      <c r="AQ1077" s="1342"/>
      <c r="AR1077" s="1342"/>
      <c r="AS1077" s="14"/>
      <c r="AT1077" s="14"/>
      <c r="AV1077" s="68"/>
      <c r="AW1077" s="68"/>
      <c r="AX1077" s="68"/>
      <c r="AY1077" s="68"/>
    </row>
    <row r="1078" spans="1:51" ht="13" customHeight="1">
      <c r="A1078" s="198"/>
      <c r="B1078" s="67"/>
      <c r="C1078" s="1340"/>
      <c r="D1078" s="134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39" t="s">
        <v>590</v>
      </c>
      <c r="B1079" s="1339"/>
      <c r="C1079" s="1341">
        <v>3</v>
      </c>
      <c r="D1079" s="1341"/>
      <c r="E1079" s="1301" t="s">
        <v>1079</v>
      </c>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1301"/>
      <c r="AR1079" s="1301"/>
      <c r="AS1079" s="14"/>
      <c r="AT1079" s="68"/>
      <c r="AV1079" s="68"/>
      <c r="AW1079" s="68"/>
      <c r="AX1079" s="68"/>
      <c r="AY1079" s="68"/>
    </row>
    <row r="1080" spans="1:51" ht="13" customHeight="1">
      <c r="A1080" s="1"/>
      <c r="B1080" s="1"/>
      <c r="C1080" s="1341"/>
      <c r="D1080" s="1341"/>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1301"/>
      <c r="AR1080" s="1301"/>
      <c r="AS1080" s="14"/>
      <c r="AT1080" s="68"/>
      <c r="AV1080" s="68"/>
      <c r="AW1080" s="68"/>
      <c r="AX1080" s="68"/>
      <c r="AY1080" s="68"/>
    </row>
    <row r="1081" spans="1:51" ht="13" customHeight="1">
      <c r="A1081" s="1"/>
      <c r="B1081" s="1"/>
      <c r="C1081" s="1341"/>
      <c r="D1081" s="1341"/>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1301"/>
      <c r="AR1081" s="1301"/>
      <c r="AS1081" s="14"/>
      <c r="AT1081" s="68"/>
      <c r="AV1081" s="68"/>
      <c r="AW1081" s="68"/>
      <c r="AX1081" s="68"/>
      <c r="AY1081" s="68"/>
    </row>
    <row r="1082" spans="1:51" ht="13" customHeight="1">
      <c r="A1082" s="1"/>
      <c r="B1082" s="1"/>
      <c r="C1082" s="1341"/>
      <c r="D1082" s="1341"/>
      <c r="E1082" s="1301"/>
      <c r="F1082" s="1301"/>
      <c r="G1082" s="1301"/>
      <c r="H1082" s="1301"/>
      <c r="I1082" s="1301"/>
      <c r="J1082" s="1301"/>
      <c r="K1082" s="1301"/>
      <c r="L1082" s="1301"/>
      <c r="M1082" s="1301"/>
      <c r="N1082" s="1301"/>
      <c r="O1082" s="1301"/>
      <c r="P1082" s="1301"/>
      <c r="Q1082" s="1301"/>
      <c r="R1082" s="1301"/>
      <c r="S1082" s="1301"/>
      <c r="T1082" s="1301"/>
      <c r="U1082" s="1301"/>
      <c r="V1082" s="1301"/>
      <c r="W1082" s="1301"/>
      <c r="X1082" s="1301"/>
      <c r="Y1082" s="1301"/>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4"/>
      <c r="AT1082" s="68"/>
      <c r="AV1082" s="68"/>
      <c r="AW1082" s="68"/>
      <c r="AX1082" s="68"/>
      <c r="AY1082" s="68"/>
    </row>
    <row r="1083" spans="1:51" ht="13" customHeight="1">
      <c r="A1083" s="2"/>
      <c r="B1083" s="25"/>
      <c r="C1083" s="1341"/>
      <c r="D1083" s="134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39" t="s">
        <v>590</v>
      </c>
      <c r="B1084" s="1339"/>
      <c r="C1084" s="1341">
        <v>4</v>
      </c>
      <c r="D1084" s="1341"/>
      <c r="E1084" s="1301" t="s">
        <v>1078</v>
      </c>
      <c r="F1084" s="1301"/>
      <c r="G1084" s="1301"/>
      <c r="H1084" s="1301"/>
      <c r="I1084" s="1301"/>
      <c r="J1084" s="1301"/>
      <c r="K1084" s="1301"/>
      <c r="L1084" s="1301"/>
      <c r="M1084" s="1301"/>
      <c r="N1084" s="1301"/>
      <c r="O1084" s="1301"/>
      <c r="P1084" s="1301"/>
      <c r="Q1084" s="1301"/>
      <c r="R1084" s="1301"/>
      <c r="S1084" s="1301"/>
      <c r="T1084" s="1301"/>
      <c r="U1084" s="1301"/>
      <c r="V1084" s="1301"/>
      <c r="W1084" s="1301"/>
      <c r="X1084" s="1301"/>
      <c r="Y1084" s="1301"/>
      <c r="Z1084" s="1301"/>
      <c r="AA1084" s="1301"/>
      <c r="AB1084" s="1301"/>
      <c r="AC1084" s="1301"/>
      <c r="AD1084" s="1301"/>
      <c r="AE1084" s="1301"/>
      <c r="AF1084" s="1301"/>
      <c r="AG1084" s="1301"/>
      <c r="AH1084" s="1301"/>
      <c r="AI1084" s="1301"/>
      <c r="AJ1084" s="1301"/>
      <c r="AK1084" s="1301"/>
      <c r="AL1084" s="1301"/>
      <c r="AM1084" s="1301"/>
      <c r="AN1084" s="1301"/>
      <c r="AO1084" s="1301"/>
      <c r="AP1084" s="1301"/>
      <c r="AQ1084" s="1301"/>
      <c r="AR1084" s="1301"/>
      <c r="AS1084" s="14"/>
      <c r="AT1084" s="68"/>
    </row>
    <row r="1085" spans="1:51" ht="13" customHeight="1">
      <c r="A1085" s="1"/>
      <c r="B1085" s="1"/>
      <c r="C1085" s="1341"/>
      <c r="D1085" s="1341"/>
      <c r="E1085" s="1301"/>
      <c r="F1085" s="1301"/>
      <c r="G1085" s="1301"/>
      <c r="H1085" s="1301"/>
      <c r="I1085" s="1301"/>
      <c r="J1085" s="1301"/>
      <c r="K1085" s="1301"/>
      <c r="L1085" s="1301"/>
      <c r="M1085" s="1301"/>
      <c r="N1085" s="1301"/>
      <c r="O1085" s="1301"/>
      <c r="P1085" s="1301"/>
      <c r="Q1085" s="1301"/>
      <c r="R1085" s="1301"/>
      <c r="S1085" s="1301"/>
      <c r="T1085" s="1301"/>
      <c r="U1085" s="1301"/>
      <c r="V1085" s="1301"/>
      <c r="W1085" s="1301"/>
      <c r="X1085" s="1301"/>
      <c r="Y1085" s="1301"/>
      <c r="Z1085" s="1301"/>
      <c r="AA1085" s="1301"/>
      <c r="AB1085" s="1301"/>
      <c r="AC1085" s="1301"/>
      <c r="AD1085" s="1301"/>
      <c r="AE1085" s="1301"/>
      <c r="AF1085" s="1301"/>
      <c r="AG1085" s="1301"/>
      <c r="AH1085" s="1301"/>
      <c r="AI1085" s="1301"/>
      <c r="AJ1085" s="1301"/>
      <c r="AK1085" s="1301"/>
      <c r="AL1085" s="1301"/>
      <c r="AM1085" s="1301"/>
      <c r="AN1085" s="1301"/>
      <c r="AO1085" s="1301"/>
      <c r="AP1085" s="1301"/>
      <c r="AQ1085" s="1301"/>
      <c r="AR1085" s="1301"/>
      <c r="AS1085" s="14"/>
      <c r="AT1085" s="68"/>
    </row>
    <row r="1086" spans="1:51" ht="13" customHeight="1">
      <c r="A1086" s="1"/>
      <c r="B1086" s="1"/>
      <c r="C1086" s="1341"/>
      <c r="D1086" s="1341"/>
      <c r="E1086" s="1301"/>
      <c r="F1086" s="1301"/>
      <c r="G1086" s="1301"/>
      <c r="H1086" s="1301"/>
      <c r="I1086" s="1301"/>
      <c r="J1086" s="1301"/>
      <c r="K1086" s="1301"/>
      <c r="L1086" s="1301"/>
      <c r="M1086" s="1301"/>
      <c r="N1086" s="1301"/>
      <c r="O1086" s="1301"/>
      <c r="P1086" s="1301"/>
      <c r="Q1086" s="1301"/>
      <c r="R1086" s="1301"/>
      <c r="S1086" s="1301"/>
      <c r="T1086" s="1301"/>
      <c r="U1086" s="1301"/>
      <c r="V1086" s="1301"/>
      <c r="W1086" s="1301"/>
      <c r="X1086" s="1301"/>
      <c r="Y1086" s="1301"/>
      <c r="Z1086" s="1301"/>
      <c r="AA1086" s="1301"/>
      <c r="AB1086" s="1301"/>
      <c r="AC1086" s="1301"/>
      <c r="AD1086" s="1301"/>
      <c r="AE1086" s="1301"/>
      <c r="AF1086" s="1301"/>
      <c r="AG1086" s="1301"/>
      <c r="AH1086" s="1301"/>
      <c r="AI1086" s="1301"/>
      <c r="AJ1086" s="1301"/>
      <c r="AK1086" s="1301"/>
      <c r="AL1086" s="1301"/>
      <c r="AM1086" s="1301"/>
      <c r="AN1086" s="1301"/>
      <c r="AO1086" s="1301"/>
      <c r="AP1086" s="1301"/>
      <c r="AQ1086" s="1301"/>
      <c r="AR1086" s="1301"/>
      <c r="AS1086" s="14"/>
      <c r="AT1086" s="68"/>
    </row>
    <row r="1087" spans="1:51" ht="13" customHeight="1">
      <c r="A1087" s="1"/>
      <c r="B1087" s="1"/>
      <c r="C1087" s="1341"/>
      <c r="D1087" s="1341"/>
      <c r="E1087" s="1301"/>
      <c r="F1087" s="1301"/>
      <c r="G1087" s="1301"/>
      <c r="H1087" s="1301"/>
      <c r="I1087" s="1301"/>
      <c r="J1087" s="1301"/>
      <c r="K1087" s="1301"/>
      <c r="L1087" s="1301"/>
      <c r="M1087" s="1301"/>
      <c r="N1087" s="1301"/>
      <c r="O1087" s="1301"/>
      <c r="P1087" s="1301"/>
      <c r="Q1087" s="1301"/>
      <c r="R1087" s="1301"/>
      <c r="S1087" s="1301"/>
      <c r="T1087" s="1301"/>
      <c r="U1087" s="1301"/>
      <c r="V1087" s="1301"/>
      <c r="W1087" s="1301"/>
      <c r="X1087" s="1301"/>
      <c r="Y1087" s="1301"/>
      <c r="Z1087" s="1301"/>
      <c r="AA1087" s="1301"/>
      <c r="AB1087" s="1301"/>
      <c r="AC1087" s="1301"/>
      <c r="AD1087" s="1301"/>
      <c r="AE1087" s="1301"/>
      <c r="AF1087" s="1301"/>
      <c r="AG1087" s="1301"/>
      <c r="AH1087" s="1301"/>
      <c r="AI1087" s="1301"/>
      <c r="AJ1087" s="1301"/>
      <c r="AK1087" s="1301"/>
      <c r="AL1087" s="1301"/>
      <c r="AM1087" s="1301"/>
      <c r="AN1087" s="1301"/>
      <c r="AO1087" s="1301"/>
      <c r="AP1087" s="1301"/>
      <c r="AQ1087" s="1301"/>
      <c r="AR1087" s="1301"/>
      <c r="AS1087" s="14"/>
      <c r="AT1087" s="68"/>
    </row>
    <row r="1088" spans="1:51" ht="13" customHeight="1">
      <c r="A1088" s="1"/>
      <c r="B1088" s="1"/>
      <c r="C1088" s="1341"/>
      <c r="D1088" s="1341"/>
      <c r="E1088" s="1301"/>
      <c r="F1088" s="1301"/>
      <c r="G1088" s="1301"/>
      <c r="H1088" s="1301"/>
      <c r="I1088" s="1301"/>
      <c r="J1088" s="1301"/>
      <c r="K1088" s="1301"/>
      <c r="L1088" s="1301"/>
      <c r="M1088" s="1301"/>
      <c r="N1088" s="1301"/>
      <c r="O1088" s="1301"/>
      <c r="P1088" s="1301"/>
      <c r="Q1088" s="1301"/>
      <c r="R1088" s="1301"/>
      <c r="S1088" s="1301"/>
      <c r="T1088" s="1301"/>
      <c r="U1088" s="1301"/>
      <c r="V1088" s="1301"/>
      <c r="W1088" s="1301"/>
      <c r="X1088" s="1301"/>
      <c r="Y1088" s="1301"/>
      <c r="Z1088" s="1301"/>
      <c r="AA1088" s="1301"/>
      <c r="AB1088" s="1301"/>
      <c r="AC1088" s="1301"/>
      <c r="AD1088" s="1301"/>
      <c r="AE1088" s="1301"/>
      <c r="AF1088" s="1301"/>
      <c r="AG1088" s="1301"/>
      <c r="AH1088" s="1301"/>
      <c r="AI1088" s="1301"/>
      <c r="AJ1088" s="1301"/>
      <c r="AK1088" s="1301"/>
      <c r="AL1088" s="1301"/>
      <c r="AM1088" s="1301"/>
      <c r="AN1088" s="1301"/>
      <c r="AO1088" s="1301"/>
      <c r="AP1088" s="1301"/>
      <c r="AQ1088" s="1301"/>
      <c r="AR1088" s="1301"/>
      <c r="AS1088" s="14"/>
      <c r="AT1088" s="68"/>
    </row>
    <row r="1089" spans="1:45" ht="13" customHeight="1">
      <c r="A1089" s="1"/>
      <c r="B1089" s="1"/>
      <c r="C1089" s="1341"/>
      <c r="D1089" s="134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39" t="s">
        <v>590</v>
      </c>
      <c r="B1090" s="1339"/>
      <c r="C1090" s="1341">
        <v>5</v>
      </c>
      <c r="D1090" s="1341"/>
      <c r="E1090" s="1301" t="s">
        <v>2194</v>
      </c>
      <c r="F1090" s="1301"/>
      <c r="G1090" s="1301"/>
      <c r="H1090" s="1301"/>
      <c r="I1090" s="1301"/>
      <c r="J1090" s="1301"/>
      <c r="K1090" s="1301"/>
      <c r="L1090" s="1301"/>
      <c r="M1090" s="1301"/>
      <c r="N1090" s="1301"/>
      <c r="O1090" s="1301"/>
      <c r="P1090" s="1301"/>
      <c r="Q1090" s="1301"/>
      <c r="R1090" s="1301"/>
      <c r="S1090" s="1301"/>
      <c r="T1090" s="1301"/>
      <c r="U1090" s="1301"/>
      <c r="V1090" s="1301"/>
      <c r="W1090" s="1301"/>
      <c r="X1090" s="1301"/>
      <c r="Y1090" s="1301"/>
      <c r="Z1090" s="1301"/>
      <c r="AA1090" s="1301"/>
      <c r="AB1090" s="1301"/>
      <c r="AC1090" s="1301"/>
      <c r="AD1090" s="1301"/>
      <c r="AE1090" s="1301"/>
      <c r="AF1090" s="1301"/>
      <c r="AG1090" s="1301"/>
      <c r="AH1090" s="1301"/>
      <c r="AI1090" s="1301"/>
      <c r="AJ1090" s="1301"/>
      <c r="AK1090" s="1301"/>
      <c r="AL1090" s="1301"/>
      <c r="AM1090" s="1301"/>
      <c r="AN1090" s="1301"/>
      <c r="AO1090" s="1301"/>
      <c r="AP1090" s="1301"/>
      <c r="AQ1090" s="1301"/>
      <c r="AR1090" s="1301"/>
      <c r="AS1090" s="14"/>
    </row>
    <row r="1091" spans="1:45" ht="13" customHeight="1">
      <c r="A1091" s="4"/>
      <c r="B1091" s="4"/>
      <c r="C1091" s="1341"/>
      <c r="D1091" s="1341"/>
      <c r="E1091" s="1301"/>
      <c r="F1091" s="1301"/>
      <c r="G1091" s="1301"/>
      <c r="H1091" s="1301"/>
      <c r="I1091" s="1301"/>
      <c r="J1091" s="1301"/>
      <c r="K1091" s="1301"/>
      <c r="L1091" s="1301"/>
      <c r="M1091" s="1301"/>
      <c r="N1091" s="1301"/>
      <c r="O1091" s="1301"/>
      <c r="P1091" s="1301"/>
      <c r="Q1091" s="1301"/>
      <c r="R1091" s="1301"/>
      <c r="S1091" s="1301"/>
      <c r="T1091" s="1301"/>
      <c r="U1091" s="1301"/>
      <c r="V1091" s="1301"/>
      <c r="W1091" s="1301"/>
      <c r="X1091" s="1301"/>
      <c r="Y1091" s="1301"/>
      <c r="Z1091" s="1301"/>
      <c r="AA1091" s="1301"/>
      <c r="AB1091" s="1301"/>
      <c r="AC1091" s="1301"/>
      <c r="AD1091" s="1301"/>
      <c r="AE1091" s="1301"/>
      <c r="AF1091" s="1301"/>
      <c r="AG1091" s="1301"/>
      <c r="AH1091" s="1301"/>
      <c r="AI1091" s="1301"/>
      <c r="AJ1091" s="1301"/>
      <c r="AK1091" s="1301"/>
      <c r="AL1091" s="1301"/>
      <c r="AM1091" s="1301"/>
      <c r="AN1091" s="1301"/>
      <c r="AO1091" s="1301"/>
      <c r="AP1091" s="1301"/>
      <c r="AQ1091" s="1301"/>
      <c r="AR1091" s="1301"/>
      <c r="AS1091" s="14"/>
    </row>
    <row r="1092" spans="1:45" ht="13" customHeight="1">
      <c r="A1092" s="4"/>
      <c r="B1092" s="4"/>
      <c r="C1092" s="1341"/>
      <c r="D1092" s="1341"/>
      <c r="E1092" s="1301"/>
      <c r="F1092" s="1301"/>
      <c r="G1092" s="1301"/>
      <c r="H1092" s="1301"/>
      <c r="I1092" s="1301"/>
      <c r="J1092" s="1301"/>
      <c r="K1092" s="1301"/>
      <c r="L1092" s="1301"/>
      <c r="M1092" s="1301"/>
      <c r="N1092" s="1301"/>
      <c r="O1092" s="1301"/>
      <c r="P1092" s="1301"/>
      <c r="Q1092" s="1301"/>
      <c r="R1092" s="1301"/>
      <c r="S1092" s="1301"/>
      <c r="T1092" s="1301"/>
      <c r="U1092" s="1301"/>
      <c r="V1092" s="1301"/>
      <c r="W1092" s="1301"/>
      <c r="X1092" s="1301"/>
      <c r="Y1092" s="1301"/>
      <c r="Z1092" s="1301"/>
      <c r="AA1092" s="1301"/>
      <c r="AB1092" s="1301"/>
      <c r="AC1092" s="1301"/>
      <c r="AD1092" s="1301"/>
      <c r="AE1092" s="1301"/>
      <c r="AF1092" s="1301"/>
      <c r="AG1092" s="1301"/>
      <c r="AH1092" s="1301"/>
      <c r="AI1092" s="1301"/>
      <c r="AJ1092" s="1301"/>
      <c r="AK1092" s="1301"/>
      <c r="AL1092" s="1301"/>
      <c r="AM1092" s="1301"/>
      <c r="AN1092" s="1301"/>
      <c r="AO1092" s="1301"/>
      <c r="AP1092" s="1301"/>
      <c r="AQ1092" s="1301"/>
      <c r="AR1092" s="1301"/>
      <c r="AS1092" s="14"/>
    </row>
    <row r="1093" spans="1:45" ht="13" customHeight="1">
      <c r="A1093" s="35"/>
      <c r="B1093" s="25"/>
      <c r="C1093" s="1341"/>
      <c r="D1093" s="134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39" t="s">
        <v>590</v>
      </c>
      <c r="B1094" s="1339"/>
      <c r="C1094" s="1341">
        <v>6</v>
      </c>
      <c r="D1094" s="1341"/>
      <c r="E1094" s="1301" t="s">
        <v>2195</v>
      </c>
      <c r="F1094" s="1301"/>
      <c r="G1094" s="1301"/>
      <c r="H1094" s="1301"/>
      <c r="I1094" s="1301"/>
      <c r="J1094" s="1301"/>
      <c r="K1094" s="1301"/>
      <c r="L1094" s="1301"/>
      <c r="M1094" s="1301"/>
      <c r="N1094" s="1301"/>
      <c r="O1094" s="1301"/>
      <c r="P1094" s="1301"/>
      <c r="Q1094" s="1301"/>
      <c r="R1094" s="1301"/>
      <c r="S1094" s="1301"/>
      <c r="T1094" s="1301"/>
      <c r="U1094" s="1301"/>
      <c r="V1094" s="1301"/>
      <c r="W1094" s="1301"/>
      <c r="X1094" s="1301"/>
      <c r="Y1094" s="1301"/>
      <c r="Z1094" s="1301"/>
      <c r="AA1094" s="1301"/>
      <c r="AB1094" s="1301"/>
      <c r="AC1094" s="1301"/>
      <c r="AD1094" s="1301"/>
      <c r="AE1094" s="1301"/>
      <c r="AF1094" s="1301"/>
      <c r="AG1094" s="1301"/>
      <c r="AH1094" s="1301"/>
      <c r="AI1094" s="1301"/>
      <c r="AJ1094" s="1301"/>
      <c r="AK1094" s="1301"/>
      <c r="AL1094" s="1301"/>
      <c r="AM1094" s="1301"/>
      <c r="AN1094" s="1301"/>
      <c r="AO1094" s="1301"/>
      <c r="AP1094" s="1301"/>
      <c r="AQ1094" s="1301"/>
      <c r="AR1094" s="1301"/>
      <c r="AS1094" s="14"/>
    </row>
    <row r="1095" spans="1:45" ht="13" customHeight="1">
      <c r="A1095" s="1"/>
      <c r="B1095" s="1"/>
      <c r="C1095" s="1"/>
      <c r="D1095" s="1"/>
      <c r="E1095" s="1301"/>
      <c r="F1095" s="1301"/>
      <c r="G1095" s="1301"/>
      <c r="H1095" s="1301"/>
      <c r="I1095" s="1301"/>
      <c r="J1095" s="1301"/>
      <c r="K1095" s="1301"/>
      <c r="L1095" s="1301"/>
      <c r="M1095" s="1301"/>
      <c r="N1095" s="1301"/>
      <c r="O1095" s="1301"/>
      <c r="P1095" s="1301"/>
      <c r="Q1095" s="1301"/>
      <c r="R1095" s="1301"/>
      <c r="S1095" s="1301"/>
      <c r="T1095" s="1301"/>
      <c r="U1095" s="1301"/>
      <c r="V1095" s="1301"/>
      <c r="W1095" s="1301"/>
      <c r="X1095" s="1301"/>
      <c r="Y1095" s="1301"/>
      <c r="Z1095" s="1301"/>
      <c r="AA1095" s="1301"/>
      <c r="AB1095" s="1301"/>
      <c r="AC1095" s="1301"/>
      <c r="AD1095" s="1301"/>
      <c r="AE1095" s="1301"/>
      <c r="AF1095" s="1301"/>
      <c r="AG1095" s="1301"/>
      <c r="AH1095" s="1301"/>
      <c r="AI1095" s="1301"/>
      <c r="AJ1095" s="1301"/>
      <c r="AK1095" s="1301"/>
      <c r="AL1095" s="1301"/>
      <c r="AM1095" s="1301"/>
      <c r="AN1095" s="1301"/>
      <c r="AO1095" s="1301"/>
      <c r="AP1095" s="1301"/>
      <c r="AQ1095" s="1301"/>
      <c r="AR1095" s="1301"/>
      <c r="AS1095" s="14"/>
    </row>
    <row r="1096" spans="1:45" ht="13" customHeight="1">
      <c r="A1096" s="1"/>
      <c r="B1096" s="1"/>
      <c r="C1096" s="1341"/>
      <c r="D1096" s="1341"/>
      <c r="E1096" s="1301"/>
      <c r="F1096" s="1301"/>
      <c r="G1096" s="1301"/>
      <c r="H1096" s="1301"/>
      <c r="I1096" s="1301"/>
      <c r="J1096" s="1301"/>
      <c r="K1096" s="1301"/>
      <c r="L1096" s="1301"/>
      <c r="M1096" s="1301"/>
      <c r="N1096" s="1301"/>
      <c r="O1096" s="1301"/>
      <c r="P1096" s="1301"/>
      <c r="Q1096" s="1301"/>
      <c r="R1096" s="1301"/>
      <c r="S1096" s="1301"/>
      <c r="T1096" s="1301"/>
      <c r="U1096" s="1301"/>
      <c r="V1096" s="1301"/>
      <c r="W1096" s="1301"/>
      <c r="X1096" s="1301"/>
      <c r="Y1096" s="1301"/>
      <c r="Z1096" s="1301"/>
      <c r="AA1096" s="1301"/>
      <c r="AB1096" s="1301"/>
      <c r="AC1096" s="1301"/>
      <c r="AD1096" s="1301"/>
      <c r="AE1096" s="1301"/>
      <c r="AF1096" s="1301"/>
      <c r="AG1096" s="1301"/>
      <c r="AH1096" s="1301"/>
      <c r="AI1096" s="1301"/>
      <c r="AJ1096" s="1301"/>
      <c r="AK1096" s="1301"/>
      <c r="AL1096" s="1301"/>
      <c r="AM1096" s="1301"/>
      <c r="AN1096" s="1301"/>
      <c r="AO1096" s="1301"/>
      <c r="AP1096" s="1301"/>
      <c r="AQ1096" s="1301"/>
      <c r="AR1096" s="1301"/>
      <c r="AS1096" s="14"/>
    </row>
    <row r="1097" spans="1:45" ht="13" customHeight="1">
      <c r="A1097" s="35"/>
      <c r="B1097" s="25"/>
      <c r="C1097" s="1341"/>
      <c r="D1097" s="134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39" t="s">
        <v>590</v>
      </c>
      <c r="B1098" s="1339"/>
      <c r="C1098" s="1341">
        <v>7</v>
      </c>
      <c r="D1098" s="1341"/>
      <c r="E1098" s="1301" t="s">
        <v>2093</v>
      </c>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c r="AL1098" s="1301"/>
      <c r="AM1098" s="1301"/>
      <c r="AN1098" s="1301"/>
      <c r="AO1098" s="1301"/>
      <c r="AP1098" s="1301"/>
      <c r="AQ1098" s="1301"/>
      <c r="AR1098" s="1301"/>
      <c r="AS1098" s="14"/>
    </row>
    <row r="1099" spans="1:45" ht="13" customHeight="1">
      <c r="A1099" s="1"/>
      <c r="B1099" s="1"/>
      <c r="C1099" s="1341"/>
      <c r="D1099" s="1341"/>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c r="AL1099" s="1301"/>
      <c r="AM1099" s="1301"/>
      <c r="AN1099" s="1301"/>
      <c r="AO1099" s="1301"/>
      <c r="AP1099" s="1301"/>
      <c r="AQ1099" s="1301"/>
      <c r="AR1099" s="1301"/>
      <c r="AS1099" s="14"/>
    </row>
    <row r="1100" spans="1:45" ht="13" customHeight="1">
      <c r="A1100" s="1"/>
      <c r="B1100" s="1"/>
      <c r="C1100" s="1341"/>
      <c r="D1100" s="1341"/>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c r="AL1100" s="1301"/>
      <c r="AM1100" s="1301"/>
      <c r="AN1100" s="1301"/>
      <c r="AO1100" s="1301"/>
      <c r="AP1100" s="1301"/>
      <c r="AQ1100" s="1301"/>
      <c r="AR1100" s="1301"/>
      <c r="AS1100" s="14"/>
    </row>
    <row r="1101" spans="1:45" ht="13" customHeight="1">
      <c r="A1101" s="1"/>
      <c r="B1101" s="1"/>
      <c r="C1101" s="1341"/>
      <c r="D1101" s="134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341"/>
      <c r="D1102" s="134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39" t="s">
        <v>590</v>
      </c>
      <c r="B1103" s="1339"/>
      <c r="C1103" s="1341">
        <v>8</v>
      </c>
      <c r="D1103" s="1341"/>
      <c r="E1103" s="1301" t="s">
        <v>1072</v>
      </c>
      <c r="F1103" s="1301"/>
      <c r="G1103" s="1301"/>
      <c r="H1103" s="1301"/>
      <c r="I1103" s="1301"/>
      <c r="J1103" s="1301"/>
      <c r="K1103" s="1301"/>
      <c r="L1103" s="1301"/>
      <c r="M1103" s="1301"/>
      <c r="N1103" s="1301"/>
      <c r="O1103" s="1301"/>
      <c r="P1103" s="1301"/>
      <c r="Q1103" s="1301"/>
      <c r="R1103" s="1301"/>
      <c r="S1103" s="1301"/>
      <c r="T1103" s="1301"/>
      <c r="U1103" s="1301"/>
      <c r="V1103" s="1301"/>
      <c r="W1103" s="1301"/>
      <c r="X1103" s="1301"/>
      <c r="Y1103" s="1301"/>
      <c r="Z1103" s="1301"/>
      <c r="AA1103" s="1301"/>
      <c r="AB1103" s="1301"/>
      <c r="AC1103" s="1301"/>
      <c r="AD1103" s="1301"/>
      <c r="AE1103" s="1301"/>
      <c r="AF1103" s="1301"/>
      <c r="AG1103" s="1301"/>
      <c r="AH1103" s="1301"/>
      <c r="AI1103" s="1301"/>
      <c r="AJ1103" s="1301"/>
      <c r="AK1103" s="1301"/>
      <c r="AL1103" s="1301"/>
      <c r="AM1103" s="1301"/>
      <c r="AN1103" s="1301"/>
      <c r="AO1103" s="1301"/>
      <c r="AP1103" s="1301"/>
      <c r="AQ1103" s="1301"/>
      <c r="AR1103" s="1301"/>
    </row>
    <row r="1104" spans="1:45" ht="13" customHeight="1">
      <c r="A1104" s="35"/>
      <c r="B1104" s="25"/>
      <c r="C1104" s="1341"/>
      <c r="D1104" s="1341"/>
      <c r="E1104" s="1301"/>
      <c r="F1104" s="1301"/>
      <c r="G1104" s="1301"/>
      <c r="H1104" s="1301"/>
      <c r="I1104" s="1301"/>
      <c r="J1104" s="1301"/>
      <c r="K1104" s="1301"/>
      <c r="L1104" s="1301"/>
      <c r="M1104" s="1301"/>
      <c r="N1104" s="1301"/>
      <c r="O1104" s="1301"/>
      <c r="P1104" s="1301"/>
      <c r="Q1104" s="1301"/>
      <c r="R1104" s="1301"/>
      <c r="S1104" s="1301"/>
      <c r="T1104" s="1301"/>
      <c r="U1104" s="1301"/>
      <c r="V1104" s="1301"/>
      <c r="W1104" s="1301"/>
      <c r="X1104" s="1301"/>
      <c r="Y1104" s="1301"/>
      <c r="Z1104" s="1301"/>
      <c r="AA1104" s="1301"/>
      <c r="AB1104" s="1301"/>
      <c r="AC1104" s="1301"/>
      <c r="AD1104" s="1301"/>
      <c r="AE1104" s="1301"/>
      <c r="AF1104" s="1301"/>
      <c r="AG1104" s="1301"/>
      <c r="AH1104" s="1301"/>
      <c r="AI1104" s="1301"/>
      <c r="AJ1104" s="1301"/>
      <c r="AK1104" s="1301"/>
      <c r="AL1104" s="1301"/>
      <c r="AM1104" s="1301"/>
      <c r="AN1104" s="1301"/>
      <c r="AO1104" s="1301"/>
      <c r="AP1104" s="1301"/>
      <c r="AQ1104" s="1301"/>
      <c r="AR1104" s="1301"/>
    </row>
    <row r="1105" spans="1:44" ht="13" customHeight="1">
      <c r="A1105" s="35"/>
      <c r="B1105" s="25"/>
      <c r="C1105" s="1341"/>
      <c r="D1105" s="134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39" t="s">
        <v>590</v>
      </c>
      <c r="B1106" s="1339"/>
      <c r="C1106" s="1340">
        <v>9</v>
      </c>
      <c r="D1106" s="1340"/>
      <c r="E1106" s="1301" t="s">
        <v>1074</v>
      </c>
      <c r="F1106" s="1301"/>
      <c r="G1106" s="1301"/>
      <c r="H1106" s="1301"/>
      <c r="I1106" s="1301"/>
      <c r="J1106" s="1301"/>
      <c r="K1106" s="1301"/>
      <c r="L1106" s="1301"/>
      <c r="M1106" s="1301"/>
      <c r="N1106" s="1301"/>
      <c r="O1106" s="1301"/>
      <c r="P1106" s="1301"/>
      <c r="Q1106" s="1301"/>
      <c r="R1106" s="1301"/>
      <c r="S1106" s="1301"/>
      <c r="T1106" s="1301"/>
      <c r="U1106" s="1301"/>
      <c r="V1106" s="1301"/>
      <c r="W1106" s="1301"/>
      <c r="X1106" s="1301"/>
      <c r="Y1106" s="1301"/>
      <c r="Z1106" s="1301"/>
      <c r="AA1106" s="1301"/>
      <c r="AB1106" s="1301"/>
      <c r="AC1106" s="1301"/>
      <c r="AD1106" s="1301"/>
      <c r="AE1106" s="1301"/>
      <c r="AF1106" s="1301"/>
      <c r="AG1106" s="1301"/>
      <c r="AH1106" s="1301"/>
      <c r="AI1106" s="1301"/>
      <c r="AJ1106" s="1301"/>
      <c r="AK1106" s="1301"/>
      <c r="AL1106" s="1301"/>
      <c r="AM1106" s="1301"/>
      <c r="AN1106" s="1301"/>
      <c r="AO1106" s="1301"/>
      <c r="AP1106" s="1301"/>
      <c r="AQ1106" s="1301"/>
      <c r="AR1106" s="1301"/>
    </row>
    <row r="1107" spans="1:44" ht="13" customHeight="1">
      <c r="A1107" s="1"/>
      <c r="B1107" s="1"/>
      <c r="C1107" s="1340"/>
      <c r="D1107" s="1340"/>
      <c r="E1107" s="1301"/>
      <c r="F1107" s="1301"/>
      <c r="G1107" s="1301"/>
      <c r="H1107" s="1301"/>
      <c r="I1107" s="1301"/>
      <c r="J1107" s="1301"/>
      <c r="K1107" s="1301"/>
      <c r="L1107" s="1301"/>
      <c r="M1107" s="1301"/>
      <c r="N1107" s="1301"/>
      <c r="O1107" s="1301"/>
      <c r="P1107" s="1301"/>
      <c r="Q1107" s="1301"/>
      <c r="R1107" s="1301"/>
      <c r="S1107" s="1301"/>
      <c r="T1107" s="1301"/>
      <c r="U1107" s="1301"/>
      <c r="V1107" s="1301"/>
      <c r="W1107" s="1301"/>
      <c r="X1107" s="1301"/>
      <c r="Y1107" s="1301"/>
      <c r="Z1107" s="1301"/>
      <c r="AA1107" s="1301"/>
      <c r="AB1107" s="1301"/>
      <c r="AC1107" s="1301"/>
      <c r="AD1107" s="1301"/>
      <c r="AE1107" s="1301"/>
      <c r="AF1107" s="1301"/>
      <c r="AG1107" s="1301"/>
      <c r="AH1107" s="1301"/>
      <c r="AI1107" s="1301"/>
      <c r="AJ1107" s="1301"/>
      <c r="AK1107" s="1301"/>
      <c r="AL1107" s="1301"/>
      <c r="AM1107" s="1301"/>
      <c r="AN1107" s="1301"/>
      <c r="AO1107" s="1301"/>
      <c r="AP1107" s="1301"/>
      <c r="AQ1107" s="1301"/>
      <c r="AR1107" s="1301"/>
    </row>
    <row r="1108" spans="1:44" ht="13" customHeight="1">
      <c r="A1108" s="35"/>
      <c r="B1108" s="25"/>
      <c r="C1108" s="1340"/>
      <c r="D1108" s="134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39" t="s">
        <v>590</v>
      </c>
      <c r="B1109" s="1339"/>
      <c r="C1109" s="1340">
        <v>10</v>
      </c>
      <c r="D1109" s="1340"/>
      <c r="E1109" s="1303" t="s">
        <v>2192</v>
      </c>
      <c r="F1109" s="1303"/>
      <c r="G1109" s="1303"/>
      <c r="H1109" s="1303"/>
      <c r="I1109" s="1303"/>
      <c r="J1109" s="1303"/>
      <c r="K1109" s="1303"/>
      <c r="L1109" s="1303"/>
      <c r="M1109" s="1303"/>
      <c r="N1109" s="1303"/>
      <c r="O1109" s="1303"/>
      <c r="P1109" s="1303"/>
      <c r="Q1109" s="1303"/>
      <c r="R1109" s="1303"/>
      <c r="S1109" s="1303"/>
      <c r="T1109" s="1303"/>
      <c r="U1109" s="1303"/>
      <c r="V1109" s="1303"/>
      <c r="W1109" s="1303"/>
      <c r="X1109" s="1303"/>
      <c r="Y1109" s="1303"/>
      <c r="Z1109" s="1303"/>
      <c r="AA1109" s="1303"/>
      <c r="AB1109" s="1303"/>
      <c r="AC1109" s="1303"/>
      <c r="AD1109" s="1303"/>
      <c r="AE1109" s="1303"/>
      <c r="AF1109" s="1303"/>
      <c r="AG1109" s="1303"/>
      <c r="AH1109" s="1303"/>
      <c r="AI1109" s="1303"/>
      <c r="AJ1109" s="1303"/>
      <c r="AK1109" s="1303"/>
      <c r="AL1109" s="1303"/>
      <c r="AM1109" s="1303"/>
      <c r="AN1109" s="1303"/>
      <c r="AO1109" s="1303"/>
      <c r="AP1109" s="1303"/>
      <c r="AQ1109" s="1303"/>
      <c r="AR1109" s="1303"/>
    </row>
    <row r="1110" spans="1:44" ht="13" customHeight="1">
      <c r="A1110" s="1"/>
      <c r="B1110" s="1"/>
      <c r="C1110" s="199"/>
      <c r="D1110" s="1154"/>
      <c r="E1110" s="1303"/>
      <c r="F1110" s="1303"/>
      <c r="G1110" s="1303"/>
      <c r="H1110" s="1303"/>
      <c r="I1110" s="1303"/>
      <c r="J1110" s="1303"/>
      <c r="K1110" s="1303"/>
      <c r="L1110" s="1303"/>
      <c r="M1110" s="1303"/>
      <c r="N1110" s="1303"/>
      <c r="O1110" s="1303"/>
      <c r="P1110" s="1303"/>
      <c r="Q1110" s="1303"/>
      <c r="R1110" s="1303"/>
      <c r="S1110" s="1303"/>
      <c r="T1110" s="1303"/>
      <c r="U1110" s="1303"/>
      <c r="V1110" s="1303"/>
      <c r="W1110" s="1303"/>
      <c r="X1110" s="1303"/>
      <c r="Y1110" s="1303"/>
      <c r="Z1110" s="1303"/>
      <c r="AA1110" s="1303"/>
      <c r="AB1110" s="1303"/>
      <c r="AC1110" s="1303"/>
      <c r="AD1110" s="1303"/>
      <c r="AE1110" s="1303"/>
      <c r="AF1110" s="1303"/>
      <c r="AG1110" s="1303"/>
      <c r="AH1110" s="1303"/>
      <c r="AI1110" s="1303"/>
      <c r="AJ1110" s="1303"/>
      <c r="AK1110" s="1303"/>
      <c r="AL1110" s="1303"/>
      <c r="AM1110" s="1303"/>
      <c r="AN1110" s="1303"/>
      <c r="AO1110" s="1303"/>
      <c r="AP1110" s="1303"/>
      <c r="AQ1110" s="1303"/>
      <c r="AR1110" s="1303"/>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39" t="s">
        <v>590</v>
      </c>
      <c r="B1112" s="1339"/>
      <c r="C1112" s="1340">
        <v>11</v>
      </c>
      <c r="D1112" s="1340"/>
      <c r="E1112" s="1303" t="s">
        <v>2193</v>
      </c>
      <c r="F1112" s="1303"/>
      <c r="G1112" s="1303"/>
      <c r="H1112" s="1303"/>
      <c r="I1112" s="1303"/>
      <c r="J1112" s="1303"/>
      <c r="K1112" s="1303"/>
      <c r="L1112" s="1303"/>
      <c r="M1112" s="1303"/>
      <c r="N1112" s="1303"/>
      <c r="O1112" s="1303"/>
      <c r="P1112" s="1303"/>
      <c r="Q1112" s="1303"/>
      <c r="R1112" s="1303"/>
      <c r="S1112" s="1303"/>
      <c r="T1112" s="1303"/>
      <c r="U1112" s="1303"/>
      <c r="V1112" s="1303"/>
      <c r="W1112" s="1303"/>
      <c r="X1112" s="1303"/>
      <c r="Y1112" s="1303"/>
      <c r="Z1112" s="1303"/>
      <c r="AA1112" s="1303"/>
      <c r="AB1112" s="1303"/>
      <c r="AC1112" s="1303"/>
      <c r="AD1112" s="1303"/>
      <c r="AE1112" s="1303"/>
      <c r="AF1112" s="1303"/>
      <c r="AG1112" s="1303"/>
      <c r="AH1112" s="1303"/>
      <c r="AI1112" s="1303"/>
      <c r="AJ1112" s="1303"/>
      <c r="AK1112" s="1303"/>
      <c r="AL1112" s="1303"/>
      <c r="AM1112" s="1303"/>
      <c r="AN1112" s="1303"/>
      <c r="AO1112" s="1303"/>
      <c r="AP1112" s="1303"/>
      <c r="AQ1112" s="1303"/>
      <c r="AR1112" s="1303"/>
    </row>
    <row r="1113" spans="1:44" ht="13" customHeight="1">
      <c r="A1113" s="1"/>
      <c r="B1113" s="1"/>
      <c r="C1113" s="199"/>
      <c r="D1113" s="1154"/>
      <c r="E1113" s="1303"/>
      <c r="F1113" s="1303"/>
      <c r="G1113" s="1303"/>
      <c r="H1113" s="1303"/>
      <c r="I1113" s="1303"/>
      <c r="J1113" s="1303"/>
      <c r="K1113" s="1303"/>
      <c r="L1113" s="1303"/>
      <c r="M1113" s="1303"/>
      <c r="N1113" s="1303"/>
      <c r="O1113" s="1303"/>
      <c r="P1113" s="1303"/>
      <c r="Q1113" s="1303"/>
      <c r="R1113" s="1303"/>
      <c r="S1113" s="1303"/>
      <c r="T1113" s="1303"/>
      <c r="U1113" s="1303"/>
      <c r="V1113" s="1303"/>
      <c r="W1113" s="1303"/>
      <c r="X1113" s="1303"/>
      <c r="Y1113" s="1303"/>
      <c r="Z1113" s="1303"/>
      <c r="AA1113" s="1303"/>
      <c r="AB1113" s="1303"/>
      <c r="AC1113" s="1303"/>
      <c r="AD1113" s="1303"/>
      <c r="AE1113" s="1303"/>
      <c r="AF1113" s="1303"/>
      <c r="AG1113" s="1303"/>
      <c r="AH1113" s="1303"/>
      <c r="AI1113" s="1303"/>
      <c r="AJ1113" s="1303"/>
      <c r="AK1113" s="1303"/>
      <c r="AL1113" s="1303"/>
      <c r="AM1113" s="1303"/>
      <c r="AN1113" s="1303"/>
      <c r="AO1113" s="1303"/>
      <c r="AP1113" s="1303"/>
      <c r="AQ1113" s="1303"/>
      <c r="AR1113" s="1303"/>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39" t="s">
        <v>590</v>
      </c>
      <c r="B1134" s="1339"/>
      <c r="C1134" s="199">
        <v>9</v>
      </c>
      <c r="D1134" s="1268" t="s">
        <v>1073</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DE795:DI795"/>
    <mergeCell ref="DE796:DI796"/>
    <mergeCell ref="DE798:DI798"/>
    <mergeCell ref="CZ803:DD803"/>
    <mergeCell ref="CZ785:DD785"/>
    <mergeCell ref="DE785:DI785"/>
    <mergeCell ref="DE783:DI783"/>
    <mergeCell ref="DE800:DI800"/>
    <mergeCell ref="CZ752:DD752"/>
    <mergeCell ref="CP805:CT805"/>
    <mergeCell ref="CZ782:DD782"/>
    <mergeCell ref="CZ781:DD781"/>
    <mergeCell ref="DJ782:DN782"/>
    <mergeCell ref="CP803:CT803"/>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6:DN796"/>
    <mergeCell ref="DJ797:DN797"/>
    <mergeCell ref="DE802:DI802"/>
    <mergeCell ref="DE799:DI799"/>
    <mergeCell ref="DJ785:DN785"/>
    <mergeCell ref="DJ798:DN798"/>
    <mergeCell ref="DJ799:DN799"/>
    <mergeCell ref="DJ800:DN800"/>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CG758:CH758"/>
    <mergeCell ref="CU795:CY795"/>
    <mergeCell ref="CU750:CY750"/>
    <mergeCell ref="CG745:CH745"/>
    <mergeCell ref="AK760:AO760"/>
    <mergeCell ref="CK759:CL759"/>
    <mergeCell ref="CP783:CT783"/>
    <mergeCell ref="CP784:CT784"/>
    <mergeCell ref="AK758:AO758"/>
    <mergeCell ref="CI748:CJ748"/>
    <mergeCell ref="CK741:CL741"/>
    <mergeCell ref="CZ750:DD750"/>
    <mergeCell ref="DE754:DI754"/>
    <mergeCell ref="CU751:CY751"/>
    <mergeCell ref="CI749:CJ749"/>
    <mergeCell ref="CG756:CH756"/>
    <mergeCell ref="AK748:AO748"/>
    <mergeCell ref="AK749:AO749"/>
    <mergeCell ref="AK751:AO751"/>
    <mergeCell ref="AK752:AO752"/>
    <mergeCell ref="CU759:CY759"/>
    <mergeCell ref="CU784:CY784"/>
    <mergeCell ref="CP758:CT758"/>
    <mergeCell ref="CU758:CY758"/>
    <mergeCell ref="CG754:CH754"/>
    <mergeCell ref="CI754:CJ754"/>
    <mergeCell ref="CG744:CH744"/>
    <mergeCell ref="CK744:CL744"/>
    <mergeCell ref="CM745:CN745"/>
    <mergeCell ref="CU745:CY745"/>
    <mergeCell ref="CZ746:DD746"/>
    <mergeCell ref="CI746:CJ746"/>
    <mergeCell ref="CM761:CN761"/>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DE745:DI74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5:FD75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CG732:CH732"/>
    <mergeCell ref="CG738:CH738"/>
    <mergeCell ref="CG736:CH736"/>
    <mergeCell ref="CK739:CL739"/>
    <mergeCell ref="CK737:CL737"/>
    <mergeCell ref="CP738:CT738"/>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DE735:DI735"/>
    <mergeCell ref="DE740:DI740"/>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DE743:DI743"/>
    <mergeCell ref="DZ755:ED755"/>
    <mergeCell ref="ER666:EV666"/>
    <mergeCell ref="Z593:AK593"/>
    <mergeCell ref="X722:AB725"/>
    <mergeCell ref="AE702:AF702"/>
    <mergeCell ref="W638:Y638"/>
    <mergeCell ref="G580:L580"/>
    <mergeCell ref="CM750:CN750"/>
    <mergeCell ref="CZ749:DD749"/>
    <mergeCell ref="CU741:CY741"/>
    <mergeCell ref="CZ748:DD748"/>
    <mergeCell ref="CU749:CY749"/>
    <mergeCell ref="CZ747:DD747"/>
    <mergeCell ref="CK742:CL742"/>
    <mergeCell ref="Z578:AK578"/>
    <mergeCell ref="AI663:AK663"/>
    <mergeCell ref="CU730:CY730"/>
    <mergeCell ref="CZ730:DD730"/>
    <mergeCell ref="CZ732:DD732"/>
    <mergeCell ref="CZ733:DD733"/>
    <mergeCell ref="CZ743:DD743"/>
    <mergeCell ref="CU742:CY742"/>
    <mergeCell ref="CZ731:DD731"/>
    <mergeCell ref="CK749:CL749"/>
    <mergeCell ref="CM749:CN749"/>
    <mergeCell ref="CP749:CT749"/>
    <mergeCell ref="CG747:CH747"/>
    <mergeCell ref="CP737:CT737"/>
    <mergeCell ref="CZ739:DD739"/>
    <mergeCell ref="CM741:CN741"/>
    <mergeCell ref="AK740:AO740"/>
    <mergeCell ref="AK741:AO741"/>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FY751:GC751"/>
    <mergeCell ref="AK742:AO74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AE564:AH564"/>
    <mergeCell ref="AE567:AH567"/>
    <mergeCell ref="AC540:AF540"/>
    <mergeCell ref="AC539:AF539"/>
    <mergeCell ref="AC547:AF547"/>
    <mergeCell ref="L516:AB516"/>
    <mergeCell ref="O528:AA528"/>
    <mergeCell ref="AH526:AK526"/>
    <mergeCell ref="AI559:AL561"/>
    <mergeCell ref="AH518:AK518"/>
    <mergeCell ref="W481:Y481"/>
    <mergeCell ref="AC529:AF529"/>
    <mergeCell ref="AC509:AF509"/>
    <mergeCell ref="D481:V481"/>
    <mergeCell ref="D478:V478"/>
    <mergeCell ref="AH535:AK535"/>
    <mergeCell ref="M503:P503"/>
    <mergeCell ref="AI565:AL565"/>
    <mergeCell ref="AI401:AJ401"/>
    <mergeCell ref="AH532:AK532"/>
    <mergeCell ref="AH533:AK533"/>
    <mergeCell ref="AM563:AS563"/>
    <mergeCell ref="CK730:CL730"/>
    <mergeCell ref="AG697:AH697"/>
    <mergeCell ref="CK727:CL727"/>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Z671:AE671"/>
    <mergeCell ref="Z651:AK651"/>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C567:L567"/>
    <mergeCell ref="B559:L561"/>
    <mergeCell ref="E429:AJ429"/>
    <mergeCell ref="D446:AF446"/>
    <mergeCell ref="D473:V473"/>
    <mergeCell ref="AC517:AF517"/>
    <mergeCell ref="O543:AA543"/>
    <mergeCell ref="AH531:AK531"/>
    <mergeCell ref="AE562:AH562"/>
    <mergeCell ref="AE570:AH570"/>
    <mergeCell ref="M559:P561"/>
    <mergeCell ref="AC544:AF544"/>
    <mergeCell ref="D476:V476"/>
    <mergeCell ref="AC520:AF520"/>
    <mergeCell ref="AC550:AF550"/>
    <mergeCell ref="B497:P498"/>
    <mergeCell ref="AC514:AF514"/>
    <mergeCell ref="Q497:R498"/>
    <mergeCell ref="Q496:AK496"/>
    <mergeCell ref="AH543:AK543"/>
    <mergeCell ref="CG757:CH757"/>
    <mergeCell ref="AK755:AO755"/>
    <mergeCell ref="AH734:AJ734"/>
    <mergeCell ref="CI735:CJ735"/>
    <mergeCell ref="CM744:CN744"/>
    <mergeCell ref="X736:AB736"/>
    <mergeCell ref="CG737:CH737"/>
    <mergeCell ref="AK732:AO732"/>
    <mergeCell ref="CZ725:DD725"/>
    <mergeCell ref="CI730:CJ730"/>
    <mergeCell ref="CG729:CH729"/>
    <mergeCell ref="CK728:CL728"/>
    <mergeCell ref="CG739:CH739"/>
    <mergeCell ref="CP730:CT730"/>
    <mergeCell ref="CP726:CT726"/>
    <mergeCell ref="CI726:CJ726"/>
    <mergeCell ref="CI732:CJ732"/>
    <mergeCell ref="CK752:CL752"/>
    <mergeCell ref="CM731:CN731"/>
    <mergeCell ref="CG755:CH755"/>
    <mergeCell ref="CI755:CJ755"/>
    <mergeCell ref="CK755:CL755"/>
    <mergeCell ref="CM755:CN755"/>
    <mergeCell ref="CG741:CH741"/>
    <mergeCell ref="CI742:CJ742"/>
    <mergeCell ref="CI727:CJ727"/>
    <mergeCell ref="CM747:CN747"/>
    <mergeCell ref="CI745:CJ745"/>
    <mergeCell ref="CK746:CL746"/>
    <mergeCell ref="CM746:CN746"/>
    <mergeCell ref="CM753:CN753"/>
    <mergeCell ref="AK743:AO743"/>
    <mergeCell ref="CI751:CJ751"/>
    <mergeCell ref="CK751:CL751"/>
    <mergeCell ref="CM751:CN751"/>
    <mergeCell ref="CK756:CL756"/>
    <mergeCell ref="CM756:CN756"/>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Q502:AK502"/>
    <mergeCell ref="AC464:AF464"/>
    <mergeCell ref="D474:V474"/>
    <mergeCell ref="Q499:AK499"/>
    <mergeCell ref="AH503:AK503"/>
    <mergeCell ref="Q495:AK495"/>
    <mergeCell ref="D451:AF451"/>
    <mergeCell ref="AF439:AG439"/>
    <mergeCell ref="AG446:AJ446"/>
    <mergeCell ref="AG458:AJ458"/>
    <mergeCell ref="Q501:AK501"/>
    <mergeCell ref="AC510:AF510"/>
    <mergeCell ref="B522:H524"/>
    <mergeCell ref="B525:H527"/>
    <mergeCell ref="AC524:AF524"/>
    <mergeCell ref="AH517:AK517"/>
    <mergeCell ref="AC513:AF513"/>
    <mergeCell ref="AH530:AK530"/>
    <mergeCell ref="AG455:AJ455"/>
    <mergeCell ref="B509:H510"/>
    <mergeCell ref="O540:AA540"/>
    <mergeCell ref="AG454:AJ454"/>
    <mergeCell ref="H345:R345"/>
    <mergeCell ref="P356:Z356"/>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AC515:AF515"/>
    <mergeCell ref="AH524:AK524"/>
    <mergeCell ref="AG389:AH389"/>
    <mergeCell ref="AG452:AJ452"/>
    <mergeCell ref="AA344:AK344"/>
    <mergeCell ref="AC356:AE356"/>
    <mergeCell ref="P352:AE352"/>
    <mergeCell ref="AA349:AF349"/>
    <mergeCell ref="P353:AE353"/>
    <mergeCell ref="AA347:AK347"/>
    <mergeCell ref="H346:R346"/>
    <mergeCell ref="P354:AE354"/>
    <mergeCell ref="AG388:AH388"/>
    <mergeCell ref="S401:U401"/>
    <mergeCell ref="AG399:AJ399"/>
    <mergeCell ref="Q400:U400"/>
    <mergeCell ref="N381:Q381"/>
    <mergeCell ref="N372:O372"/>
    <mergeCell ref="AA346:AK346"/>
    <mergeCell ref="D447:AF447"/>
    <mergeCell ref="AC396:AJ396"/>
    <mergeCell ref="V397:AJ397"/>
    <mergeCell ref="AG447:AJ447"/>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6:W226"/>
    <mergeCell ref="V227:W227"/>
    <mergeCell ref="V228:W228"/>
    <mergeCell ref="V229:W229"/>
    <mergeCell ref="M247:T247"/>
    <mergeCell ref="M272:R272"/>
    <mergeCell ref="M274:T274"/>
    <mergeCell ref="R421:S421"/>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M244:AE244"/>
    <mergeCell ref="H322:R322"/>
    <mergeCell ref="Q402:U402"/>
    <mergeCell ref="T197:U197"/>
    <mergeCell ref="AA336:AK336"/>
    <mergeCell ref="H341:M341"/>
    <mergeCell ref="AI324:AK324"/>
    <mergeCell ref="AA321:AK321"/>
    <mergeCell ref="AA338:AK338"/>
    <mergeCell ref="AA330:AK330"/>
    <mergeCell ref="H334:R334"/>
    <mergeCell ref="M248:AE248"/>
    <mergeCell ref="AF178:AG178"/>
    <mergeCell ref="I190:N190"/>
    <mergeCell ref="M254:T25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W262:X262"/>
    <mergeCell ref="M261:AE261"/>
    <mergeCell ref="AC262:AE262"/>
    <mergeCell ref="AF260:AK260"/>
    <mergeCell ref="T287:V287"/>
    <mergeCell ref="P300:R300"/>
    <mergeCell ref="AA296:AK29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V224:W224"/>
    <mergeCell ref="M253:AE253"/>
    <mergeCell ref="M256:R256"/>
    <mergeCell ref="O159:T159"/>
    <mergeCell ref="P205:U205"/>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H325:M325"/>
    <mergeCell ref="M263:AE263"/>
    <mergeCell ref="AA299:AK299"/>
    <mergeCell ref="AH271:AK271"/>
    <mergeCell ref="T276:X276"/>
    <mergeCell ref="H324:M324"/>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P324:R324"/>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AA323:AK323"/>
    <mergeCell ref="AA322:AK322"/>
    <mergeCell ref="H328:R328"/>
    <mergeCell ref="AA325:AF325"/>
    <mergeCell ref="AA306:AK306"/>
    <mergeCell ref="H297:R297"/>
    <mergeCell ref="AA334:AK33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H340:M340"/>
    <mergeCell ref="H350:R350"/>
    <mergeCell ref="H344:R344"/>
    <mergeCell ref="AA342:AK342"/>
    <mergeCell ref="H348:M348"/>
    <mergeCell ref="D477:V477"/>
    <mergeCell ref="AA340:AF340"/>
    <mergeCell ref="AA341:AF341"/>
    <mergeCell ref="J395:U395"/>
    <mergeCell ref="T407:AJ407"/>
    <mergeCell ref="AG449:AJ449"/>
    <mergeCell ref="S410:U410"/>
    <mergeCell ref="AG410:AJ410"/>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A345:AK345"/>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H342:R342"/>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D459:AF459"/>
    <mergeCell ref="AH508:AK508"/>
    <mergeCell ref="AE433:AF433"/>
    <mergeCell ref="S414:AJ414"/>
    <mergeCell ref="S411:U411"/>
    <mergeCell ref="P433:Q433"/>
    <mergeCell ref="AG403:AJ403"/>
    <mergeCell ref="P427:R427"/>
    <mergeCell ref="Z441:AA441"/>
    <mergeCell ref="O531:AA531"/>
    <mergeCell ref="D458:AF458"/>
    <mergeCell ref="Q562:S562"/>
    <mergeCell ref="AC518:AF518"/>
    <mergeCell ref="AH522:AK522"/>
    <mergeCell ref="I419:AE419"/>
    <mergeCell ref="Z563:AD563"/>
    <mergeCell ref="AC465:AF465"/>
    <mergeCell ref="AI562:AL562"/>
    <mergeCell ref="Q570:S570"/>
    <mergeCell ref="G576:R576"/>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B511:H516"/>
    <mergeCell ref="N379:Q379"/>
    <mergeCell ref="N380:Q380"/>
    <mergeCell ref="V391:W391"/>
    <mergeCell ref="J376:K376"/>
    <mergeCell ref="AC394:AJ394"/>
    <mergeCell ref="J397:U397"/>
    <mergeCell ref="AI398:AJ398"/>
    <mergeCell ref="M365:N365"/>
    <mergeCell ref="Q399:U399"/>
    <mergeCell ref="AG404:AJ404"/>
    <mergeCell ref="I430:K430"/>
    <mergeCell ref="Q438:R438"/>
    <mergeCell ref="D457:AF457"/>
    <mergeCell ref="Q566:S566"/>
    <mergeCell ref="AH520:AK520"/>
    <mergeCell ref="M565:P565"/>
    <mergeCell ref="AH528:AK528"/>
    <mergeCell ref="B737:F737"/>
    <mergeCell ref="B739:F739"/>
    <mergeCell ref="B738:F738"/>
    <mergeCell ref="N681:O681"/>
    <mergeCell ref="G695:L695"/>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G577:R577"/>
    <mergeCell ref="H590:R590"/>
    <mergeCell ref="Z587:AK587"/>
    <mergeCell ref="G609:R609"/>
    <mergeCell ref="AA581:AK581"/>
    <mergeCell ref="B728:F728"/>
    <mergeCell ref="B730:F730"/>
    <mergeCell ref="AG681:AH681"/>
    <mergeCell ref="B733:F733"/>
    <mergeCell ref="B732:F732"/>
    <mergeCell ref="B735:F735"/>
    <mergeCell ref="H688:R688"/>
    <mergeCell ref="B731:F731"/>
    <mergeCell ref="G693:R693"/>
    <mergeCell ref="G729:J729"/>
    <mergeCell ref="X730:AB730"/>
    <mergeCell ref="Z693:AK693"/>
    <mergeCell ref="AE706:AI706"/>
    <mergeCell ref="AC722:AG725"/>
    <mergeCell ref="G730:J730"/>
    <mergeCell ref="T732:W732"/>
    <mergeCell ref="B726:F726"/>
    <mergeCell ref="G728:J728"/>
    <mergeCell ref="B729:F729"/>
    <mergeCell ref="G685:R685"/>
    <mergeCell ref="Z686:AK686"/>
    <mergeCell ref="AH729:AJ729"/>
    <mergeCell ref="AK727:AO727"/>
    <mergeCell ref="K730:N730"/>
    <mergeCell ref="K731:N731"/>
    <mergeCell ref="T731:W731"/>
    <mergeCell ref="K729:N729"/>
    <mergeCell ref="AK731:AO731"/>
    <mergeCell ref="AH735:AJ735"/>
    <mergeCell ref="X726:AB726"/>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C800:AG800"/>
    <mergeCell ref="O795:S795"/>
    <mergeCell ref="T738:W738"/>
    <mergeCell ref="T734:W734"/>
    <mergeCell ref="AK754:AO754"/>
    <mergeCell ref="O801:S801"/>
    <mergeCell ref="J798:N798"/>
    <mergeCell ref="J787:K787"/>
    <mergeCell ref="O727:S727"/>
    <mergeCell ref="K732:N732"/>
    <mergeCell ref="O759:S759"/>
    <mergeCell ref="B762:AH763"/>
    <mergeCell ref="B742:F742"/>
    <mergeCell ref="AC756:AG756"/>
    <mergeCell ref="T750:W750"/>
    <mergeCell ref="X753:AB753"/>
    <mergeCell ref="AC747:AG747"/>
    <mergeCell ref="K742:N742"/>
    <mergeCell ref="AH748:AJ748"/>
    <mergeCell ref="G742:J742"/>
    <mergeCell ref="O743:S743"/>
    <mergeCell ref="K755:N755"/>
    <mergeCell ref="K753:N753"/>
    <mergeCell ref="T748:W748"/>
    <mergeCell ref="G749:J749"/>
    <mergeCell ref="O750:S750"/>
    <mergeCell ref="AC755:AG755"/>
    <mergeCell ref="B761:F761"/>
    <mergeCell ref="O760:S760"/>
    <mergeCell ref="C834:H834"/>
    <mergeCell ref="C833:H833"/>
    <mergeCell ref="J784:N784"/>
    <mergeCell ref="X797:AB797"/>
    <mergeCell ref="O781:S781"/>
    <mergeCell ref="O753:S753"/>
    <mergeCell ref="T756:W756"/>
    <mergeCell ref="X755:AB755"/>
    <mergeCell ref="X754:AB754"/>
    <mergeCell ref="G760:J760"/>
    <mergeCell ref="K759:N759"/>
    <mergeCell ref="T799:W799"/>
    <mergeCell ref="B744:F744"/>
    <mergeCell ref="AH758:AJ758"/>
    <mergeCell ref="O805:S805"/>
    <mergeCell ref="O796:S796"/>
    <mergeCell ref="O798:S798"/>
    <mergeCell ref="Z822:AE822"/>
    <mergeCell ref="Z825:AE825"/>
    <mergeCell ref="X781:AB781"/>
    <mergeCell ref="O797:S797"/>
    <mergeCell ref="J783:N783"/>
    <mergeCell ref="AC784:AG784"/>
    <mergeCell ref="O791:S794"/>
    <mergeCell ref="AC744:AG744"/>
    <mergeCell ref="O785:S785"/>
    <mergeCell ref="X796:AB796"/>
    <mergeCell ref="K745:N745"/>
    <mergeCell ref="K760:N760"/>
    <mergeCell ref="O747:S747"/>
    <mergeCell ref="O744:S744"/>
    <mergeCell ref="K746:N746"/>
    <mergeCell ref="J777:N780"/>
    <mergeCell ref="AG831:AJ832"/>
    <mergeCell ref="AC805:AG805"/>
    <mergeCell ref="AC795:AG795"/>
    <mergeCell ref="AC761:AG761"/>
    <mergeCell ref="X802:AB802"/>
    <mergeCell ref="T784:W784"/>
    <mergeCell ref="T781:W781"/>
    <mergeCell ref="J781:N781"/>
    <mergeCell ref="X751:AB751"/>
    <mergeCell ref="X752:AB752"/>
    <mergeCell ref="AH751:AJ751"/>
    <mergeCell ref="AH752:AJ752"/>
    <mergeCell ref="Z816:AE816"/>
    <mergeCell ref="AC785:AG785"/>
    <mergeCell ref="T802:W802"/>
    <mergeCell ref="T800:W800"/>
    <mergeCell ref="Q831:T832"/>
    <mergeCell ref="Z817:AE817"/>
    <mergeCell ref="Z823:AE823"/>
    <mergeCell ref="T752:W752"/>
    <mergeCell ref="O755:S755"/>
    <mergeCell ref="T755:W755"/>
    <mergeCell ref="J795:N795"/>
    <mergeCell ref="AC758:AG758"/>
    <mergeCell ref="AC759:AG759"/>
    <mergeCell ref="AH760:AJ760"/>
    <mergeCell ref="AC782:AG782"/>
    <mergeCell ref="AH753:AJ753"/>
    <mergeCell ref="AH754:AJ754"/>
    <mergeCell ref="AH755:AJ755"/>
    <mergeCell ref="AH756:AJ756"/>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C896:AH896"/>
    <mergeCell ref="W885:AC885"/>
    <mergeCell ref="W884:AC884"/>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C845:AJ845"/>
    <mergeCell ref="Y833:AB833"/>
    <mergeCell ref="AC833:AF833"/>
    <mergeCell ref="Q838:T838"/>
    <mergeCell ref="AG839:AJ839"/>
    <mergeCell ref="P824:Y824"/>
    <mergeCell ref="U837:X837"/>
    <mergeCell ref="Q836:T836"/>
    <mergeCell ref="U835:X835"/>
    <mergeCell ref="AG834:AJ834"/>
    <mergeCell ref="AG833:AJ833"/>
    <mergeCell ref="AC834:AF834"/>
    <mergeCell ref="AC835:AF835"/>
    <mergeCell ref="O737:S737"/>
    <mergeCell ref="R713:T713"/>
    <mergeCell ref="O739:S739"/>
    <mergeCell ref="T726:W726"/>
    <mergeCell ref="O729:S729"/>
    <mergeCell ref="O722:S725"/>
    <mergeCell ref="X782:AB782"/>
    <mergeCell ref="Q834:T834"/>
    <mergeCell ref="Y831:AB832"/>
    <mergeCell ref="O741:S741"/>
    <mergeCell ref="T736:W736"/>
    <mergeCell ref="AC748:AG748"/>
    <mergeCell ref="AC749:AG749"/>
    <mergeCell ref="AC745:AG745"/>
    <mergeCell ref="AH741:AJ741"/>
    <mergeCell ref="O761:S761"/>
    <mergeCell ref="AC750:AG750"/>
    <mergeCell ref="AC751:AG751"/>
    <mergeCell ref="AC752:AG752"/>
    <mergeCell ref="X785:AB785"/>
    <mergeCell ref="C837:H837"/>
    <mergeCell ref="AC804:AG804"/>
    <mergeCell ref="AC796:AG796"/>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T782:W782"/>
    <mergeCell ref="W878:AC878"/>
    <mergeCell ref="G684:R684"/>
    <mergeCell ref="O730:S730"/>
    <mergeCell ref="Q837:T837"/>
    <mergeCell ref="Z821:AE821"/>
    <mergeCell ref="Y808:AC808"/>
    <mergeCell ref="X760:AB760"/>
    <mergeCell ref="C835:H835"/>
    <mergeCell ref="G738:J738"/>
    <mergeCell ref="K728:N728"/>
    <mergeCell ref="AC727:AG727"/>
    <mergeCell ref="AK739:AO739"/>
    <mergeCell ref="CG742:CH742"/>
    <mergeCell ref="AA688:AK688"/>
    <mergeCell ref="CI737:CJ737"/>
    <mergeCell ref="CG740:CH740"/>
    <mergeCell ref="AC729:AG729"/>
    <mergeCell ref="K722:N725"/>
    <mergeCell ref="T730:W730"/>
    <mergeCell ref="N697:O697"/>
    <mergeCell ref="CI741:CJ741"/>
    <mergeCell ref="T740:W740"/>
    <mergeCell ref="T739:W739"/>
    <mergeCell ref="K735:N735"/>
    <mergeCell ref="AE701:AF701"/>
    <mergeCell ref="AC735:AG735"/>
    <mergeCell ref="X732:AB732"/>
    <mergeCell ref="J713:O713"/>
    <mergeCell ref="T735:W735"/>
    <mergeCell ref="X731:AB731"/>
    <mergeCell ref="X738:AB738"/>
    <mergeCell ref="K734:N734"/>
    <mergeCell ref="T729:W729"/>
    <mergeCell ref="AE703:AI703"/>
    <mergeCell ref="O734:S734"/>
    <mergeCell ref="O731:S731"/>
    <mergeCell ref="O726:S726"/>
    <mergeCell ref="G741:J741"/>
    <mergeCell ref="K738:N738"/>
    <mergeCell ref="AH728:AJ728"/>
    <mergeCell ref="CI725:CJ725"/>
    <mergeCell ref="G731:J731"/>
    <mergeCell ref="O733:S733"/>
    <mergeCell ref="CM736:CN736"/>
    <mergeCell ref="AC740:AG740"/>
    <mergeCell ref="X741:AB741"/>
    <mergeCell ref="AK737:AO737"/>
    <mergeCell ref="K739:N739"/>
    <mergeCell ref="G671:L671"/>
    <mergeCell ref="AF637:AJ637"/>
    <mergeCell ref="AF641:AJ641"/>
    <mergeCell ref="AK639:AN639"/>
    <mergeCell ref="G683:R683"/>
    <mergeCell ref="O735:S735"/>
    <mergeCell ref="CI739:CJ739"/>
    <mergeCell ref="T733:W733"/>
    <mergeCell ref="O728:S728"/>
    <mergeCell ref="K727:N727"/>
    <mergeCell ref="CI736:CJ736"/>
    <mergeCell ref="AH736:AJ736"/>
    <mergeCell ref="C637:L637"/>
    <mergeCell ref="CG727:CH727"/>
    <mergeCell ref="CG735:CH735"/>
    <mergeCell ref="Z679:AE679"/>
    <mergeCell ref="X740:AB740"/>
    <mergeCell ref="CI738:CJ738"/>
    <mergeCell ref="G739:J739"/>
    <mergeCell ref="G732:J732"/>
    <mergeCell ref="T737:W737"/>
    <mergeCell ref="K737:N737"/>
    <mergeCell ref="G735:J735"/>
    <mergeCell ref="AH732:AJ732"/>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4:CN734"/>
    <mergeCell ref="CZ736:DD736"/>
    <mergeCell ref="T727:W727"/>
    <mergeCell ref="O732:S732"/>
    <mergeCell ref="X727:AB727"/>
    <mergeCell ref="CM739:CN739"/>
    <mergeCell ref="AH727:AJ727"/>
    <mergeCell ref="X733:AB733"/>
    <mergeCell ref="X729:AB729"/>
    <mergeCell ref="X735:AB735"/>
    <mergeCell ref="G670:R670"/>
    <mergeCell ref="G669:R669"/>
    <mergeCell ref="AO649:AS649"/>
    <mergeCell ref="Z659:AK659"/>
    <mergeCell ref="AF638:AJ638"/>
    <mergeCell ref="M643:P643"/>
    <mergeCell ref="G654:R654"/>
    <mergeCell ref="Z660:AK660"/>
    <mergeCell ref="AC645:AE645"/>
    <mergeCell ref="C643:L643"/>
    <mergeCell ref="Z641:AB641"/>
    <mergeCell ref="Z663:AE663"/>
    <mergeCell ref="Z670:AK670"/>
    <mergeCell ref="AO642:AS642"/>
    <mergeCell ref="AF643:AJ643"/>
    <mergeCell ref="AO643:AS643"/>
    <mergeCell ref="AO638:AS638"/>
    <mergeCell ref="Q640:S640"/>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AF636:AJ636"/>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H598:R598"/>
    <mergeCell ref="M635:P635"/>
    <mergeCell ref="W632:Y634"/>
    <mergeCell ref="W636:Y636"/>
    <mergeCell ref="AK632:AN634"/>
    <mergeCell ref="P605:R605"/>
    <mergeCell ref="Z609:AK609"/>
    <mergeCell ref="Q632:S634"/>
    <mergeCell ref="AC636:AE636"/>
    <mergeCell ref="G613:L613"/>
    <mergeCell ref="H614:R614"/>
    <mergeCell ref="G618:R618"/>
    <mergeCell ref="AG607:AH607"/>
    <mergeCell ref="G603:R603"/>
    <mergeCell ref="G604:R604"/>
    <mergeCell ref="AG591:AH591"/>
    <mergeCell ref="G596:R596"/>
    <mergeCell ref="Z588:AK588"/>
    <mergeCell ref="Z603:AK603"/>
    <mergeCell ref="G611:R611"/>
    <mergeCell ref="AC637:AE637"/>
    <mergeCell ref="M632:P634"/>
    <mergeCell ref="M637:P637"/>
    <mergeCell ref="P671:R671"/>
    <mergeCell ref="AO648:AS648"/>
    <mergeCell ref="W644:Y644"/>
    <mergeCell ref="M644:P644"/>
    <mergeCell ref="AA672:AK672"/>
    <mergeCell ref="T643:V643"/>
    <mergeCell ref="T644:V644"/>
    <mergeCell ref="T645:V645"/>
    <mergeCell ref="AO640:AS640"/>
    <mergeCell ref="Z643:AB643"/>
    <mergeCell ref="Z597:AE597"/>
    <mergeCell ref="G593:R593"/>
    <mergeCell ref="Z652:AK652"/>
    <mergeCell ref="AO644:AS644"/>
    <mergeCell ref="AO641:AS641"/>
    <mergeCell ref="C638:L638"/>
    <mergeCell ref="C639:L639"/>
    <mergeCell ref="M641:P641"/>
    <mergeCell ref="G652:R652"/>
    <mergeCell ref="P663:R663"/>
    <mergeCell ref="W641:Y641"/>
    <mergeCell ref="Z638:AB638"/>
    <mergeCell ref="T638:V638"/>
    <mergeCell ref="T639:V639"/>
    <mergeCell ref="Z596:AK596"/>
    <mergeCell ref="P695:R695"/>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DJ731:DN731"/>
    <mergeCell ref="G677:R677"/>
    <mergeCell ref="W637:Y637"/>
    <mergeCell ref="T571:V571"/>
    <mergeCell ref="Z572:AD572"/>
    <mergeCell ref="Z573:AD573"/>
    <mergeCell ref="AK646:AN646"/>
    <mergeCell ref="CM725:CN725"/>
    <mergeCell ref="CM727:CN727"/>
    <mergeCell ref="CM729:CN729"/>
    <mergeCell ref="W711:AK711"/>
    <mergeCell ref="AF644:AJ644"/>
    <mergeCell ref="AF645:AJ645"/>
    <mergeCell ref="AM564:AS564"/>
    <mergeCell ref="AI570:AL570"/>
    <mergeCell ref="Z576:AK576"/>
    <mergeCell ref="Z579:AK579"/>
    <mergeCell ref="AI572:AL572"/>
    <mergeCell ref="T569:V569"/>
    <mergeCell ref="AC644:AE644"/>
    <mergeCell ref="Z655:AE655"/>
    <mergeCell ref="AC728:AG728"/>
    <mergeCell ref="Z653:AK653"/>
    <mergeCell ref="Z685:AK685"/>
    <mergeCell ref="Z661:AK661"/>
    <mergeCell ref="Z668:AK668"/>
    <mergeCell ref="AG673:AH673"/>
    <mergeCell ref="AA696:AK696"/>
    <mergeCell ref="W645:Y645"/>
    <mergeCell ref="Z683:AK683"/>
    <mergeCell ref="AF640:AJ640"/>
    <mergeCell ref="AC639:AE639"/>
    <mergeCell ref="AC642:AE642"/>
    <mergeCell ref="AI695:AK695"/>
    <mergeCell ref="AA598:AK598"/>
    <mergeCell ref="AI597:AK597"/>
    <mergeCell ref="Z604:AK604"/>
    <mergeCell ref="AG689:AH689"/>
    <mergeCell ref="AG583:AH583"/>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CK729:CL729"/>
    <mergeCell ref="AK640:AN640"/>
    <mergeCell ref="Z585:AK585"/>
    <mergeCell ref="T637:V637"/>
    <mergeCell ref="M582:R582"/>
    <mergeCell ref="Z621:AE621"/>
    <mergeCell ref="N623:O623"/>
    <mergeCell ref="H622:R622"/>
    <mergeCell ref="Z691:AK691"/>
    <mergeCell ref="AA606:AK606"/>
    <mergeCell ref="C636:L636"/>
    <mergeCell ref="Z618:AK618"/>
    <mergeCell ref="AC640:AE640"/>
    <mergeCell ref="N607:O607"/>
    <mergeCell ref="P597:R597"/>
    <mergeCell ref="H606:R606"/>
    <mergeCell ref="Z676:AK676"/>
    <mergeCell ref="AA680:AK680"/>
    <mergeCell ref="CK731:CL731"/>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CI729:CJ729"/>
    <mergeCell ref="B736:F736"/>
    <mergeCell ref="G691:R691"/>
    <mergeCell ref="N689:O689"/>
    <mergeCell ref="G694:R694"/>
    <mergeCell ref="CP736:CT736"/>
    <mergeCell ref="CP732:CT732"/>
    <mergeCell ref="CP735:CT735"/>
    <mergeCell ref="CZ727:DD727"/>
    <mergeCell ref="CP729:CT729"/>
    <mergeCell ref="CU727:CY727"/>
    <mergeCell ref="Z687:AE687"/>
    <mergeCell ref="CP731:CT731"/>
    <mergeCell ref="CM726:CN726"/>
    <mergeCell ref="CK734:CL734"/>
    <mergeCell ref="Z692:AK692"/>
    <mergeCell ref="AK728:AO728"/>
    <mergeCell ref="W708:AK708"/>
    <mergeCell ref="CP728:CT728"/>
    <mergeCell ref="CU728:CY728"/>
    <mergeCell ref="CU731:CY731"/>
    <mergeCell ref="AC736:AG736"/>
    <mergeCell ref="CU732:CY732"/>
    <mergeCell ref="CU733:CY733"/>
    <mergeCell ref="CM728:CN728"/>
    <mergeCell ref="CI728:CJ728"/>
    <mergeCell ref="CM730:CN730"/>
    <mergeCell ref="CG730:CH730"/>
    <mergeCell ref="T728:W728"/>
    <mergeCell ref="DJ729:DN729"/>
    <mergeCell ref="CK726:CL726"/>
    <mergeCell ref="CK735:CL735"/>
    <mergeCell ref="CK733:CL733"/>
    <mergeCell ref="CU726:CY726"/>
    <mergeCell ref="CP725:CT725"/>
    <mergeCell ref="AH726:AJ726"/>
    <mergeCell ref="AC726:AG726"/>
    <mergeCell ref="DE730:DI730"/>
    <mergeCell ref="DJ736:DN736"/>
    <mergeCell ref="CP727:CT727"/>
    <mergeCell ref="DE736:DI736"/>
    <mergeCell ref="DJ732:DN732"/>
    <mergeCell ref="DE728:DI728"/>
    <mergeCell ref="DE732:DI732"/>
    <mergeCell ref="CP734:CT734"/>
    <mergeCell ref="CP733:CT733"/>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EC667:EG667"/>
    <mergeCell ref="DE726:DI726"/>
    <mergeCell ref="DX663:EB663"/>
    <mergeCell ref="DX661:EB661"/>
    <mergeCell ref="DX647:EB647"/>
    <mergeCell ref="DX675:EB675"/>
    <mergeCell ref="EC659:EG659"/>
    <mergeCell ref="EC654:EG654"/>
    <mergeCell ref="DX656:EB656"/>
    <mergeCell ref="DO726:DS726"/>
    <mergeCell ref="AI679:AK679"/>
    <mergeCell ref="Z684:AK684"/>
    <mergeCell ref="DJ726:DN726"/>
    <mergeCell ref="DX664:EB664"/>
    <mergeCell ref="EC664:EG664"/>
    <mergeCell ref="DX651:EB651"/>
    <mergeCell ref="DX648:EB648"/>
    <mergeCell ref="DX660:EB660"/>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DJ733:DN733"/>
    <mergeCell ref="CZ735:DD735"/>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DO756:DS756"/>
    <mergeCell ref="DJ755:DN755"/>
    <mergeCell ref="DO737:DS737"/>
    <mergeCell ref="DO727:DS727"/>
    <mergeCell ref="CU737:CY737"/>
    <mergeCell ref="DE733:DI733"/>
    <mergeCell ref="DE737:DI737"/>
    <mergeCell ref="DE734:DI734"/>
    <mergeCell ref="CU736:CY736"/>
    <mergeCell ref="CU738:CY738"/>
    <mergeCell ref="CI731:CJ731"/>
    <mergeCell ref="AC730:AG730"/>
    <mergeCell ref="AK730:AO730"/>
    <mergeCell ref="AK729:AO729"/>
    <mergeCell ref="CI734:CJ734"/>
    <mergeCell ref="CG734:CH734"/>
    <mergeCell ref="CM735:CN735"/>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BI849:BL849"/>
    <mergeCell ref="CU739:CY739"/>
    <mergeCell ref="CM740:CN740"/>
    <mergeCell ref="CK740:CL740"/>
    <mergeCell ref="T795:W795"/>
    <mergeCell ref="T796:W796"/>
    <mergeCell ref="U831:X832"/>
    <mergeCell ref="C806:AN807"/>
    <mergeCell ref="J801:N801"/>
    <mergeCell ref="X801:AB801"/>
    <mergeCell ref="T791:W794"/>
    <mergeCell ref="C836:H836"/>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AE970:AK970"/>
    <mergeCell ref="AA957:AF957"/>
    <mergeCell ref="M976:S976"/>
    <mergeCell ref="AA953:AF953"/>
    <mergeCell ref="W851:AC851"/>
    <mergeCell ref="F941:T941"/>
    <mergeCell ref="AA948:AF948"/>
    <mergeCell ref="AA949:AF949"/>
    <mergeCell ref="W861:AC861"/>
    <mergeCell ref="M964:S964"/>
    <mergeCell ref="AA945:AF945"/>
    <mergeCell ref="AA951:AF951"/>
    <mergeCell ref="C901:AB901"/>
    <mergeCell ref="B743:F743"/>
    <mergeCell ref="B746:F746"/>
    <mergeCell ref="K757:N757"/>
    <mergeCell ref="O757:S757"/>
    <mergeCell ref="AC753:AG753"/>
    <mergeCell ref="AC754:AG754"/>
    <mergeCell ref="T749:W749"/>
    <mergeCell ref="B741:F741"/>
    <mergeCell ref="X746:AB746"/>
    <mergeCell ref="X737:AB737"/>
    <mergeCell ref="K749:N749"/>
    <mergeCell ref="X748:AB748"/>
    <mergeCell ref="X743:AB743"/>
    <mergeCell ref="X744:AB744"/>
    <mergeCell ref="T743:W743"/>
    <mergeCell ref="T982:Z982"/>
    <mergeCell ref="I956:T956"/>
    <mergeCell ref="M977:S977"/>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B745:F745"/>
    <mergeCell ref="B1001:AI1001"/>
    <mergeCell ref="D1038:AE1038"/>
    <mergeCell ref="B1000:AA1000"/>
    <mergeCell ref="T754:W754"/>
    <mergeCell ref="G740:J740"/>
    <mergeCell ref="AH743:AJ743"/>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AB1000:AI1000"/>
    <mergeCell ref="D1034:AE1034"/>
    <mergeCell ref="AF1035:AI1035"/>
    <mergeCell ref="AA977:AG977"/>
    <mergeCell ref="X759:AB759"/>
    <mergeCell ref="AB999:AI999"/>
    <mergeCell ref="O758:S758"/>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AG1029:AH1029"/>
    <mergeCell ref="D1025:AE1025"/>
    <mergeCell ref="D1017:AE1019"/>
    <mergeCell ref="AF1030:AI1031"/>
    <mergeCell ref="AH761:AJ761"/>
    <mergeCell ref="AK753:AO753"/>
    <mergeCell ref="AH749:AJ749"/>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FT728:FX728"/>
    <mergeCell ref="FT729:FX729"/>
    <mergeCell ref="O983:P983"/>
    <mergeCell ref="FJ733:FN733"/>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EZ757:FD757"/>
    <mergeCell ref="FE757:FI757"/>
    <mergeCell ref="FJ757:FN757"/>
    <mergeCell ref="FO757:FS757"/>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E733:FI733"/>
    <mergeCell ref="EZ732:FD732"/>
    <mergeCell ref="FY733:GC733"/>
    <mergeCell ref="FT732:FX732"/>
    <mergeCell ref="FY732:GC732"/>
    <mergeCell ref="FJ732:FN732"/>
    <mergeCell ref="FO732:FS732"/>
    <mergeCell ref="FE732:FI732"/>
    <mergeCell ref="FE734:FI734"/>
    <mergeCell ref="EZ736:FD736"/>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FJ739:FN739"/>
    <mergeCell ref="FO739:FS739"/>
    <mergeCell ref="FO743:FS743"/>
    <mergeCell ref="FT739:FX739"/>
    <mergeCell ref="FY739:GC739"/>
    <mergeCell ref="FE740:FI740"/>
    <mergeCell ref="FJ740:FN740"/>
    <mergeCell ref="FE747:FI747"/>
    <mergeCell ref="FJ747:FN747"/>
    <mergeCell ref="FO747:FS74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38:FX738"/>
    <mergeCell ref="FO740:FS740"/>
    <mergeCell ref="FT740:FX740"/>
    <mergeCell ref="FY740:GC740"/>
    <mergeCell ref="FO744:FS744"/>
    <mergeCell ref="FT744:FX744"/>
    <mergeCell ref="FE741:FI741"/>
    <mergeCell ref="FJ743:FN743"/>
    <mergeCell ref="FE739:FI739"/>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FE728:FI728"/>
    <mergeCell ref="EO738:ES738"/>
    <mergeCell ref="ET738:EX738"/>
    <mergeCell ref="EO732:ES732"/>
    <mergeCell ref="ET732:EX732"/>
    <mergeCell ref="EO734:ES734"/>
    <mergeCell ref="ET734:EX734"/>
    <mergeCell ref="ET730:EX730"/>
    <mergeCell ref="ET728:EX728"/>
    <mergeCell ref="EO736:ES736"/>
    <mergeCell ref="ET736:EX736"/>
    <mergeCell ref="EJ733:EN733"/>
    <mergeCell ref="ET731:EX731"/>
    <mergeCell ref="DU733:DY733"/>
    <mergeCell ref="DZ733:ED733"/>
    <mergeCell ref="EZ741:FD741"/>
    <mergeCell ref="FE760:FI760"/>
    <mergeCell ref="ET760:EX760"/>
    <mergeCell ref="EO759:ES759"/>
    <mergeCell ref="EE757:EI757"/>
    <mergeCell ref="EJ757:EN757"/>
    <mergeCell ref="EO757:ES757"/>
    <mergeCell ref="EE755:EI755"/>
    <mergeCell ref="EJ755:EN755"/>
    <mergeCell ref="EE750:EI750"/>
    <mergeCell ref="EJ750:EN750"/>
    <mergeCell ref="EO750:ES750"/>
    <mergeCell ref="EJ752:EN752"/>
    <mergeCell ref="EO752:ES752"/>
    <mergeCell ref="EE738:EI738"/>
    <mergeCell ref="EJ738:EN738"/>
    <mergeCell ref="DU737:DY737"/>
    <mergeCell ref="EM664:EQ664"/>
    <mergeCell ref="EJ725:EN725"/>
    <mergeCell ref="EE725:EI725"/>
    <mergeCell ref="EJ728:EN728"/>
    <mergeCell ref="EO730:ES730"/>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EW675:FA675"/>
    <mergeCell ref="EO727:ES727"/>
    <mergeCell ref="EC672:EG672"/>
    <mergeCell ref="ET726:EX726"/>
    <mergeCell ref="EZ728:FD728"/>
    <mergeCell ref="DZ732:ED732"/>
    <mergeCell ref="EJ729:EN729"/>
    <mergeCell ref="DZ739:ED739"/>
    <mergeCell ref="EE739:EI739"/>
    <mergeCell ref="EJ739:EN739"/>
    <mergeCell ref="DU740:DY740"/>
    <mergeCell ref="DZ734:ED734"/>
    <mergeCell ref="EH651:EL651"/>
    <mergeCell ref="EM651:EQ651"/>
    <mergeCell ref="EC656:EG656"/>
    <mergeCell ref="EM675:EQ675"/>
    <mergeCell ref="ER675:EV675"/>
    <mergeCell ref="DU730:DY730"/>
    <mergeCell ref="EM661:EQ661"/>
    <mergeCell ref="ER661:EV661"/>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FJ728:FN728"/>
    <mergeCell ref="FO728:FS728"/>
    <mergeCell ref="EZ725:FD725"/>
    <mergeCell ref="EW647:FA647"/>
    <mergeCell ref="EC648:EG648"/>
    <mergeCell ref="EW648:FA648"/>
    <mergeCell ref="ER651:EV651"/>
    <mergeCell ref="ER648:EV648"/>
    <mergeCell ref="EW655:FA655"/>
    <mergeCell ref="ER649:EV649"/>
    <mergeCell ref="EH649:EL649"/>
    <mergeCell ref="EW652:FA652"/>
    <mergeCell ref="EH660:EL660"/>
    <mergeCell ref="EC668:EG668"/>
    <mergeCell ref="ER655:EV655"/>
    <mergeCell ref="DX658:EB658"/>
    <mergeCell ref="EC658:EG658"/>
    <mergeCell ref="EC663:EG663"/>
    <mergeCell ref="DX676:EB676"/>
    <mergeCell ref="EC676:EG676"/>
    <mergeCell ref="DX654:EB654"/>
    <mergeCell ref="DX671:EB671"/>
    <mergeCell ref="EC671:EG671"/>
    <mergeCell ref="EW673:FA673"/>
    <mergeCell ref="ER667:EV667"/>
    <mergeCell ref="EW667:FA667"/>
    <mergeCell ref="DX668:EB668"/>
    <mergeCell ref="ER662:EV662"/>
    <mergeCell ref="EM660:EQ660"/>
    <mergeCell ref="EC661:EG661"/>
    <mergeCell ref="ER657:EV657"/>
    <mergeCell ref="EW666:FA666"/>
    <mergeCell ref="EC652:EG652"/>
    <mergeCell ref="EH652:EL652"/>
    <mergeCell ref="EH654:EL654"/>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48:EL648"/>
    <mergeCell ref="EM648:EQ648"/>
    <mergeCell ref="EH645:EL645"/>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FE725:FI725"/>
    <mergeCell ref="FJ725:FN725"/>
    <mergeCell ref="FO725:FS725"/>
    <mergeCell ref="EW678:FA678"/>
    <mergeCell ref="EW664:FA664"/>
    <mergeCell ref="ER658:EV658"/>
    <mergeCell ref="EM658:EQ658"/>
    <mergeCell ref="ER647:EV647"/>
    <mergeCell ref="EW649:FA649"/>
    <mergeCell ref="EM649:EQ649"/>
    <mergeCell ref="EW671:FA671"/>
    <mergeCell ref="EH653:EL653"/>
    <mergeCell ref="EM653:EQ653"/>
    <mergeCell ref="EW670:FA670"/>
    <mergeCell ref="EH671:EL671"/>
    <mergeCell ref="ER673:EV673"/>
    <mergeCell ref="EH658:EL658"/>
    <mergeCell ref="ER677:EV677"/>
    <mergeCell ref="ER676:EV676"/>
    <mergeCell ref="EW676:FA676"/>
    <mergeCell ref="EW672:FA672"/>
    <mergeCell ref="EM678:EQ678"/>
    <mergeCell ref="EW669:FA669"/>
    <mergeCell ref="EM670:EQ670"/>
    <mergeCell ref="ER670:EV670"/>
    <mergeCell ref="EH657:EL657"/>
    <mergeCell ref="EM659:EQ659"/>
    <mergeCell ref="EW663:FA663"/>
    <mergeCell ref="ER663:EV663"/>
    <mergeCell ref="EH656:EL656"/>
    <mergeCell ref="EH659:EL659"/>
    <mergeCell ref="EM669:EQ669"/>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T727:EX727"/>
    <mergeCell ref="ER669:EV669"/>
    <mergeCell ref="EE734:EI734"/>
    <mergeCell ref="EJ734:EN734"/>
    <mergeCell ref="ER678:EV678"/>
    <mergeCell ref="DX677:EB677"/>
    <mergeCell ref="EM662:EQ662"/>
    <mergeCell ref="EO725:ES725"/>
    <mergeCell ref="DZ730:ED730"/>
    <mergeCell ref="DE739:DI739"/>
    <mergeCell ref="DE742:DI742"/>
    <mergeCell ref="DX652:EB652"/>
    <mergeCell ref="DX662:EB662"/>
    <mergeCell ref="DX659:EB659"/>
    <mergeCell ref="EM676:EQ676"/>
    <mergeCell ref="DX678:EB678"/>
    <mergeCell ref="EM672:EQ672"/>
    <mergeCell ref="ER672:EV672"/>
    <mergeCell ref="EC675:EG675"/>
    <mergeCell ref="EH675:EL675"/>
    <mergeCell ref="DZ728:ED728"/>
    <mergeCell ref="EJ727:EN727"/>
    <mergeCell ref="DZ731:ED731"/>
    <mergeCell ref="EE727:EI727"/>
    <mergeCell ref="EW677:FA677"/>
    <mergeCell ref="EW660:FA660"/>
    <mergeCell ref="DU725:DY725"/>
    <mergeCell ref="EO726:ES726"/>
    <mergeCell ref="DZ725:ED725"/>
    <mergeCell ref="EJ726:EN726"/>
    <mergeCell ref="EH672:EL672"/>
    <mergeCell ref="DX674:EB674"/>
    <mergeCell ref="EC674:EG674"/>
    <mergeCell ref="EH668:EL668"/>
    <mergeCell ref="EM668:EQ668"/>
    <mergeCell ref="DX673:EB673"/>
    <mergeCell ref="EM673:EQ673"/>
    <mergeCell ref="EM656:EQ656"/>
    <mergeCell ref="EH663:EL663"/>
    <mergeCell ref="EM663:EQ663"/>
    <mergeCell ref="DU726:DY726"/>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EZ761:FD761"/>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49:DS749"/>
    <mergeCell ref="DJ749:DN749"/>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DO752:DS752"/>
    <mergeCell ref="DE782:DI782"/>
    <mergeCell ref="ET759:EX759"/>
    <mergeCell ref="EJ759:EN759"/>
    <mergeCell ref="EJ748:EN748"/>
    <mergeCell ref="ET761:EX761"/>
    <mergeCell ref="ET752:EX752"/>
    <mergeCell ref="ET753:EX753"/>
    <mergeCell ref="DU754:DY754"/>
    <mergeCell ref="DZ754:ED754"/>
    <mergeCell ref="EE754:EI754"/>
    <mergeCell ref="EJ754:EN754"/>
    <mergeCell ref="EO754:ES754"/>
    <mergeCell ref="ET754:EX754"/>
    <mergeCell ref="DU755:DY755"/>
    <mergeCell ref="DO757:DS757"/>
    <mergeCell ref="CZ756:DD756"/>
    <mergeCell ref="DE756:DI756"/>
    <mergeCell ref="CK753:CL753"/>
    <mergeCell ref="DZ761:ED761"/>
    <mergeCell ref="DZ746:ED746"/>
    <mergeCell ref="EE761:EI761"/>
    <mergeCell ref="DE781:DI781"/>
    <mergeCell ref="DJ761:DN761"/>
    <mergeCell ref="DE748:DI748"/>
    <mergeCell ref="DU748:DY748"/>
    <mergeCell ref="DZ748:ED748"/>
    <mergeCell ref="EE748:EI748"/>
    <mergeCell ref="EE753:EI753"/>
    <mergeCell ref="DU757:DY757"/>
    <mergeCell ref="DZ757:ED757"/>
    <mergeCell ref="DO754:DS754"/>
    <mergeCell ref="CZ754:DD754"/>
    <mergeCell ref="DJ754:DN754"/>
    <mergeCell ref="DO746:DS746"/>
    <mergeCell ref="DO758:DS758"/>
    <mergeCell ref="DJ781:DN781"/>
    <mergeCell ref="DE755:DI755"/>
    <mergeCell ref="DU747:DY747"/>
    <mergeCell ref="DZ747:ED747"/>
    <mergeCell ref="DE751:DI751"/>
    <mergeCell ref="EE759:EI759"/>
    <mergeCell ref="DU759:DY759"/>
    <mergeCell ref="DZ759:ED759"/>
    <mergeCell ref="DU760:DY760"/>
    <mergeCell ref="DZ760:ED760"/>
    <mergeCell ref="DJ760:DN760"/>
    <mergeCell ref="CI744:CJ744"/>
    <mergeCell ref="CZ745:DD745"/>
    <mergeCell ref="DE741:DI741"/>
    <mergeCell ref="CU743:CY743"/>
    <mergeCell ref="CZ759:DD759"/>
    <mergeCell ref="CI759:CJ759"/>
    <mergeCell ref="CP743:CT743"/>
    <mergeCell ref="DJ744:DN744"/>
    <mergeCell ref="DE744:DI744"/>
    <mergeCell ref="CM748:CN748"/>
    <mergeCell ref="CK760:CL760"/>
    <mergeCell ref="CP755:CT755"/>
    <mergeCell ref="CP747:CT747"/>
    <mergeCell ref="CP744:CT744"/>
    <mergeCell ref="CP748:CT748"/>
    <mergeCell ref="CZ741:DD741"/>
    <mergeCell ref="CZ744:DD744"/>
    <mergeCell ref="DE750:DI750"/>
    <mergeCell ref="CZ758:DD758"/>
    <mergeCell ref="CP754:CT754"/>
    <mergeCell ref="CU754:CY754"/>
    <mergeCell ref="CZ742:DD742"/>
    <mergeCell ref="DJ741:DN741"/>
    <mergeCell ref="CZ757:DD757"/>
    <mergeCell ref="DE757:DI757"/>
    <mergeCell ref="DJ757:DN757"/>
    <mergeCell ref="CZ760:DD760"/>
    <mergeCell ref="CI757:CJ757"/>
    <mergeCell ref="CK757:CL757"/>
    <mergeCell ref="CM757:CN757"/>
    <mergeCell ref="CK758:CL758"/>
    <mergeCell ref="CM758:CN758"/>
    <mergeCell ref="DJ746:DN746"/>
    <mergeCell ref="EO745:ES745"/>
    <mergeCell ref="EO748:ES748"/>
    <mergeCell ref="DZ729:ED729"/>
    <mergeCell ref="EM657:EQ657"/>
    <mergeCell ref="DO733:DS733"/>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O743:DS743"/>
    <mergeCell ref="DO744:DS744"/>
    <mergeCell ref="EE745:EI745"/>
    <mergeCell ref="DO735:DS735"/>
    <mergeCell ref="EO747:ES747"/>
    <mergeCell ref="EO746:ES746"/>
    <mergeCell ref="EJ737:EN737"/>
    <mergeCell ref="EO744:ES744"/>
    <mergeCell ref="EM674:EQ674"/>
    <mergeCell ref="ER674:EV674"/>
    <mergeCell ref="DJ739:DN739"/>
    <mergeCell ref="DU729:DY729"/>
    <mergeCell ref="EE729:EI729"/>
    <mergeCell ref="EH664:EL664"/>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J756:DN756"/>
    <mergeCell ref="ET747:EX747"/>
    <mergeCell ref="EO740:ES740"/>
    <mergeCell ref="ET737:EX737"/>
    <mergeCell ref="DU741:DY741"/>
    <mergeCell ref="ET741:EX741"/>
    <mergeCell ref="DU732:DY732"/>
    <mergeCell ref="DZ727:ED727"/>
    <mergeCell ref="EO741:ES741"/>
    <mergeCell ref="EO742:ES742"/>
    <mergeCell ref="DU735:DY735"/>
    <mergeCell ref="DU746:DY746"/>
    <mergeCell ref="EJ735:EN735"/>
    <mergeCell ref="EO737:ES737"/>
    <mergeCell ref="EJ743:EN743"/>
    <mergeCell ref="EO743:ES743"/>
    <mergeCell ref="DZ743:ED743"/>
    <mergeCell ref="ET745:EX745"/>
    <mergeCell ref="EO728:ES728"/>
    <mergeCell ref="EE746:EI746"/>
    <mergeCell ref="DU728:DY728"/>
    <mergeCell ref="EJ730:EN730"/>
    <mergeCell ref="DU727:DY727"/>
    <mergeCell ref="EE742:EI742"/>
    <mergeCell ref="EJ745:EN745"/>
    <mergeCell ref="DZ744:ED744"/>
    <mergeCell ref="EE744:EI744"/>
    <mergeCell ref="EJ744:EN744"/>
    <mergeCell ref="EJ747:EN747"/>
    <mergeCell ref="ET744:EX744"/>
    <mergeCell ref="DU736:DY736"/>
    <mergeCell ref="ET742:EX742"/>
    <mergeCell ref="ET743:EX743"/>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H664:R664"/>
    <mergeCell ref="AC737:AG737"/>
    <mergeCell ref="O736:S736"/>
    <mergeCell ref="X742:AB742"/>
    <mergeCell ref="D994:Q994"/>
    <mergeCell ref="AB994:AI994"/>
    <mergeCell ref="AK641:AN641"/>
    <mergeCell ref="G663:L663"/>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B61" workbookViewId="0">
      <selection activeCell="T94" sqref="T94"/>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548</v>
      </c>
      <c r="B1" s="125"/>
      <c r="C1" s="125"/>
      <c r="D1" s="125"/>
      <c r="E1" s="126"/>
      <c r="F1" s="1862" t="s">
        <v>620</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373</v>
      </c>
      <c r="D2" s="138" t="s">
        <v>372</v>
      </c>
      <c r="E2" s="138" t="s">
        <v>24</v>
      </c>
      <c r="F2" s="139" t="str">
        <f>Application!B635&amp;Application!C635</f>
        <v>1)Citibank</v>
      </c>
      <c r="G2" s="139" t="str">
        <f>Application!B636&amp;Application!C636</f>
        <v>2)Seller Note</v>
      </c>
      <c r="H2" s="139" t="str">
        <f>Application!B637&amp;Application!C637</f>
        <v>3)Seller Note Accrued Interest</v>
      </c>
      <c r="I2" s="139" t="str">
        <f>Application!B638&amp;Application!C638</f>
        <v>4)NOI</v>
      </c>
      <c r="J2" s="139" t="str">
        <f>Application!B639&amp;Application!C639</f>
        <v>5)Deferred Developer Fee</v>
      </c>
      <c r="K2" s="139" t="str">
        <f>Application!B640&amp;Application!C640</f>
        <v>6)GP Contribution</v>
      </c>
      <c r="L2" s="139" t="str">
        <f>Application!B641&amp;Application!C641</f>
        <v>7)Existing Reserves</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4600000</v>
      </c>
      <c r="C4" s="147">
        <v>4600000</v>
      </c>
      <c r="D4" s="147"/>
      <c r="E4" s="147"/>
      <c r="F4" s="147"/>
      <c r="G4" s="147">
        <v>4600000</v>
      </c>
      <c r="H4" s="147"/>
      <c r="I4" s="147"/>
      <c r="J4" s="147"/>
      <c r="K4" s="147"/>
      <c r="L4" s="147"/>
      <c r="M4" s="147"/>
      <c r="N4" s="147"/>
      <c r="O4" s="147"/>
      <c r="P4" s="147"/>
      <c r="Q4" s="147"/>
      <c r="R4" s="516">
        <f>SUM(E4:Q4)</f>
        <v>4600000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4600000</v>
      </c>
      <c r="C8" s="146">
        <f t="shared" ref="C8:Q8" si="0">SUM(C4:C7)</f>
        <v>4600000</v>
      </c>
      <c r="D8" s="146">
        <f t="shared" si="0"/>
        <v>0</v>
      </c>
      <c r="E8" s="146">
        <f t="shared" si="0"/>
        <v>0</v>
      </c>
      <c r="F8" s="146">
        <f t="shared" si="0"/>
        <v>0</v>
      </c>
      <c r="G8" s="146">
        <f t="shared" si="0"/>
        <v>4600000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4600000</v>
      </c>
      <c r="S8" s="148"/>
      <c r="T8" s="148"/>
      <c r="U8" s="143"/>
    </row>
    <row r="9" spans="1:21" s="144" customFormat="1">
      <c r="A9" s="145" t="s">
        <v>593</v>
      </c>
      <c r="B9" s="146">
        <f>SUM(C9+D9)</f>
        <v>9000000</v>
      </c>
      <c r="C9" s="147">
        <v>9000000</v>
      </c>
      <c r="D9" s="147"/>
      <c r="E9" s="147">
        <v>499000</v>
      </c>
      <c r="F9" s="147"/>
      <c r="G9" s="147">
        <v>8501000</v>
      </c>
      <c r="H9" s="147"/>
      <c r="I9" s="147"/>
      <c r="J9" s="147"/>
      <c r="K9" s="147"/>
      <c r="L9" s="147"/>
      <c r="M9" s="147"/>
      <c r="N9" s="147"/>
      <c r="O9" s="147"/>
      <c r="P9" s="147"/>
      <c r="Q9" s="147"/>
      <c r="R9" s="516">
        <f>SUM(E9:Q9)</f>
        <v>9000000</v>
      </c>
      <c r="S9" s="148"/>
      <c r="T9" s="147">
        <v>9000000</v>
      </c>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9000000</v>
      </c>
      <c r="C11" s="146">
        <f t="shared" ref="C11:Q11" si="1">SUM(C9:C10)</f>
        <v>9000000</v>
      </c>
      <c r="D11" s="146">
        <f t="shared" si="1"/>
        <v>0</v>
      </c>
      <c r="E11" s="146">
        <f t="shared" si="1"/>
        <v>499000</v>
      </c>
      <c r="F11" s="146">
        <f t="shared" si="1"/>
        <v>0</v>
      </c>
      <c r="G11" s="146">
        <f t="shared" si="1"/>
        <v>8501000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9000000</v>
      </c>
      <c r="S11" s="148"/>
      <c r="T11" s="150">
        <f>SUM(T9:T10)</f>
        <v>9000000</v>
      </c>
      <c r="U11" s="143"/>
    </row>
    <row r="12" spans="1:21" s="144" customFormat="1">
      <c r="A12" s="149" t="s">
        <v>84</v>
      </c>
      <c r="B12" s="146">
        <f t="shared" ref="B12:Q12" si="2">SUM(B8+B11)</f>
        <v>13600000</v>
      </c>
      <c r="C12" s="146">
        <f t="shared" si="2"/>
        <v>13600000</v>
      </c>
      <c r="D12" s="146">
        <f t="shared" si="2"/>
        <v>0</v>
      </c>
      <c r="E12" s="146">
        <f t="shared" si="2"/>
        <v>499000</v>
      </c>
      <c r="F12" s="146">
        <f t="shared" si="2"/>
        <v>0</v>
      </c>
      <c r="G12" s="146">
        <f t="shared" si="2"/>
        <v>13101000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13600000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8330447</v>
      </c>
      <c r="C18" s="147">
        <v>8330447</v>
      </c>
      <c r="D18" s="147"/>
      <c r="E18" s="147"/>
      <c r="F18" s="147">
        <v>7031000</v>
      </c>
      <c r="G18" s="147"/>
      <c r="H18" s="147"/>
      <c r="I18" s="147">
        <v>77008</v>
      </c>
      <c r="J18" s="147"/>
      <c r="K18" s="147">
        <v>100</v>
      </c>
      <c r="L18" s="147">
        <f>C18-F18-I18-K18</f>
        <v>1222339</v>
      </c>
      <c r="M18" s="147"/>
      <c r="N18" s="147"/>
      <c r="O18" s="147"/>
      <c r="P18" s="147"/>
      <c r="Q18" s="147"/>
      <c r="R18" s="516">
        <f>SUM(E18:Q18)</f>
        <v>8330447</v>
      </c>
      <c r="S18" s="147">
        <v>8330447</v>
      </c>
      <c r="T18" s="147"/>
      <c r="U18" s="143"/>
    </row>
    <row r="19" spans="1:21" s="144" customFormat="1">
      <c r="A19" s="145" t="s">
        <v>599</v>
      </c>
      <c r="B19" s="146">
        <f t="shared" si="3"/>
        <v>541479</v>
      </c>
      <c r="C19" s="147">
        <v>541479</v>
      </c>
      <c r="D19" s="147"/>
      <c r="E19" s="147">
        <f>C19-L19</f>
        <v>200547</v>
      </c>
      <c r="F19" s="147"/>
      <c r="G19" s="147"/>
      <c r="H19" s="147"/>
      <c r="I19" s="147"/>
      <c r="J19" s="147"/>
      <c r="K19" s="147"/>
      <c r="L19" s="147">
        <f>L108-L18</f>
        <v>340932</v>
      </c>
      <c r="M19" s="147"/>
      <c r="N19" s="147"/>
      <c r="O19" s="147"/>
      <c r="P19" s="147"/>
      <c r="Q19" s="147"/>
      <c r="R19" s="516">
        <f>SUM(E19:Q19)</f>
        <v>541479</v>
      </c>
      <c r="S19" s="147">
        <v>541479</v>
      </c>
      <c r="T19" s="147"/>
      <c r="U19" s="143"/>
    </row>
    <row r="20" spans="1:21" s="144" customFormat="1">
      <c r="A20" s="145" t="s">
        <v>137</v>
      </c>
      <c r="B20" s="146">
        <f t="shared" si="3"/>
        <v>323825</v>
      </c>
      <c r="C20" s="147">
        <v>323825</v>
      </c>
      <c r="D20" s="147"/>
      <c r="E20" s="147">
        <v>323825</v>
      </c>
      <c r="F20" s="147"/>
      <c r="G20" s="147"/>
      <c r="H20" s="147"/>
      <c r="I20" s="147"/>
      <c r="J20" s="147"/>
      <c r="K20" s="147"/>
      <c r="L20" s="147"/>
      <c r="M20" s="147"/>
      <c r="N20" s="147"/>
      <c r="O20" s="147"/>
      <c r="P20" s="147"/>
      <c r="Q20" s="147"/>
      <c r="R20" s="516">
        <f t="shared" ref="R20:R27" si="4">SUM(E20:Q20)</f>
        <v>323825</v>
      </c>
      <c r="S20" s="147">
        <v>323825</v>
      </c>
      <c r="T20" s="147"/>
      <c r="U20" s="143"/>
    </row>
    <row r="21" spans="1:21" s="144" customFormat="1">
      <c r="A21" s="145" t="s">
        <v>138</v>
      </c>
      <c r="B21" s="146">
        <f t="shared" si="3"/>
        <v>323825</v>
      </c>
      <c r="C21" s="147">
        <v>323825</v>
      </c>
      <c r="D21" s="147"/>
      <c r="E21" s="147">
        <v>323825</v>
      </c>
      <c r="F21" s="147"/>
      <c r="G21" s="147"/>
      <c r="H21" s="147"/>
      <c r="I21" s="147"/>
      <c r="J21" s="147"/>
      <c r="K21" s="147"/>
      <c r="L21" s="147"/>
      <c r="M21" s="147"/>
      <c r="N21" s="147"/>
      <c r="O21" s="147"/>
      <c r="P21" s="147"/>
      <c r="Q21" s="147"/>
      <c r="R21" s="516">
        <f t="shared" si="4"/>
        <v>323825</v>
      </c>
      <c r="S21" s="147">
        <v>323825</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v>0</v>
      </c>
      <c r="T22" s="147"/>
      <c r="U22" s="143"/>
    </row>
    <row r="23" spans="1:21" s="144" customFormat="1">
      <c r="A23" s="145" t="s">
        <v>140</v>
      </c>
      <c r="B23" s="146">
        <f t="shared" si="3"/>
        <v>132192</v>
      </c>
      <c r="C23" s="147">
        <v>132192</v>
      </c>
      <c r="D23" s="147"/>
      <c r="E23" s="147">
        <v>132192</v>
      </c>
      <c r="F23" s="147"/>
      <c r="G23" s="147"/>
      <c r="H23" s="147"/>
      <c r="I23" s="147"/>
      <c r="J23" s="147"/>
      <c r="K23" s="147"/>
      <c r="L23" s="147"/>
      <c r="M23" s="147"/>
      <c r="N23" s="147"/>
      <c r="O23" s="147"/>
      <c r="P23" s="147"/>
      <c r="Q23" s="147"/>
      <c r="R23" s="516">
        <f t="shared" si="4"/>
        <v>132192</v>
      </c>
      <c r="S23" s="147">
        <v>132192</v>
      </c>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v>0</v>
      </c>
      <c r="T24" s="147"/>
      <c r="U24" s="143"/>
    </row>
    <row r="25" spans="1:21" s="144" customFormat="1">
      <c r="A25" s="1143" t="s">
        <v>2752</v>
      </c>
      <c r="B25" s="146">
        <f t="shared" si="3"/>
        <v>141398</v>
      </c>
      <c r="C25" s="147">
        <v>141398</v>
      </c>
      <c r="D25" s="147"/>
      <c r="E25" s="147">
        <v>141398</v>
      </c>
      <c r="F25" s="147"/>
      <c r="G25" s="147"/>
      <c r="H25" s="147"/>
      <c r="I25" s="147"/>
      <c r="J25" s="147"/>
      <c r="K25" s="147"/>
      <c r="L25" s="147"/>
      <c r="M25" s="147"/>
      <c r="N25" s="147"/>
      <c r="O25" s="147"/>
      <c r="P25" s="147"/>
      <c r="Q25" s="147"/>
      <c r="R25" s="516">
        <f t="shared" si="4"/>
        <v>141398</v>
      </c>
      <c r="S25" s="147">
        <v>141398</v>
      </c>
      <c r="T25" s="147"/>
      <c r="U25" s="143"/>
    </row>
    <row r="26" spans="1:21" s="144" customFormat="1">
      <c r="A26" s="149" t="s">
        <v>133</v>
      </c>
      <c r="B26" s="146">
        <f t="shared" si="3"/>
        <v>9793166</v>
      </c>
      <c r="C26" s="146">
        <f>SUM(C17:C25)</f>
        <v>9793166</v>
      </c>
      <c r="D26" s="146">
        <f t="shared" ref="D26:Q26" si="5">SUM(D17:D25)</f>
        <v>0</v>
      </c>
      <c r="E26" s="146">
        <f t="shared" si="5"/>
        <v>1121787</v>
      </c>
      <c r="F26" s="146">
        <f t="shared" si="5"/>
        <v>7031000</v>
      </c>
      <c r="G26" s="146">
        <f t="shared" si="5"/>
        <v>0</v>
      </c>
      <c r="H26" s="146">
        <f t="shared" si="5"/>
        <v>0</v>
      </c>
      <c r="I26" s="146">
        <f t="shared" si="5"/>
        <v>77008</v>
      </c>
      <c r="J26" s="146">
        <f t="shared" si="5"/>
        <v>0</v>
      </c>
      <c r="K26" s="146">
        <f t="shared" si="5"/>
        <v>100</v>
      </c>
      <c r="L26" s="146">
        <f t="shared" si="5"/>
        <v>1563271</v>
      </c>
      <c r="M26" s="146">
        <f t="shared" si="5"/>
        <v>0</v>
      </c>
      <c r="N26" s="146">
        <f t="shared" si="5"/>
        <v>0</v>
      </c>
      <c r="O26" s="146">
        <f t="shared" si="5"/>
        <v>0</v>
      </c>
      <c r="P26" s="146">
        <f t="shared" si="5"/>
        <v>0</v>
      </c>
      <c r="Q26" s="146">
        <f t="shared" si="5"/>
        <v>0</v>
      </c>
      <c r="R26" s="342">
        <f>SUM(R17:R25)</f>
        <v>9793166</v>
      </c>
      <c r="S26" s="150">
        <f>SUM(S17:S25)</f>
        <v>9793166</v>
      </c>
      <c r="T26" s="150">
        <f>SUM(T17:T25)</f>
        <v>0</v>
      </c>
      <c r="U26" s="143"/>
    </row>
    <row r="27" spans="1:21" s="144" customFormat="1">
      <c r="A27" s="149" t="s">
        <v>141</v>
      </c>
      <c r="B27" s="146">
        <f>SUM(C27:D27)</f>
        <v>1163221</v>
      </c>
      <c r="C27" s="147">
        <v>1163221</v>
      </c>
      <c r="D27" s="147"/>
      <c r="E27" s="147">
        <v>1163221</v>
      </c>
      <c r="F27" s="147"/>
      <c r="G27" s="147"/>
      <c r="H27" s="147"/>
      <c r="I27" s="147"/>
      <c r="J27" s="147"/>
      <c r="K27" s="147"/>
      <c r="L27" s="147"/>
      <c r="M27" s="147"/>
      <c r="N27" s="147"/>
      <c r="O27" s="147"/>
      <c r="P27" s="147"/>
      <c r="Q27" s="147"/>
      <c r="R27" s="516">
        <f t="shared" si="4"/>
        <v>1163221</v>
      </c>
      <c r="S27" s="147">
        <v>1163221</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598</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599</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280000</v>
      </c>
      <c r="C40" s="147">
        <v>280000</v>
      </c>
      <c r="D40" s="147"/>
      <c r="E40" s="147">
        <v>280000</v>
      </c>
      <c r="F40" s="147"/>
      <c r="G40" s="147"/>
      <c r="H40" s="147"/>
      <c r="I40" s="147"/>
      <c r="J40" s="147"/>
      <c r="K40" s="147"/>
      <c r="L40" s="147"/>
      <c r="M40" s="147"/>
      <c r="N40" s="147"/>
      <c r="O40" s="147"/>
      <c r="P40" s="147"/>
      <c r="Q40" s="147"/>
      <c r="R40" s="516">
        <f>SUM(E40:Q40)</f>
        <v>280000</v>
      </c>
      <c r="S40" s="147">
        <v>280000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280000</v>
      </c>
      <c r="C42" s="146">
        <f>SUM(C39:C41)</f>
        <v>280000</v>
      </c>
      <c r="D42" s="146">
        <f>SUM(D39:D41)</f>
        <v>0</v>
      </c>
      <c r="E42" s="146">
        <f t="shared" ref="E42:T42" si="9">SUM(E40:E41)</f>
        <v>280000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280000</v>
      </c>
      <c r="S42" s="150">
        <f t="shared" si="9"/>
        <v>280000</v>
      </c>
      <c r="T42" s="150">
        <f t="shared" si="9"/>
        <v>0</v>
      </c>
      <c r="U42" s="143"/>
    </row>
    <row r="43" spans="1:21" s="144" customFormat="1">
      <c r="A43" s="149" t="s">
        <v>148</v>
      </c>
      <c r="B43" s="146">
        <f>SUM(C43:D43)</f>
        <v>97900</v>
      </c>
      <c r="C43" s="147">
        <v>97900</v>
      </c>
      <c r="D43" s="147"/>
      <c r="E43" s="147">
        <v>97900</v>
      </c>
      <c r="F43" s="147"/>
      <c r="G43" s="147"/>
      <c r="H43" s="147"/>
      <c r="I43" s="147"/>
      <c r="J43" s="147"/>
      <c r="K43" s="147"/>
      <c r="L43" s="147"/>
      <c r="M43" s="147"/>
      <c r="N43" s="147"/>
      <c r="O43" s="147"/>
      <c r="P43" s="147"/>
      <c r="Q43" s="147"/>
      <c r="R43" s="516">
        <f>SUM(E43:Q43)</f>
        <v>97900</v>
      </c>
      <c r="S43" s="147">
        <v>97900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1218196</v>
      </c>
      <c r="C45" s="147">
        <f>851726+366470</f>
        <v>1218196</v>
      </c>
      <c r="D45" s="147"/>
      <c r="E45" s="147">
        <v>1218196</v>
      </c>
      <c r="F45" s="147"/>
      <c r="G45" s="147"/>
      <c r="H45" s="147"/>
      <c r="I45" s="147"/>
      <c r="J45" s="147"/>
      <c r="K45" s="147"/>
      <c r="L45" s="147"/>
      <c r="M45" s="147"/>
      <c r="N45" s="147"/>
      <c r="O45" s="147"/>
      <c r="P45" s="147"/>
      <c r="Q45" s="147"/>
      <c r="R45" s="516">
        <f t="shared" ref="R45:R53" si="11">SUM(E45:Q45)</f>
        <v>1218196</v>
      </c>
      <c r="S45" s="147">
        <f>425863+55316</f>
        <v>481179</v>
      </c>
      <c r="T45" s="147"/>
      <c r="U45" s="143"/>
    </row>
    <row r="46" spans="1:21" s="144" customFormat="1">
      <c r="A46" s="145" t="s">
        <v>151</v>
      </c>
      <c r="B46" s="146">
        <f t="shared" si="10"/>
        <v>0</v>
      </c>
      <c r="C46" s="147"/>
      <c r="D46" s="147"/>
      <c r="E46" s="147"/>
      <c r="F46" s="147"/>
      <c r="G46" s="147"/>
      <c r="H46" s="147"/>
      <c r="I46" s="147"/>
      <c r="J46" s="147"/>
      <c r="K46" s="147"/>
      <c r="L46" s="147"/>
      <c r="M46" s="147"/>
      <c r="N46" s="147"/>
      <c r="O46" s="147"/>
      <c r="P46" s="147"/>
      <c r="Q46" s="147"/>
      <c r="R46" s="516">
        <f t="shared" si="11"/>
        <v>0</v>
      </c>
      <c r="S46" s="147"/>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363602</v>
      </c>
      <c r="C49" s="147">
        <v>363602</v>
      </c>
      <c r="D49" s="147"/>
      <c r="E49" s="147">
        <v>363602</v>
      </c>
      <c r="F49" s="147"/>
      <c r="G49" s="147"/>
      <c r="H49" s="147"/>
      <c r="I49" s="147"/>
      <c r="J49" s="147"/>
      <c r="K49" s="147"/>
      <c r="L49" s="147"/>
      <c r="M49" s="147"/>
      <c r="N49" s="147"/>
      <c r="O49" s="147"/>
      <c r="P49" s="147"/>
      <c r="Q49" s="147"/>
      <c r="R49" s="516">
        <f t="shared" si="11"/>
        <v>363602</v>
      </c>
      <c r="S49" s="147">
        <v>223688</v>
      </c>
      <c r="T49" s="147"/>
      <c r="U49" s="143"/>
    </row>
    <row r="50" spans="1:21" s="144" customFormat="1">
      <c r="A50" s="145" t="s">
        <v>156</v>
      </c>
      <c r="B50" s="146">
        <f t="shared" si="10"/>
        <v>50000</v>
      </c>
      <c r="C50" s="147">
        <v>50000</v>
      </c>
      <c r="D50" s="147"/>
      <c r="E50" s="147">
        <v>50000</v>
      </c>
      <c r="F50" s="147"/>
      <c r="G50" s="147"/>
      <c r="H50" s="147"/>
      <c r="I50" s="147"/>
      <c r="J50" s="147"/>
      <c r="K50" s="147"/>
      <c r="L50" s="147"/>
      <c r="M50" s="147"/>
      <c r="N50" s="147"/>
      <c r="O50" s="147"/>
      <c r="P50" s="147"/>
      <c r="Q50" s="147"/>
      <c r="R50" s="516">
        <f t="shared" si="11"/>
        <v>50000</v>
      </c>
      <c r="S50" s="147">
        <v>50000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300000</v>
      </c>
      <c r="C52" s="147">
        <v>300000</v>
      </c>
      <c r="D52" s="147"/>
      <c r="E52" s="147">
        <v>300000</v>
      </c>
      <c r="F52" s="147"/>
      <c r="G52" s="147"/>
      <c r="H52" s="147"/>
      <c r="I52" s="147"/>
      <c r="J52" s="147"/>
      <c r="K52" s="147"/>
      <c r="L52" s="147"/>
      <c r="M52" s="147"/>
      <c r="N52" s="147"/>
      <c r="O52" s="147"/>
      <c r="P52" s="147"/>
      <c r="Q52" s="147"/>
      <c r="R52" s="516">
        <f t="shared" si="11"/>
        <v>300000</v>
      </c>
      <c r="S52" s="147">
        <v>300000</v>
      </c>
      <c r="T52" s="147"/>
      <c r="U52" s="143"/>
    </row>
    <row r="53" spans="1:21" s="144" customFormat="1" ht="23">
      <c r="A53" s="1143" t="s">
        <v>2753</v>
      </c>
      <c r="B53" s="146">
        <f t="shared" si="10"/>
        <v>40000</v>
      </c>
      <c r="C53" s="147">
        <v>40000</v>
      </c>
      <c r="D53" s="147"/>
      <c r="E53" s="147">
        <v>40000</v>
      </c>
      <c r="F53" s="147"/>
      <c r="G53" s="147"/>
      <c r="H53" s="147"/>
      <c r="I53" s="147"/>
      <c r="J53" s="147"/>
      <c r="K53" s="147"/>
      <c r="L53" s="147"/>
      <c r="M53" s="147"/>
      <c r="N53" s="147"/>
      <c r="O53" s="147"/>
      <c r="P53" s="147"/>
      <c r="Q53" s="147"/>
      <c r="R53" s="516">
        <f t="shared" si="11"/>
        <v>40000</v>
      </c>
      <c r="S53" s="147">
        <v>40000</v>
      </c>
      <c r="T53" s="147"/>
      <c r="U53" s="143"/>
    </row>
    <row r="54" spans="1:21" s="153" customFormat="1">
      <c r="A54" s="149" t="s">
        <v>157</v>
      </c>
      <c r="B54" s="150">
        <f>SUM(C54:D54)</f>
        <v>1971798</v>
      </c>
      <c r="C54" s="150">
        <f t="shared" ref="C54:T54" si="12">SUM(C45:C53)</f>
        <v>1971798</v>
      </c>
      <c r="D54" s="150">
        <f t="shared" si="12"/>
        <v>0</v>
      </c>
      <c r="E54" s="150">
        <f t="shared" si="12"/>
        <v>1971798</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1971798</v>
      </c>
      <c r="S54" s="150">
        <f t="shared" si="12"/>
        <v>1094867</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6">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30000</v>
      </c>
      <c r="C58" s="147">
        <v>30000</v>
      </c>
      <c r="D58" s="147"/>
      <c r="E58" s="147">
        <v>30000</v>
      </c>
      <c r="F58" s="147"/>
      <c r="G58" s="147"/>
      <c r="H58" s="147"/>
      <c r="I58" s="147"/>
      <c r="J58" s="147"/>
      <c r="K58" s="147"/>
      <c r="L58" s="147"/>
      <c r="M58" s="147"/>
      <c r="N58" s="147"/>
      <c r="O58" s="147"/>
      <c r="P58" s="147"/>
      <c r="Q58" s="147"/>
      <c r="R58" s="516">
        <f t="shared" si="14"/>
        <v>30000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5" customHeight="1">
      <c r="A62" s="149" t="s">
        <v>300</v>
      </c>
      <c r="B62" s="146">
        <f>SUM(C62:D62)</f>
        <v>30000</v>
      </c>
      <c r="C62" s="146">
        <f t="shared" ref="C62:R62" si="15">SUM(C56:C61)</f>
        <v>30000</v>
      </c>
      <c r="D62" s="146">
        <f t="shared" si="15"/>
        <v>0</v>
      </c>
      <c r="E62" s="146">
        <f t="shared" si="15"/>
        <v>30000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30000</v>
      </c>
      <c r="S62" s="148"/>
      <c r="T62" s="148"/>
      <c r="U62" s="143"/>
    </row>
    <row r="63" spans="1:21" s="144" customFormat="1">
      <c r="A63" s="154" t="s">
        <v>301</v>
      </c>
      <c r="B63" s="146">
        <f t="shared" ref="B63:R63" si="16">SUM(B8+B11+B13+B14+B15+B26+B27+B38+B42+B43+B54+B62)</f>
        <v>26936085</v>
      </c>
      <c r="C63" s="146">
        <f t="shared" si="16"/>
        <v>26936085</v>
      </c>
      <c r="D63" s="146">
        <f t="shared" si="16"/>
        <v>0</v>
      </c>
      <c r="E63" s="146">
        <f t="shared" si="16"/>
        <v>5163706</v>
      </c>
      <c r="F63" s="146">
        <f t="shared" si="16"/>
        <v>7031000</v>
      </c>
      <c r="G63" s="146">
        <f t="shared" si="16"/>
        <v>13101000</v>
      </c>
      <c r="H63" s="146">
        <f t="shared" si="16"/>
        <v>0</v>
      </c>
      <c r="I63" s="146">
        <f t="shared" si="16"/>
        <v>77008</v>
      </c>
      <c r="J63" s="146">
        <f t="shared" si="16"/>
        <v>0</v>
      </c>
      <c r="K63" s="146">
        <f t="shared" si="16"/>
        <v>100</v>
      </c>
      <c r="L63" s="146">
        <f t="shared" si="16"/>
        <v>1563271</v>
      </c>
      <c r="M63" s="146">
        <f t="shared" si="16"/>
        <v>0</v>
      </c>
      <c r="N63" s="146">
        <f t="shared" si="16"/>
        <v>0</v>
      </c>
      <c r="O63" s="146">
        <f t="shared" si="16"/>
        <v>0</v>
      </c>
      <c r="P63" s="146">
        <f t="shared" si="16"/>
        <v>0</v>
      </c>
      <c r="Q63" s="146">
        <f t="shared" si="16"/>
        <v>0</v>
      </c>
      <c r="R63" s="342">
        <f t="shared" si="16"/>
        <v>26936085</v>
      </c>
      <c r="S63" s="146">
        <f>SUM(S10+S13+S14+S15+S26+S27+S38+S42+S43+S54)</f>
        <v>12429154</v>
      </c>
      <c r="T63" s="146">
        <f>SUM(T11+T13+T14+T15+T26+T27+T38+T42+T43+T54)</f>
        <v>9000000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0</v>
      </c>
      <c r="C65" s="147"/>
      <c r="D65" s="147"/>
      <c r="E65" s="147"/>
      <c r="F65" s="147"/>
      <c r="G65" s="147"/>
      <c r="H65" s="147"/>
      <c r="I65" s="147"/>
      <c r="J65" s="147"/>
      <c r="K65" s="147"/>
      <c r="L65" s="147"/>
      <c r="M65" s="147"/>
      <c r="N65" s="147"/>
      <c r="O65" s="147"/>
      <c r="P65" s="147"/>
      <c r="Q65" s="147"/>
      <c r="R65" s="516">
        <f>SUM(E65:Q65)</f>
        <v>0</v>
      </c>
      <c r="S65" s="147"/>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23">
      <c r="A69" s="1143" t="s">
        <v>2754</v>
      </c>
      <c r="B69" s="146">
        <f>SUM(C69+D69)</f>
        <v>85000</v>
      </c>
      <c r="C69" s="147">
        <v>85000</v>
      </c>
      <c r="D69" s="147"/>
      <c r="E69" s="147">
        <v>85000</v>
      </c>
      <c r="F69" s="147"/>
      <c r="G69" s="147"/>
      <c r="H69" s="147"/>
      <c r="I69" s="147"/>
      <c r="J69" s="147"/>
      <c r="K69" s="147"/>
      <c r="L69" s="147"/>
      <c r="M69" s="147"/>
      <c r="N69" s="147"/>
      <c r="O69" s="147"/>
      <c r="P69" s="147"/>
      <c r="Q69" s="147"/>
      <c r="R69" s="516">
        <f>SUM(E69:Q69)</f>
        <v>85000</v>
      </c>
      <c r="S69" s="147">
        <v>40000</v>
      </c>
      <c r="T69" s="147"/>
      <c r="U69" s="143"/>
    </row>
    <row r="70" spans="1:21" s="144" customFormat="1">
      <c r="A70" s="149" t="s">
        <v>1633</v>
      </c>
      <c r="B70" s="146">
        <f>SUM(C70:D70)</f>
        <v>85000</v>
      </c>
      <c r="C70" s="146">
        <f>SUM(C65:C69)</f>
        <v>85000</v>
      </c>
      <c r="D70" s="146">
        <f>SUM(D65:D69)</f>
        <v>0</v>
      </c>
      <c r="E70" s="146">
        <f t="shared" ref="E70:T70" si="17">SUM(E65:E69)</f>
        <v>85000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85000</v>
      </c>
      <c r="S70" s="150">
        <f t="shared" si="17"/>
        <v>40000</v>
      </c>
      <c r="T70" s="150">
        <f t="shared" si="17"/>
        <v>0</v>
      </c>
      <c r="U70" s="143"/>
    </row>
    <row r="71" spans="1:21" s="144" customFormat="1" ht="12">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213500</v>
      </c>
      <c r="C74" s="147">
        <v>213500</v>
      </c>
      <c r="D74" s="147"/>
      <c r="E74" s="147">
        <v>213500</v>
      </c>
      <c r="F74" s="147"/>
      <c r="G74" s="147"/>
      <c r="H74" s="147"/>
      <c r="I74" s="147"/>
      <c r="J74" s="147"/>
      <c r="K74" s="147"/>
      <c r="L74" s="147"/>
      <c r="M74" s="147"/>
      <c r="N74" s="147"/>
      <c r="O74" s="147"/>
      <c r="P74" s="147"/>
      <c r="Q74" s="147"/>
      <c r="R74" s="516">
        <f>SUM(E74:Q74)</f>
        <v>213500</v>
      </c>
      <c r="S74" s="148"/>
      <c r="T74" s="148"/>
      <c r="U74" s="143"/>
    </row>
    <row r="75" spans="1:21" s="144" customFormat="1">
      <c r="A75" s="145" t="s">
        <v>604</v>
      </c>
      <c r="B75" s="146">
        <f>SUM(C75+D75)</f>
        <v>730878</v>
      </c>
      <c r="C75" s="147">
        <v>730878</v>
      </c>
      <c r="D75" s="147"/>
      <c r="E75" s="147">
        <v>730878</v>
      </c>
      <c r="F75" s="147"/>
      <c r="G75" s="147"/>
      <c r="H75" s="147"/>
      <c r="I75" s="147"/>
      <c r="J75" s="147"/>
      <c r="K75" s="147"/>
      <c r="L75" s="147"/>
      <c r="M75" s="147"/>
      <c r="N75" s="147"/>
      <c r="O75" s="147"/>
      <c r="P75" s="147"/>
      <c r="Q75" s="147"/>
      <c r="R75" s="516">
        <f>SUM(E75:Q75)</f>
        <v>730878</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944378</v>
      </c>
      <c r="C77" s="146">
        <f>SUM(C72:C76)</f>
        <v>944378</v>
      </c>
      <c r="D77" s="146">
        <f>SUM(D72:D76)</f>
        <v>0</v>
      </c>
      <c r="E77" s="146">
        <f t="shared" ref="E77:Q77" si="18">SUM(E72:E76)</f>
        <v>944378</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944378</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1468975</v>
      </c>
      <c r="C79" s="147">
        <v>1468975</v>
      </c>
      <c r="D79" s="147"/>
      <c r="E79" s="147">
        <v>1468975</v>
      </c>
      <c r="F79" s="147"/>
      <c r="G79" s="147"/>
      <c r="H79" s="147"/>
      <c r="I79" s="147"/>
      <c r="J79" s="147"/>
      <c r="K79" s="147"/>
      <c r="L79" s="147"/>
      <c r="M79" s="147"/>
      <c r="N79" s="147"/>
      <c r="O79" s="147"/>
      <c r="P79" s="147"/>
      <c r="Q79" s="147"/>
      <c r="R79" s="516">
        <f>SUM(E79:Q79)</f>
        <v>1468975</v>
      </c>
      <c r="S79" s="147">
        <v>1468975</v>
      </c>
      <c r="T79" s="147"/>
      <c r="U79" s="143"/>
    </row>
    <row r="80" spans="1:21" s="144" customFormat="1">
      <c r="A80" s="283" t="s">
        <v>58</v>
      </c>
      <c r="B80" s="146">
        <f>SUM(C80:D80)</f>
        <v>150000</v>
      </c>
      <c r="C80" s="147">
        <v>150000</v>
      </c>
      <c r="D80" s="147"/>
      <c r="E80" s="147">
        <v>150000</v>
      </c>
      <c r="F80" s="147"/>
      <c r="G80" s="147"/>
      <c r="H80" s="147"/>
      <c r="I80" s="147"/>
      <c r="J80" s="147"/>
      <c r="K80" s="147"/>
      <c r="L80" s="147"/>
      <c r="M80" s="147"/>
      <c r="N80" s="147"/>
      <c r="O80" s="147"/>
      <c r="P80" s="147"/>
      <c r="Q80" s="147"/>
      <c r="R80" s="516">
        <f>SUM(E80:Q80)</f>
        <v>150000</v>
      </c>
      <c r="S80" s="147">
        <v>150000</v>
      </c>
      <c r="T80" s="147"/>
      <c r="U80" s="143"/>
    </row>
    <row r="81" spans="1:21" s="144" customFormat="1">
      <c r="A81" s="149" t="s">
        <v>1208</v>
      </c>
      <c r="B81" s="146">
        <f>SUM(C81:D81)</f>
        <v>1618975</v>
      </c>
      <c r="C81" s="509">
        <f>SUM(C79:C80)</f>
        <v>1618975</v>
      </c>
      <c r="D81" s="509">
        <f t="shared" ref="D81:T81" si="19">SUM(D79:D80)</f>
        <v>0</v>
      </c>
      <c r="E81" s="509">
        <f t="shared" si="19"/>
        <v>1618975</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1618975</v>
      </c>
      <c r="S81" s="509">
        <f t="shared" si="19"/>
        <v>1618975</v>
      </c>
      <c r="T81" s="509">
        <f t="shared" si="19"/>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2049</v>
      </c>
      <c r="B83" s="146">
        <f t="shared" ref="B83:B95" si="20">SUM(C83+D83)</f>
        <v>59749</v>
      </c>
      <c r="C83" s="147">
        <v>59749</v>
      </c>
      <c r="D83" s="147"/>
      <c r="E83" s="147">
        <v>59749</v>
      </c>
      <c r="F83" s="147"/>
      <c r="G83" s="147"/>
      <c r="H83" s="147"/>
      <c r="I83" s="147"/>
      <c r="J83" s="147"/>
      <c r="K83" s="147"/>
      <c r="L83" s="147"/>
      <c r="M83" s="147"/>
      <c r="N83" s="147"/>
      <c r="O83" s="147"/>
      <c r="P83" s="147"/>
      <c r="Q83" s="147"/>
      <c r="R83" s="516">
        <f t="shared" ref="R83:R95" si="21">SUM(E83:Q83)</f>
        <v>59749</v>
      </c>
      <c r="S83" s="148"/>
      <c r="T83" s="148"/>
      <c r="U83" s="143"/>
    </row>
    <row r="84" spans="1:21" s="144" customFormat="1">
      <c r="A84" s="145" t="s">
        <v>766</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767</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768</v>
      </c>
      <c r="B86" s="146">
        <f t="shared" si="20"/>
        <v>100000</v>
      </c>
      <c r="C86" s="147">
        <v>100000</v>
      </c>
      <c r="D86" s="147"/>
      <c r="E86" s="147">
        <v>100000</v>
      </c>
      <c r="F86" s="147"/>
      <c r="G86" s="147"/>
      <c r="H86" s="147"/>
      <c r="I86" s="147"/>
      <c r="J86" s="147"/>
      <c r="K86" s="147"/>
      <c r="L86" s="147"/>
      <c r="M86" s="147"/>
      <c r="N86" s="147"/>
      <c r="O86" s="147"/>
      <c r="P86" s="147"/>
      <c r="Q86" s="147"/>
      <c r="R86" s="516">
        <f t="shared" si="21"/>
        <v>100000</v>
      </c>
      <c r="S86" s="147">
        <v>100000</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25000</v>
      </c>
      <c r="C88" s="147">
        <v>25000</v>
      </c>
      <c r="D88" s="147"/>
      <c r="E88" s="147">
        <v>25000</v>
      </c>
      <c r="F88" s="147"/>
      <c r="G88" s="147"/>
      <c r="H88" s="147"/>
      <c r="I88" s="147"/>
      <c r="J88" s="147"/>
      <c r="K88" s="147"/>
      <c r="L88" s="147"/>
      <c r="M88" s="147"/>
      <c r="N88" s="147"/>
      <c r="O88" s="147"/>
      <c r="P88" s="147"/>
      <c r="Q88" s="147"/>
      <c r="R88" s="516">
        <f t="shared" si="21"/>
        <v>25000</v>
      </c>
      <c r="S88" s="148"/>
      <c r="T88" s="148"/>
      <c r="U88" s="143"/>
    </row>
    <row r="89" spans="1:21" s="144" customFormat="1">
      <c r="A89" s="145" t="s">
        <v>771</v>
      </c>
      <c r="B89" s="146">
        <f t="shared" si="20"/>
        <v>300000</v>
      </c>
      <c r="C89" s="147">
        <v>300000</v>
      </c>
      <c r="D89" s="147"/>
      <c r="E89" s="147">
        <v>300000</v>
      </c>
      <c r="F89" s="147"/>
      <c r="G89" s="147"/>
      <c r="H89" s="147"/>
      <c r="I89" s="147"/>
      <c r="J89" s="147"/>
      <c r="K89" s="147"/>
      <c r="L89" s="147"/>
      <c r="M89" s="147"/>
      <c r="N89" s="147"/>
      <c r="O89" s="147"/>
      <c r="P89" s="147"/>
      <c r="Q89" s="147"/>
      <c r="R89" s="516">
        <f t="shared" si="21"/>
        <v>300000</v>
      </c>
      <c r="S89" s="147">
        <v>300000</v>
      </c>
      <c r="T89" s="147"/>
      <c r="U89" s="143"/>
    </row>
    <row r="90" spans="1:21" s="144" customFormat="1">
      <c r="A90" s="145" t="s">
        <v>772</v>
      </c>
      <c r="B90" s="146">
        <f t="shared" si="20"/>
        <v>5500</v>
      </c>
      <c r="C90" s="147">
        <v>5500</v>
      </c>
      <c r="D90" s="147"/>
      <c r="E90" s="147">
        <v>5500</v>
      </c>
      <c r="F90" s="147"/>
      <c r="G90" s="147"/>
      <c r="H90" s="147"/>
      <c r="I90" s="147"/>
      <c r="J90" s="147"/>
      <c r="K90" s="147"/>
      <c r="L90" s="147"/>
      <c r="M90" s="147"/>
      <c r="N90" s="147"/>
      <c r="O90" s="147"/>
      <c r="P90" s="147"/>
      <c r="Q90" s="147"/>
      <c r="R90" s="516">
        <f t="shared" si="21"/>
        <v>5500</v>
      </c>
      <c r="S90" s="147"/>
      <c r="T90" s="147"/>
      <c r="U90" s="143"/>
    </row>
    <row r="91" spans="1:21" s="144" customFormat="1">
      <c r="A91" s="145" t="s">
        <v>371</v>
      </c>
      <c r="B91" s="146">
        <f t="shared" si="20"/>
        <v>30000</v>
      </c>
      <c r="C91" s="147">
        <v>30000</v>
      </c>
      <c r="D91" s="147"/>
      <c r="E91" s="147">
        <v>30000</v>
      </c>
      <c r="F91" s="147"/>
      <c r="G91" s="147"/>
      <c r="H91" s="147"/>
      <c r="I91" s="147"/>
      <c r="J91" s="147"/>
      <c r="K91" s="147"/>
      <c r="L91" s="147"/>
      <c r="M91" s="147"/>
      <c r="N91" s="147"/>
      <c r="O91" s="147"/>
      <c r="P91" s="147"/>
      <c r="Q91" s="147"/>
      <c r="R91" s="516">
        <f t="shared" si="21"/>
        <v>30000</v>
      </c>
      <c r="S91" s="147"/>
      <c r="T91" s="147"/>
      <c r="U91" s="143"/>
    </row>
    <row r="92" spans="1:21" s="144" customFormat="1">
      <c r="A92" s="283" t="s">
        <v>1210</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c r="T92" s="147">
        <v>6618</v>
      </c>
      <c r="U92" s="143"/>
    </row>
    <row r="93" spans="1:21" s="144" customFormat="1">
      <c r="A93" s="1143" t="s">
        <v>2755</v>
      </c>
      <c r="B93" s="146">
        <f t="shared" si="20"/>
        <v>76160</v>
      </c>
      <c r="C93" s="147">
        <v>76160</v>
      </c>
      <c r="D93" s="147"/>
      <c r="E93" s="147">
        <v>76160</v>
      </c>
      <c r="F93" s="147"/>
      <c r="G93" s="147"/>
      <c r="H93" s="147"/>
      <c r="I93" s="147"/>
      <c r="J93" s="147"/>
      <c r="K93" s="147"/>
      <c r="L93" s="147"/>
      <c r="M93" s="147"/>
      <c r="N93" s="147"/>
      <c r="O93" s="147"/>
      <c r="P93" s="147"/>
      <c r="Q93" s="147"/>
      <c r="R93" s="516">
        <f t="shared" si="21"/>
        <v>76160</v>
      </c>
      <c r="S93" s="147"/>
      <c r="T93" s="147">
        <v>50400</v>
      </c>
      <c r="U93" s="143"/>
    </row>
    <row r="94" spans="1:21" s="144" customFormat="1" ht="23">
      <c r="A94" s="1143" t="s">
        <v>2756</v>
      </c>
      <c r="B94" s="146">
        <f t="shared" si="20"/>
        <v>1268536</v>
      </c>
      <c r="C94" s="147">
        <v>1268536</v>
      </c>
      <c r="D94" s="147"/>
      <c r="E94" s="147"/>
      <c r="F94" s="147"/>
      <c r="G94" s="147"/>
      <c r="H94" s="147">
        <v>1268536</v>
      </c>
      <c r="I94" s="147"/>
      <c r="J94" s="147"/>
      <c r="K94" s="147"/>
      <c r="L94" s="147"/>
      <c r="M94" s="147"/>
      <c r="N94" s="147"/>
      <c r="O94" s="147"/>
      <c r="P94" s="147"/>
      <c r="Q94" s="147"/>
      <c r="R94" s="516">
        <f t="shared" si="21"/>
        <v>1268536</v>
      </c>
      <c r="S94" s="147">
        <v>701141</v>
      </c>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773</v>
      </c>
      <c r="B96" s="146">
        <f>SUM(C96:D96)</f>
        <v>1874945</v>
      </c>
      <c r="C96" s="146">
        <f t="shared" ref="C96:R96" si="22">SUM(C83:C95)</f>
        <v>1874945</v>
      </c>
      <c r="D96" s="146">
        <f t="shared" si="22"/>
        <v>0</v>
      </c>
      <c r="E96" s="146">
        <f t="shared" si="22"/>
        <v>606409</v>
      </c>
      <c r="F96" s="146">
        <f t="shared" si="22"/>
        <v>0</v>
      </c>
      <c r="G96" s="146">
        <f t="shared" si="22"/>
        <v>0</v>
      </c>
      <c r="H96" s="146">
        <f t="shared" si="22"/>
        <v>1268536</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1874945</v>
      </c>
      <c r="S96" s="150">
        <f>SUM(S84:S87,S89:S95)</f>
        <v>1101141</v>
      </c>
      <c r="T96" s="146">
        <f>SUM(T84:T87,T89:T95)</f>
        <v>57018</v>
      </c>
      <c r="U96" s="143"/>
    </row>
    <row r="97" spans="1:21" s="144" customFormat="1">
      <c r="A97" s="149" t="s">
        <v>774</v>
      </c>
      <c r="B97" s="146">
        <f>SUM(C97:D97)</f>
        <v>31459383</v>
      </c>
      <c r="C97" s="146">
        <f t="shared" ref="C97:R97" si="23">SUM(C63+C70+C77+C81+C96)</f>
        <v>31459383</v>
      </c>
      <c r="D97" s="146">
        <f t="shared" si="23"/>
        <v>0</v>
      </c>
      <c r="E97" s="146">
        <f t="shared" si="23"/>
        <v>8418468</v>
      </c>
      <c r="F97" s="146">
        <f t="shared" si="23"/>
        <v>7031000</v>
      </c>
      <c r="G97" s="146">
        <f t="shared" si="23"/>
        <v>13101000</v>
      </c>
      <c r="H97" s="146">
        <f t="shared" si="23"/>
        <v>1268536</v>
      </c>
      <c r="I97" s="146">
        <f t="shared" si="23"/>
        <v>77008</v>
      </c>
      <c r="J97" s="146">
        <f t="shared" si="23"/>
        <v>0</v>
      </c>
      <c r="K97" s="146">
        <f t="shared" si="23"/>
        <v>100</v>
      </c>
      <c r="L97" s="146">
        <f t="shared" si="23"/>
        <v>1563271</v>
      </c>
      <c r="M97" s="146">
        <f t="shared" si="23"/>
        <v>0</v>
      </c>
      <c r="N97" s="146">
        <f t="shared" si="23"/>
        <v>0</v>
      </c>
      <c r="O97" s="146">
        <f t="shared" si="23"/>
        <v>0</v>
      </c>
      <c r="P97" s="146">
        <f t="shared" si="23"/>
        <v>0</v>
      </c>
      <c r="Q97" s="146">
        <f t="shared" si="23"/>
        <v>0</v>
      </c>
      <c r="R97" s="146">
        <f t="shared" si="23"/>
        <v>31459383</v>
      </c>
      <c r="S97" s="146">
        <f>SUM(S63+S70+S81+S96)</f>
        <v>15189270</v>
      </c>
      <c r="T97" s="146">
        <f>SUM(T63+T70+T81+T96)</f>
        <v>9057018</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3636942</v>
      </c>
      <c r="C99" s="974">
        <v>3636942</v>
      </c>
      <c r="D99" s="974"/>
      <c r="E99" s="974">
        <f>C99-J99</f>
        <v>2000000</v>
      </c>
      <c r="F99" s="147"/>
      <c r="G99" s="147"/>
      <c r="H99" s="147"/>
      <c r="I99" s="147"/>
      <c r="J99" s="147">
        <v>1636942</v>
      </c>
      <c r="K99" s="147"/>
      <c r="L99" s="147"/>
      <c r="M99" s="147"/>
      <c r="N99" s="147"/>
      <c r="O99" s="147"/>
      <c r="P99" s="147"/>
      <c r="Q99" s="147"/>
      <c r="R99" s="516">
        <f>SUM(E99:Q99)</f>
        <v>3636942</v>
      </c>
      <c r="S99" s="147">
        <v>2278390</v>
      </c>
      <c r="T99" s="147">
        <v>1358552</v>
      </c>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3636942</v>
      </c>
      <c r="C104" s="146">
        <f>SUM(C99:C103)</f>
        <v>3636942</v>
      </c>
      <c r="D104" s="146">
        <f t="shared" ref="D104:T104" si="24">SUM(D99:D103)</f>
        <v>0</v>
      </c>
      <c r="E104" s="146">
        <f t="shared" si="24"/>
        <v>2000000</v>
      </c>
      <c r="F104" s="146">
        <f t="shared" si="24"/>
        <v>0</v>
      </c>
      <c r="G104" s="146">
        <f t="shared" si="24"/>
        <v>0</v>
      </c>
      <c r="H104" s="146">
        <f t="shared" si="24"/>
        <v>0</v>
      </c>
      <c r="I104" s="146">
        <f t="shared" si="24"/>
        <v>0</v>
      </c>
      <c r="J104" s="146">
        <f t="shared" si="24"/>
        <v>1636942</v>
      </c>
      <c r="K104" s="146">
        <f t="shared" si="24"/>
        <v>0</v>
      </c>
      <c r="L104" s="146">
        <f t="shared" si="24"/>
        <v>0</v>
      </c>
      <c r="M104" s="146">
        <f t="shared" si="24"/>
        <v>0</v>
      </c>
      <c r="N104" s="146">
        <f t="shared" si="24"/>
        <v>0</v>
      </c>
      <c r="O104" s="146">
        <f t="shared" si="24"/>
        <v>0</v>
      </c>
      <c r="P104" s="146">
        <f t="shared" si="24"/>
        <v>0</v>
      </c>
      <c r="Q104" s="146">
        <f t="shared" si="24"/>
        <v>0</v>
      </c>
      <c r="R104" s="342">
        <f t="shared" si="24"/>
        <v>3636942</v>
      </c>
      <c r="S104" s="150">
        <f t="shared" si="24"/>
        <v>2278390</v>
      </c>
      <c r="T104" s="150">
        <f t="shared" si="24"/>
        <v>1358552</v>
      </c>
      <c r="U104" s="143"/>
    </row>
    <row r="105" spans="1:21" s="144" customFormat="1">
      <c r="A105" s="149" t="s">
        <v>779</v>
      </c>
      <c r="B105" s="150">
        <f>SUM(C105:D105)</f>
        <v>35096325</v>
      </c>
      <c r="C105" s="150">
        <f t="shared" ref="C105:R105" si="25">SUM(C97+C104)</f>
        <v>35096325</v>
      </c>
      <c r="D105" s="150">
        <f t="shared" si="25"/>
        <v>0</v>
      </c>
      <c r="E105" s="150">
        <f t="shared" si="25"/>
        <v>10418468</v>
      </c>
      <c r="F105" s="150">
        <f t="shared" si="25"/>
        <v>7031000</v>
      </c>
      <c r="G105" s="150">
        <f t="shared" si="25"/>
        <v>13101000</v>
      </c>
      <c r="H105" s="150">
        <f t="shared" si="25"/>
        <v>1268536</v>
      </c>
      <c r="I105" s="150">
        <f t="shared" si="25"/>
        <v>77008</v>
      </c>
      <c r="J105" s="150">
        <f t="shared" si="25"/>
        <v>1636942</v>
      </c>
      <c r="K105" s="150">
        <f t="shared" si="25"/>
        <v>100</v>
      </c>
      <c r="L105" s="150">
        <f t="shared" si="25"/>
        <v>1563271</v>
      </c>
      <c r="M105" s="150">
        <f t="shared" si="25"/>
        <v>0</v>
      </c>
      <c r="N105" s="150">
        <f t="shared" si="25"/>
        <v>0</v>
      </c>
      <c r="O105" s="150">
        <f t="shared" si="25"/>
        <v>0</v>
      </c>
      <c r="P105" s="150">
        <f t="shared" si="25"/>
        <v>0</v>
      </c>
      <c r="Q105" s="150">
        <f t="shared" si="25"/>
        <v>0</v>
      </c>
      <c r="R105" s="342">
        <f t="shared" si="25"/>
        <v>35096325</v>
      </c>
      <c r="S105" s="150">
        <f>S97+S104</f>
        <v>17467660</v>
      </c>
      <c r="T105" s="150">
        <f>T97+T104</f>
        <v>10415570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17467660</v>
      </c>
      <c r="T107" s="150">
        <f>T105+T106</f>
        <v>10415570</v>
      </c>
    </row>
    <row r="108" spans="1:21" s="189" customFormat="1">
      <c r="A108" s="162" t="s">
        <v>878</v>
      </c>
      <c r="B108" s="157"/>
      <c r="C108" s="157"/>
      <c r="D108" s="157"/>
      <c r="E108" s="301">
        <f>Application!AO648</f>
        <v>10418468</v>
      </c>
      <c r="F108" s="301">
        <f>Application!AO635</f>
        <v>7031000</v>
      </c>
      <c r="G108" s="301">
        <f>Application!AO636</f>
        <v>13101000</v>
      </c>
      <c r="H108" s="301">
        <f>Application!AO637</f>
        <v>1268536</v>
      </c>
      <c r="I108" s="301">
        <f>Application!AO638</f>
        <v>77008</v>
      </c>
      <c r="J108" s="301">
        <f>Application!AO639</f>
        <v>1636942</v>
      </c>
      <c r="K108" s="301">
        <f>Application!AO640</f>
        <v>100</v>
      </c>
      <c r="L108" s="301">
        <f>Application!AO641</f>
        <v>1563271</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2050</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1868" t="s">
        <v>989</v>
      </c>
      <c r="E122" s="1868"/>
      <c r="F122" s="1868"/>
      <c r="G122" s="324"/>
      <c r="H122" s="324"/>
      <c r="I122" s="324"/>
      <c r="J122" s="324"/>
      <c r="K122" s="324"/>
      <c r="L122" s="324"/>
      <c r="M122" s="324"/>
      <c r="N122" s="324"/>
      <c r="O122" s="324"/>
      <c r="P122" s="324"/>
      <c r="Q122" s="324"/>
      <c r="R122" s="324"/>
      <c r="S122" s="324"/>
      <c r="T122" s="324"/>
      <c r="U122" s="326"/>
    </row>
    <row r="123" spans="1:21">
      <c r="A123" s="324" t="s">
        <v>990</v>
      </c>
      <c r="B123" s="333">
        <v>5000</v>
      </c>
      <c r="C123" s="324"/>
      <c r="D123" s="1870" t="s">
        <v>1223</v>
      </c>
      <c r="E123" s="1791"/>
      <c r="F123" s="1791"/>
      <c r="G123" s="1791"/>
      <c r="H123" s="1791"/>
      <c r="I123" s="1791"/>
      <c r="J123" s="1791"/>
      <c r="K123" s="1791"/>
      <c r="L123" s="1791"/>
      <c r="M123" s="1791"/>
      <c r="N123" s="1791"/>
      <c r="O123" s="1791"/>
      <c r="P123" s="1791"/>
      <c r="Q123" s="1791"/>
      <c r="R123" s="1791"/>
      <c r="S123" s="1791"/>
      <c r="T123" s="324"/>
      <c r="U123" s="326"/>
    </row>
    <row r="124" spans="1:21" ht="12.5">
      <c r="A124" s="117" t="s">
        <v>991</v>
      </c>
      <c r="B124" s="333"/>
      <c r="C124" s="117"/>
      <c r="D124" s="1791"/>
      <c r="E124" s="1791"/>
      <c r="F124" s="1791"/>
      <c r="G124" s="1791"/>
      <c r="H124" s="1791"/>
      <c r="I124" s="1791"/>
      <c r="J124" s="1791"/>
      <c r="K124" s="1791"/>
      <c r="L124" s="1791"/>
      <c r="M124" s="1791"/>
      <c r="N124" s="1791"/>
      <c r="O124" s="1791"/>
      <c r="P124" s="1791"/>
      <c r="Q124" s="1791"/>
      <c r="R124" s="1791"/>
      <c r="S124" s="1791"/>
      <c r="T124" s="324"/>
      <c r="U124" s="326"/>
    </row>
    <row r="125" spans="1:21" ht="12.5">
      <c r="A125" s="117" t="s">
        <v>992</v>
      </c>
      <c r="B125" s="333">
        <v>90000</v>
      </c>
      <c r="C125" s="117"/>
      <c r="D125" s="1791"/>
      <c r="E125" s="1791"/>
      <c r="F125" s="1791"/>
      <c r="G125" s="1791"/>
      <c r="H125" s="1791"/>
      <c r="I125" s="1791"/>
      <c r="J125" s="1791"/>
      <c r="K125" s="1791"/>
      <c r="L125" s="1791"/>
      <c r="M125" s="1791"/>
      <c r="N125" s="1791"/>
      <c r="O125" s="1791"/>
      <c r="P125" s="1791"/>
      <c r="Q125" s="1791"/>
      <c r="R125" s="1791"/>
      <c r="S125" s="1791"/>
      <c r="T125" s="324"/>
      <c r="U125" s="326"/>
    </row>
    <row r="126" spans="1:21" ht="12.5">
      <c r="A126" s="117" t="s">
        <v>993</v>
      </c>
      <c r="B126" s="333">
        <v>85000</v>
      </c>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995</v>
      </c>
      <c r="B128" s="333"/>
      <c r="C128" s="117"/>
      <c r="D128" s="1865"/>
      <c r="E128" s="1865"/>
      <c r="F128" s="1865"/>
      <c r="G128" s="1865"/>
      <c r="H128" s="1865"/>
      <c r="I128" s="117"/>
      <c r="J128" s="1866"/>
      <c r="K128" s="1866"/>
      <c r="L128" s="117"/>
      <c r="M128" s="117"/>
      <c r="N128" s="117"/>
      <c r="O128" s="117"/>
      <c r="P128" s="117"/>
      <c r="Q128" s="117"/>
      <c r="R128" s="117"/>
      <c r="S128" s="117"/>
      <c r="T128" s="324"/>
      <c r="U128" s="326"/>
    </row>
    <row r="129" spans="1:21" ht="12.5">
      <c r="A129" s="117" t="s">
        <v>299</v>
      </c>
      <c r="B129" s="333"/>
      <c r="C129" s="117"/>
      <c r="D129" s="1867" t="s">
        <v>996</v>
      </c>
      <c r="E129" s="1867"/>
      <c r="F129" s="1867"/>
      <c r="G129" s="1867"/>
      <c r="H129" s="1867"/>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180000</v>
      </c>
      <c r="C131" s="117"/>
      <c r="D131" s="1819"/>
      <c r="E131" s="1819"/>
      <c r="F131" s="1819"/>
      <c r="G131" s="1819"/>
      <c r="H131" s="1819"/>
      <c r="I131" s="117"/>
      <c r="J131" s="1819"/>
      <c r="K131" s="1819"/>
      <c r="L131" s="1819"/>
      <c r="M131" s="1819"/>
      <c r="N131" s="117"/>
      <c r="O131" s="117"/>
      <c r="P131" s="117"/>
      <c r="Q131" s="117"/>
      <c r="R131" s="117"/>
      <c r="S131" s="117"/>
      <c r="T131" s="324"/>
      <c r="U131" s="326"/>
    </row>
    <row r="132" spans="1:21" ht="12" customHeight="1">
      <c r="A132" s="336"/>
      <c r="B132" s="117"/>
      <c r="C132" s="117"/>
      <c r="D132" s="1871" t="s">
        <v>999</v>
      </c>
      <c r="E132" s="1871"/>
      <c r="F132" s="1871"/>
      <c r="G132" s="1871"/>
      <c r="H132" s="1871"/>
      <c r="I132" s="117"/>
      <c r="J132" s="1871" t="s">
        <v>1000</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65"/>
      <c r="C138" s="1865"/>
      <c r="D138" s="328"/>
      <c r="E138" s="1866"/>
      <c r="F138" s="1866"/>
      <c r="G138" s="117"/>
      <c r="H138" s="117"/>
      <c r="I138" s="117"/>
      <c r="J138" s="117"/>
      <c r="K138" s="117"/>
      <c r="L138" s="117"/>
      <c r="M138" s="117"/>
      <c r="N138" s="117"/>
      <c r="O138" s="117"/>
      <c r="P138" s="117"/>
      <c r="Q138" s="117"/>
      <c r="R138" s="117"/>
      <c r="S138" s="117"/>
      <c r="T138" s="330"/>
      <c r="U138" s="331"/>
    </row>
    <row r="139" spans="1:21" ht="13">
      <c r="A139" s="1869" t="s">
        <v>1003</v>
      </c>
      <c r="B139" s="1869"/>
      <c r="C139" s="1869"/>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6" workbookViewId="0">
      <selection activeCell="I94" sqref="I94"/>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5" t="s">
        <v>1226</v>
      </c>
      <c r="B1" s="1876"/>
      <c r="C1" s="1876"/>
      <c r="D1" s="1876"/>
      <c r="E1" s="1876"/>
      <c r="F1" s="1876"/>
      <c r="G1" s="1876"/>
      <c r="H1" s="1876"/>
      <c r="I1" s="1876"/>
      <c r="J1" s="1877"/>
      <c r="K1" s="355"/>
    </row>
    <row r="2" spans="1:11" s="401" customFormat="1" ht="69">
      <c r="A2" s="398"/>
      <c r="B2" s="399" t="s">
        <v>1026</v>
      </c>
      <c r="C2" s="399" t="s">
        <v>1228</v>
      </c>
      <c r="D2" s="399" t="s">
        <v>1229</v>
      </c>
      <c r="E2" s="399" t="s">
        <v>1157</v>
      </c>
      <c r="F2" s="399" t="s">
        <v>1230</v>
      </c>
      <c r="G2" s="399" t="s">
        <v>1231</v>
      </c>
      <c r="H2" s="399" t="s">
        <v>1027</v>
      </c>
      <c r="I2" s="399" t="s">
        <v>1232</v>
      </c>
      <c r="J2" s="399" t="s">
        <v>1233</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4600000</v>
      </c>
      <c r="C4" s="362">
        <v>4600000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4600000</v>
      </c>
      <c r="C8" s="361">
        <f>SUM(C4:C7)</f>
        <v>4600000</v>
      </c>
      <c r="D8" s="361">
        <f>SUM(D4:D7)</f>
        <v>0</v>
      </c>
      <c r="E8" s="363"/>
      <c r="F8" s="363"/>
      <c r="G8" s="363"/>
      <c r="H8" s="363"/>
      <c r="I8" s="363"/>
      <c r="J8" s="363"/>
      <c r="K8" s="359"/>
    </row>
    <row r="9" spans="1:11" s="360" customFormat="1">
      <c r="A9" s="364" t="s">
        <v>593</v>
      </c>
      <c r="B9" s="361">
        <f>'Sources and Uses Budget'!C9</f>
        <v>9000000</v>
      </c>
      <c r="C9" s="362">
        <v>9000000</v>
      </c>
      <c r="D9" s="362"/>
      <c r="E9" s="363"/>
      <c r="F9" s="363"/>
      <c r="G9" s="363"/>
      <c r="H9" s="361">
        <f>'Sources and Uses Budget'!T9</f>
        <v>9000000</v>
      </c>
      <c r="I9" s="362">
        <v>9000000</v>
      </c>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9000000</v>
      </c>
      <c r="C11" s="361">
        <f>SUM(C9:C10)</f>
        <v>9000000</v>
      </c>
      <c r="D11" s="361">
        <f>SUM(D9:D10)</f>
        <v>0</v>
      </c>
      <c r="E11" s="363"/>
      <c r="F11" s="363"/>
      <c r="G11" s="363"/>
      <c r="H11" s="361">
        <f>'Sources and Uses Budget'!T11</f>
        <v>9000000</v>
      </c>
      <c r="I11" s="361">
        <f>SUM(I9:I10)</f>
        <v>9000000</v>
      </c>
      <c r="J11" s="361">
        <f>SUM(J9:J10)</f>
        <v>0</v>
      </c>
      <c r="K11" s="359"/>
    </row>
    <row r="12" spans="1:11" s="360" customFormat="1">
      <c r="A12" s="365" t="s">
        <v>84</v>
      </c>
      <c r="B12" s="361">
        <f>'Sources and Uses Budget'!C12</f>
        <v>13600000</v>
      </c>
      <c r="C12" s="361">
        <f>SUM(C8+C11)</f>
        <v>13600000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8330447</v>
      </c>
      <c r="C18" s="362">
        <v>8330447</v>
      </c>
      <c r="D18" s="362"/>
      <c r="E18" s="361">
        <f>'Sources and Uses Budget'!S18</f>
        <v>8330447</v>
      </c>
      <c r="F18" s="362">
        <v>8330447</v>
      </c>
      <c r="G18" s="362"/>
      <c r="H18" s="361">
        <f>'Sources and Uses Budget'!T18</f>
        <v>0</v>
      </c>
      <c r="I18" s="362"/>
      <c r="J18" s="362"/>
      <c r="K18" s="359"/>
    </row>
    <row r="19" spans="1:11" s="360" customFormat="1">
      <c r="A19" s="364" t="s">
        <v>599</v>
      </c>
      <c r="B19" s="361">
        <f>'Sources and Uses Budget'!C19</f>
        <v>541479</v>
      </c>
      <c r="C19" s="362">
        <v>541479</v>
      </c>
      <c r="D19" s="362"/>
      <c r="E19" s="361">
        <f>'Sources and Uses Budget'!S19</f>
        <v>541479</v>
      </c>
      <c r="F19" s="362">
        <v>541479</v>
      </c>
      <c r="G19" s="362"/>
      <c r="H19" s="361">
        <f>'Sources and Uses Budget'!T19</f>
        <v>0</v>
      </c>
      <c r="I19" s="362"/>
      <c r="J19" s="362"/>
      <c r="K19" s="359"/>
    </row>
    <row r="20" spans="1:11" s="360" customFormat="1">
      <c r="A20" s="364" t="s">
        <v>137</v>
      </c>
      <c r="B20" s="361">
        <f>'Sources and Uses Budget'!C20</f>
        <v>323825</v>
      </c>
      <c r="C20" s="362">
        <v>323825</v>
      </c>
      <c r="D20" s="362"/>
      <c r="E20" s="361">
        <f>'Sources and Uses Budget'!S20</f>
        <v>323825</v>
      </c>
      <c r="F20" s="362">
        <v>323825</v>
      </c>
      <c r="G20" s="362"/>
      <c r="H20" s="361">
        <f>'Sources and Uses Budget'!T20</f>
        <v>0</v>
      </c>
      <c r="I20" s="362"/>
      <c r="J20" s="362"/>
      <c r="K20" s="359"/>
    </row>
    <row r="21" spans="1:11" s="360" customFormat="1">
      <c r="A21" s="364" t="s">
        <v>138</v>
      </c>
      <c r="B21" s="361">
        <f>'Sources and Uses Budget'!C21</f>
        <v>323825</v>
      </c>
      <c r="C21" s="362">
        <v>323825</v>
      </c>
      <c r="D21" s="362"/>
      <c r="E21" s="361">
        <f>'Sources and Uses Budget'!S21</f>
        <v>323825</v>
      </c>
      <c r="F21" s="362">
        <v>323825</v>
      </c>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132192</v>
      </c>
      <c r="C23" s="362">
        <v>132192</v>
      </c>
      <c r="D23" s="362"/>
      <c r="E23" s="361">
        <f>'Sources and Uses Budget'!S23</f>
        <v>132192</v>
      </c>
      <c r="F23" s="362">
        <v>132192</v>
      </c>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(Payment and Performance Bond)</v>
      </c>
      <c r="B25" s="361">
        <f>'Sources and Uses Budget'!C25</f>
        <v>141398</v>
      </c>
      <c r="C25" s="362">
        <v>141398</v>
      </c>
      <c r="D25" s="362"/>
      <c r="E25" s="361">
        <f>'Sources and Uses Budget'!S25</f>
        <v>141398</v>
      </c>
      <c r="F25" s="362">
        <v>141398</v>
      </c>
      <c r="G25" s="362"/>
      <c r="H25" s="361">
        <f>'Sources and Uses Budget'!T25</f>
        <v>0</v>
      </c>
      <c r="I25" s="362"/>
      <c r="J25" s="362"/>
      <c r="K25" s="359"/>
    </row>
    <row r="26" spans="1:11" s="360" customFormat="1">
      <c r="A26" s="365" t="s">
        <v>133</v>
      </c>
      <c r="B26" s="361">
        <f>'Sources and Uses Budget'!C26</f>
        <v>9793166</v>
      </c>
      <c r="C26" s="361">
        <f>SUM(C17:C25)</f>
        <v>9793166</v>
      </c>
      <c r="D26" s="361">
        <f>SUM(D17:D25)</f>
        <v>0</v>
      </c>
      <c r="E26" s="361">
        <f>'Sources and Uses Budget'!S26</f>
        <v>9793166</v>
      </c>
      <c r="F26" s="367">
        <f>SUM(F17:F25)</f>
        <v>9793166</v>
      </c>
      <c r="G26" s="367">
        <f>SUM(G17:G25)</f>
        <v>0</v>
      </c>
      <c r="H26" s="361">
        <f>'Sources and Uses Budget'!T26</f>
        <v>0</v>
      </c>
      <c r="I26" s="367">
        <f>SUM(I17:I25)</f>
        <v>0</v>
      </c>
      <c r="J26" s="367">
        <f>SUM(J17:J25)</f>
        <v>0</v>
      </c>
      <c r="K26" s="359"/>
    </row>
    <row r="27" spans="1:11" s="360" customFormat="1">
      <c r="A27" s="365" t="s">
        <v>141</v>
      </c>
      <c r="B27" s="361">
        <f>'Sources and Uses Budget'!C27</f>
        <v>1163221</v>
      </c>
      <c r="C27" s="362">
        <v>1163221</v>
      </c>
      <c r="D27" s="362"/>
      <c r="E27" s="361">
        <f>'Sources and Uses Budget'!S27</f>
        <v>1163221</v>
      </c>
      <c r="F27" s="362">
        <v>1163221</v>
      </c>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597</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598</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599</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280000</v>
      </c>
      <c r="C40" s="362">
        <v>280000</v>
      </c>
      <c r="D40" s="362"/>
      <c r="E40" s="361">
        <f>'Sources and Uses Budget'!S40</f>
        <v>280000</v>
      </c>
      <c r="F40" s="362">
        <v>280000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280000</v>
      </c>
      <c r="C42" s="361">
        <f>SUM(C39:C41)</f>
        <v>280000</v>
      </c>
      <c r="D42" s="361">
        <f>SUM(D39:D41)</f>
        <v>0</v>
      </c>
      <c r="E42" s="361">
        <f>'Sources and Uses Budget'!S42</f>
        <v>280000</v>
      </c>
      <c r="F42" s="367">
        <f>SUM(F40:F41)</f>
        <v>280000</v>
      </c>
      <c r="G42" s="367">
        <f>SUM(G40:G41)</f>
        <v>0</v>
      </c>
      <c r="H42" s="361">
        <f>'Sources and Uses Budget'!T42</f>
        <v>0</v>
      </c>
      <c r="I42" s="367">
        <f>SUM(I40:I41)</f>
        <v>0</v>
      </c>
      <c r="J42" s="367">
        <f>SUM(J40:J41)</f>
        <v>0</v>
      </c>
      <c r="K42" s="359"/>
    </row>
    <row r="43" spans="1:11" s="360" customFormat="1">
      <c r="A43" s="365" t="s">
        <v>148</v>
      </c>
      <c r="B43" s="361">
        <f>'Sources and Uses Budget'!C43</f>
        <v>97900</v>
      </c>
      <c r="C43" s="362">
        <v>97900</v>
      </c>
      <c r="D43" s="362"/>
      <c r="E43" s="361">
        <f>'Sources and Uses Budget'!S43</f>
        <v>97900</v>
      </c>
      <c r="F43" s="362">
        <v>97900</v>
      </c>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1218196</v>
      </c>
      <c r="C45" s="362">
        <v>1218196</v>
      </c>
      <c r="D45" s="362"/>
      <c r="E45" s="361">
        <f>'Sources and Uses Budget'!S45</f>
        <v>481179</v>
      </c>
      <c r="F45" s="362">
        <v>481179</v>
      </c>
      <c r="G45" s="362"/>
      <c r="H45" s="361">
        <f>'Sources and Uses Budget'!T45</f>
        <v>0</v>
      </c>
      <c r="I45" s="362"/>
      <c r="J45" s="362"/>
      <c r="K45" s="359"/>
    </row>
    <row r="46" spans="1:11" s="360" customFormat="1">
      <c r="A46" s="364" t="s">
        <v>151</v>
      </c>
      <c r="B46" s="361">
        <f>'Sources and Uses Budget'!C46</f>
        <v>0</v>
      </c>
      <c r="C46" s="362"/>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363602</v>
      </c>
      <c r="C49" s="362">
        <v>363602</v>
      </c>
      <c r="D49" s="362"/>
      <c r="E49" s="361">
        <f>'Sources and Uses Budget'!S49</f>
        <v>223688</v>
      </c>
      <c r="F49" s="362">
        <v>223688</v>
      </c>
      <c r="G49" s="362"/>
      <c r="H49" s="361">
        <f>'Sources and Uses Budget'!T49</f>
        <v>0</v>
      </c>
      <c r="I49" s="362"/>
      <c r="J49" s="362"/>
      <c r="K49" s="359"/>
    </row>
    <row r="50" spans="1:11" s="360" customFormat="1">
      <c r="A50" s="364" t="s">
        <v>156</v>
      </c>
      <c r="B50" s="361">
        <f>'Sources and Uses Budget'!C50</f>
        <v>50000</v>
      </c>
      <c r="C50" s="362">
        <v>50000</v>
      </c>
      <c r="D50" s="362"/>
      <c r="E50" s="361">
        <f>'Sources and Uses Budget'!S50</f>
        <v>50000</v>
      </c>
      <c r="F50" s="362">
        <v>50000</v>
      </c>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300000</v>
      </c>
      <c r="C52" s="362">
        <v>300000</v>
      </c>
      <c r="D52" s="362"/>
      <c r="E52" s="361">
        <f>'Sources and Uses Budget'!S52</f>
        <v>300000</v>
      </c>
      <c r="F52" s="362">
        <v>300000</v>
      </c>
      <c r="G52" s="362"/>
      <c r="H52" s="361">
        <f>'Sources and Uses Budget'!T52</f>
        <v>0</v>
      </c>
      <c r="I52" s="362"/>
      <c r="J52" s="362"/>
      <c r="K52" s="359"/>
    </row>
    <row r="53" spans="1:11" s="360" customFormat="1" ht="23">
      <c r="A53" s="364" t="str">
        <f>'Sources and Uses Budget'!$A53</f>
        <v>Other: (Bank Construction Inspections &amp;Third Party Reports)</v>
      </c>
      <c r="B53" s="361">
        <f>'Sources and Uses Budget'!C53</f>
        <v>40000</v>
      </c>
      <c r="C53" s="362">
        <v>40000</v>
      </c>
      <c r="D53" s="362"/>
      <c r="E53" s="361">
        <f>'Sources and Uses Budget'!S53</f>
        <v>40000</v>
      </c>
      <c r="F53" s="362">
        <v>40000</v>
      </c>
      <c r="G53" s="362"/>
      <c r="H53" s="361">
        <f>'Sources and Uses Budget'!T53</f>
        <v>0</v>
      </c>
      <c r="I53" s="362"/>
      <c r="J53" s="362"/>
      <c r="K53" s="359"/>
    </row>
    <row r="54" spans="1:11" s="369" customFormat="1">
      <c r="A54" s="365" t="s">
        <v>157</v>
      </c>
      <c r="B54" s="361">
        <f>'Sources and Uses Budget'!C54</f>
        <v>1971798</v>
      </c>
      <c r="C54" s="367">
        <f>SUM(C45:C53)</f>
        <v>1971798</v>
      </c>
      <c r="D54" s="367">
        <f>SUM(D45:D53)</f>
        <v>0</v>
      </c>
      <c r="E54" s="361">
        <f>'Sources and Uses Budget'!S54</f>
        <v>1094867</v>
      </c>
      <c r="F54" s="367">
        <f>SUM(F45:F53)</f>
        <v>1094867</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30000</v>
      </c>
      <c r="C58" s="362">
        <v>30000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30000</v>
      </c>
      <c r="C62" s="361">
        <f>SUM(C56:C61)</f>
        <v>30000</v>
      </c>
      <c r="D62" s="361">
        <f>SUM(D56:D61)</f>
        <v>0</v>
      </c>
      <c r="E62" s="363"/>
      <c r="F62" s="363"/>
      <c r="G62" s="363"/>
      <c r="H62" s="363"/>
      <c r="I62" s="363"/>
      <c r="J62" s="363"/>
      <c r="K62" s="359"/>
    </row>
    <row r="63" spans="1:11" s="360" customFormat="1">
      <c r="A63" s="370" t="s">
        <v>301</v>
      </c>
      <c r="B63" s="361">
        <f>'Sources and Uses Budget'!C63</f>
        <v>26936085</v>
      </c>
      <c r="C63" s="361">
        <f>SUM(C8+C11+C13+C14+C15+C26+C27+C38+C42+C43+C54+C62)</f>
        <v>26936085</v>
      </c>
      <c r="D63" s="361">
        <f>SUM(D8+D11+D13+D14+D15+D26+D27+D38+D42+D43+D54+D62)</f>
        <v>0</v>
      </c>
      <c r="E63" s="361">
        <f>'Sources and Uses Budget'!S63</f>
        <v>12429154</v>
      </c>
      <c r="F63" s="361">
        <f>SUM(F10+F13+F14+F15+F26+F27+F38+F42+F43+F54)</f>
        <v>12429154</v>
      </c>
      <c r="G63" s="361">
        <f>SUM(G10+G13+G14+G15+G26+G27+G38+G42+G43+G54)</f>
        <v>0</v>
      </c>
      <c r="H63" s="361">
        <f>'Sources and Uses Budget'!T63</f>
        <v>9000000</v>
      </c>
      <c r="I63" s="361">
        <f>SUM(I11+I13+I14+I15+I26+I27+I38+I42+I43+I54)</f>
        <v>9000000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170</v>
      </c>
      <c r="B65" s="361">
        <f>'Sources and Uses Budget'!C65</f>
        <v>0</v>
      </c>
      <c r="C65" s="362"/>
      <c r="D65" s="362"/>
      <c r="E65" s="361">
        <f>'Sources and Uses Budget'!S65</f>
        <v>0</v>
      </c>
      <c r="F65" s="362"/>
      <c r="G65" s="362"/>
      <c r="H65" s="361">
        <f>'Sources and Uses Budget'!T65</f>
        <v>0</v>
      </c>
      <c r="I65" s="362"/>
      <c r="J65" s="362"/>
      <c r="K65" s="359"/>
    </row>
    <row r="66" spans="1:11" s="360" customFormat="1" ht="23">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ht="23">
      <c r="A69" s="364" t="str">
        <f>'Sources and Uses Budget'!$A69</f>
        <v>Other: (Applicant Legal, Including HUD Counsel)</v>
      </c>
      <c r="B69" s="361">
        <f>'Sources and Uses Budget'!C69</f>
        <v>85000</v>
      </c>
      <c r="C69" s="362">
        <v>85000</v>
      </c>
      <c r="D69" s="362"/>
      <c r="E69" s="361">
        <f>'Sources and Uses Budget'!S69</f>
        <v>40000</v>
      </c>
      <c r="F69" s="362">
        <v>40000</v>
      </c>
      <c r="G69" s="362"/>
      <c r="H69" s="361">
        <f>'Sources and Uses Budget'!T69</f>
        <v>0</v>
      </c>
      <c r="I69" s="362"/>
      <c r="J69" s="362"/>
      <c r="K69" s="359"/>
    </row>
    <row r="70" spans="1:11" s="360" customFormat="1">
      <c r="A70" s="365" t="s">
        <v>600</v>
      </c>
      <c r="B70" s="361">
        <f>'Sources and Uses Budget'!C70</f>
        <v>85000</v>
      </c>
      <c r="C70" s="361">
        <f>SUM(C64:C69)</f>
        <v>85000</v>
      </c>
      <c r="D70" s="361">
        <f>SUM(D64:D69)</f>
        <v>0</v>
      </c>
      <c r="E70" s="361">
        <f>'Sources and Uses Budget'!S70</f>
        <v>40000</v>
      </c>
      <c r="F70" s="367">
        <f>SUM(F65:F69)</f>
        <v>40000</v>
      </c>
      <c r="G70" s="367">
        <f>SUM(G65:G69)</f>
        <v>0</v>
      </c>
      <c r="H70" s="361">
        <f>'Sources and Uses Budget'!T70</f>
        <v>0</v>
      </c>
      <c r="I70" s="367">
        <f>SUM(I65:I69)</f>
        <v>0</v>
      </c>
      <c r="J70" s="367">
        <f>SUM(J65:J69)</f>
        <v>0</v>
      </c>
      <c r="K70" s="359"/>
    </row>
    <row r="71" spans="1:11" s="360" customFormat="1" ht="12">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213500</v>
      </c>
      <c r="C74" s="362">
        <v>213500</v>
      </c>
      <c r="D74" s="362"/>
      <c r="E74" s="363"/>
      <c r="F74" s="363"/>
      <c r="G74" s="363"/>
      <c r="H74" s="363"/>
      <c r="I74" s="363"/>
      <c r="J74" s="363"/>
      <c r="K74" s="359"/>
    </row>
    <row r="75" spans="1:11" s="360" customFormat="1">
      <c r="A75" s="364" t="s">
        <v>604</v>
      </c>
      <c r="B75" s="361">
        <f>'Sources and Uses Budget'!C75</f>
        <v>730878</v>
      </c>
      <c r="C75" s="362">
        <v>730878</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944378</v>
      </c>
      <c r="C77" s="361">
        <f>SUM(C72:C76)</f>
        <v>944378</v>
      </c>
      <c r="D77" s="361">
        <f>SUM(D72:D76)</f>
        <v>0</v>
      </c>
      <c r="E77" s="363"/>
      <c r="F77" s="363"/>
      <c r="G77" s="363"/>
      <c r="H77" s="363"/>
      <c r="I77" s="363"/>
      <c r="J77" s="363"/>
      <c r="K77" s="359"/>
    </row>
    <row r="78" spans="1:11" s="360" customFormat="1" ht="12">
      <c r="A78" s="357" t="s">
        <v>1209</v>
      </c>
      <c r="B78" s="358"/>
      <c r="C78" s="358"/>
      <c r="D78" s="358"/>
      <c r="E78" s="358"/>
      <c r="F78" s="358"/>
      <c r="G78" s="358"/>
      <c r="H78" s="358"/>
      <c r="I78" s="358"/>
      <c r="J78" s="358"/>
      <c r="K78" s="359"/>
    </row>
    <row r="79" spans="1:11" s="360" customFormat="1">
      <c r="A79" s="364" t="s">
        <v>1211</v>
      </c>
      <c r="B79" s="361">
        <f>'Sources and Uses Budget'!C79</f>
        <v>1468975</v>
      </c>
      <c r="C79" s="362">
        <v>1468975</v>
      </c>
      <c r="D79" s="362"/>
      <c r="E79" s="361">
        <f>'Sources and Uses Budget'!S79</f>
        <v>1468975</v>
      </c>
      <c r="F79" s="362">
        <v>1468975</v>
      </c>
      <c r="G79" s="362"/>
      <c r="H79" s="361">
        <f>'Sources and Uses Budget'!T79</f>
        <v>0</v>
      </c>
      <c r="I79" s="362"/>
      <c r="J79" s="362"/>
      <c r="K79" s="359"/>
    </row>
    <row r="80" spans="1:11" s="360" customFormat="1">
      <c r="A80" s="364" t="s">
        <v>58</v>
      </c>
      <c r="B80" s="361">
        <f>'Sources and Uses Budget'!C80</f>
        <v>150000</v>
      </c>
      <c r="C80" s="362">
        <v>150000</v>
      </c>
      <c r="D80" s="362"/>
      <c r="E80" s="361">
        <f>'Sources and Uses Budget'!S80</f>
        <v>150000</v>
      </c>
      <c r="F80" s="362">
        <v>150000</v>
      </c>
      <c r="G80" s="362"/>
      <c r="H80" s="361">
        <f>'Sources and Uses Budget'!T80</f>
        <v>0</v>
      </c>
      <c r="I80" s="362"/>
      <c r="J80" s="362"/>
      <c r="K80" s="359"/>
    </row>
    <row r="81" spans="1:11" s="360" customFormat="1">
      <c r="A81" s="365" t="s">
        <v>1208</v>
      </c>
      <c r="B81" s="361">
        <f>'Sources and Uses Budget'!C81</f>
        <v>1618975</v>
      </c>
      <c r="C81" s="361">
        <f>SUM(C79:C80)</f>
        <v>1618975</v>
      </c>
      <c r="D81" s="361">
        <f>SUM(D79:D80)</f>
        <v>0</v>
      </c>
      <c r="E81" s="361">
        <f>'Sources and Uses Budget'!S81</f>
        <v>1618975</v>
      </c>
      <c r="F81" s="361">
        <f>SUM(F79:F80)</f>
        <v>1618975</v>
      </c>
      <c r="G81" s="361">
        <f>SUM(G79:G80)</f>
        <v>0</v>
      </c>
      <c r="H81" s="361">
        <f>'Sources and Uses Budget'!T81</f>
        <v>0</v>
      </c>
      <c r="I81" s="361">
        <f>SUM(I79:I80)</f>
        <v>0</v>
      </c>
      <c r="J81" s="361">
        <f>SUM(J79:J80)</f>
        <v>0</v>
      </c>
      <c r="K81" s="359"/>
    </row>
    <row r="82" spans="1:11" s="360" customFormat="1" ht="12">
      <c r="A82" s="357" t="s">
        <v>764</v>
      </c>
      <c r="B82" s="358"/>
      <c r="C82" s="358"/>
      <c r="D82" s="358"/>
      <c r="E82" s="358"/>
      <c r="F82" s="358"/>
      <c r="G82" s="358"/>
      <c r="H82" s="358"/>
      <c r="I82" s="358"/>
      <c r="J82" s="358"/>
      <c r="K82" s="359"/>
    </row>
    <row r="83" spans="1:11" s="360" customFormat="1" ht="13.75" customHeight="1">
      <c r="A83" s="145" t="s">
        <v>2049</v>
      </c>
      <c r="B83" s="361">
        <f>'Sources and Uses Budget'!C83</f>
        <v>59749</v>
      </c>
      <c r="C83" s="362">
        <v>59749</v>
      </c>
      <c r="D83" s="362"/>
      <c r="E83" s="363"/>
      <c r="F83" s="363"/>
      <c r="G83" s="363"/>
      <c r="H83" s="363"/>
      <c r="I83" s="363"/>
      <c r="J83" s="363"/>
      <c r="K83" s="359"/>
    </row>
    <row r="84" spans="1:11" s="360" customFormat="1">
      <c r="A84" s="145" t="s">
        <v>766</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767</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768</v>
      </c>
      <c r="B86" s="361">
        <f>'Sources and Uses Budget'!C86</f>
        <v>100000</v>
      </c>
      <c r="C86" s="362">
        <v>100000</v>
      </c>
      <c r="D86" s="362"/>
      <c r="E86" s="361">
        <f>'Sources and Uses Budget'!S86</f>
        <v>100000</v>
      </c>
      <c r="F86" s="362">
        <v>100000</v>
      </c>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25000</v>
      </c>
      <c r="C88" s="362">
        <v>25000</v>
      </c>
      <c r="D88" s="362"/>
      <c r="E88" s="363"/>
      <c r="F88" s="363"/>
      <c r="G88" s="363"/>
      <c r="H88" s="363"/>
      <c r="I88" s="363"/>
      <c r="J88" s="363"/>
      <c r="K88" s="359"/>
    </row>
    <row r="89" spans="1:11" s="360" customFormat="1">
      <c r="A89" s="145" t="s">
        <v>771</v>
      </c>
      <c r="B89" s="361">
        <f>'Sources and Uses Budget'!C89</f>
        <v>300000</v>
      </c>
      <c r="C89" s="362">
        <v>300000</v>
      </c>
      <c r="D89" s="362"/>
      <c r="E89" s="361">
        <f>'Sources and Uses Budget'!S89</f>
        <v>300000</v>
      </c>
      <c r="F89" s="362">
        <v>300000</v>
      </c>
      <c r="G89" s="362"/>
      <c r="H89" s="361">
        <f>'Sources and Uses Budget'!T89</f>
        <v>0</v>
      </c>
      <c r="I89" s="362"/>
      <c r="J89" s="362"/>
      <c r="K89" s="359"/>
    </row>
    <row r="90" spans="1:11" s="360" customFormat="1">
      <c r="A90" s="145" t="s">
        <v>772</v>
      </c>
      <c r="B90" s="361">
        <f>'Sources and Uses Budget'!C90</f>
        <v>5500</v>
      </c>
      <c r="C90" s="362">
        <v>5500</v>
      </c>
      <c r="D90" s="362"/>
      <c r="E90" s="361">
        <f>'Sources and Uses Budget'!S90</f>
        <v>0</v>
      </c>
      <c r="F90" s="362"/>
      <c r="G90" s="362"/>
      <c r="H90" s="361">
        <f>'Sources and Uses Budget'!T90</f>
        <v>0</v>
      </c>
      <c r="I90" s="362"/>
      <c r="J90" s="362"/>
      <c r="K90" s="359"/>
    </row>
    <row r="91" spans="1:11" s="360" customFormat="1">
      <c r="A91" s="155" t="s">
        <v>371</v>
      </c>
      <c r="B91" s="361">
        <f>'Sources and Uses Budget'!C91</f>
        <v>30000</v>
      </c>
      <c r="C91" s="362">
        <v>30000</v>
      </c>
      <c r="D91" s="362"/>
      <c r="E91" s="361">
        <f>'Sources and Uses Budget'!S91</f>
        <v>0</v>
      </c>
      <c r="F91" s="362"/>
      <c r="G91" s="362"/>
      <c r="H91" s="361">
        <f>'Sources and Uses Budget'!T91</f>
        <v>0</v>
      </c>
      <c r="I91" s="362"/>
      <c r="J91" s="362"/>
      <c r="K91" s="359"/>
    </row>
    <row r="92" spans="1:11" s="360" customFormat="1">
      <c r="A92" s="508" t="s">
        <v>1210</v>
      </c>
      <c r="B92" s="361">
        <f>'Sources and Uses Budget'!C92</f>
        <v>10000</v>
      </c>
      <c r="C92" s="362">
        <v>10000</v>
      </c>
      <c r="D92" s="362"/>
      <c r="E92" s="361">
        <f>'Sources and Uses Budget'!S92</f>
        <v>0</v>
      </c>
      <c r="F92" s="362"/>
      <c r="G92" s="362"/>
      <c r="H92" s="361">
        <f>'Sources and Uses Budget'!T92</f>
        <v>6618</v>
      </c>
      <c r="I92" s="362">
        <v>6618</v>
      </c>
      <c r="J92" s="362"/>
      <c r="K92" s="359"/>
    </row>
    <row r="93" spans="1:11" s="360" customFormat="1">
      <c r="A93" s="364" t="str">
        <f>'Sources and Uses Budget'!$A93</f>
        <v>Other: (Document Transfer Tax)</v>
      </c>
      <c r="B93" s="361">
        <f>'Sources and Uses Budget'!C93</f>
        <v>76160</v>
      </c>
      <c r="C93" s="362">
        <v>76160</v>
      </c>
      <c r="D93" s="362"/>
      <c r="E93" s="361">
        <f>'Sources and Uses Budget'!S93</f>
        <v>0</v>
      </c>
      <c r="F93" s="362"/>
      <c r="G93" s="362"/>
      <c r="H93" s="361">
        <f>'Sources and Uses Budget'!T93</f>
        <v>50400</v>
      </c>
      <c r="I93" s="362">
        <v>50400</v>
      </c>
      <c r="J93" s="362"/>
      <c r="K93" s="359"/>
    </row>
    <row r="94" spans="1:11" s="360" customFormat="1" ht="23">
      <c r="A94" s="364" t="str">
        <f>'Sources and Uses Budget'!$A94</f>
        <v>Other: (Accrued Interest - Seller and LAHD Loan))</v>
      </c>
      <c r="B94" s="361">
        <f>'Sources and Uses Budget'!C94</f>
        <v>1268536</v>
      </c>
      <c r="C94" s="362">
        <v>1268536</v>
      </c>
      <c r="D94" s="362"/>
      <c r="E94" s="361">
        <f>'Sources and Uses Budget'!S94</f>
        <v>701141</v>
      </c>
      <c r="F94" s="362">
        <v>701141</v>
      </c>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1874945</v>
      </c>
      <c r="C96" s="361">
        <f>SUM(C83:C95)</f>
        <v>1874945</v>
      </c>
      <c r="D96" s="361">
        <f>SUM(D83:D95)</f>
        <v>0</v>
      </c>
      <c r="E96" s="361">
        <f>'Sources and Uses Budget'!S96</f>
        <v>1101141</v>
      </c>
      <c r="F96" s="367">
        <f>SUM(F84:F87,F89:F95)</f>
        <v>1101141</v>
      </c>
      <c r="G96" s="367">
        <f>SUM(G84:G87,G89:G95)</f>
        <v>0</v>
      </c>
      <c r="H96" s="361">
        <f>'Sources and Uses Budget'!T96</f>
        <v>57018</v>
      </c>
      <c r="I96" s="361">
        <f>SUM(I84:I87,I89:I95)</f>
        <v>57018</v>
      </c>
      <c r="J96" s="361">
        <f>SUM(J84:J87,J89:J95)</f>
        <v>0</v>
      </c>
      <c r="K96" s="359"/>
    </row>
    <row r="97" spans="1:11" s="360" customFormat="1">
      <c r="A97" s="365" t="s">
        <v>1028</v>
      </c>
      <c r="B97" s="361">
        <f>'Sources and Uses Budget'!C97</f>
        <v>31459383</v>
      </c>
      <c r="C97" s="361">
        <f>SUM(C63+C70+C77+C81+C96)</f>
        <v>31459383</v>
      </c>
      <c r="D97" s="361">
        <f>SUM(D63+D70+D77+D81+D96)</f>
        <v>0</v>
      </c>
      <c r="E97" s="361">
        <f>'Sources and Uses Budget'!S97</f>
        <v>15189270</v>
      </c>
      <c r="F97" s="367">
        <f>SUM(+F63+F70+F81+F96)</f>
        <v>15189270</v>
      </c>
      <c r="G97" s="367">
        <f>SUM(+G63+G70+G81+G96)</f>
        <v>0</v>
      </c>
      <c r="H97" s="361">
        <f>'Sources and Uses Budget'!T97</f>
        <v>9057018</v>
      </c>
      <c r="I97" s="367">
        <f>SUM(I63+I70+I81+I96)</f>
        <v>9057018</v>
      </c>
      <c r="J97" s="367">
        <f>SUM(J63+J70+J81+J96)</f>
        <v>0</v>
      </c>
      <c r="K97" s="359"/>
    </row>
    <row r="98" spans="1:11" s="360" customFormat="1" ht="12">
      <c r="A98" s="357" t="s">
        <v>775</v>
      </c>
      <c r="B98" s="358"/>
      <c r="C98" s="358"/>
      <c r="D98" s="358"/>
      <c r="E98" s="358"/>
      <c r="F98" s="358"/>
      <c r="G98" s="358"/>
      <c r="H98" s="358"/>
      <c r="I98" s="358"/>
      <c r="J98" s="358"/>
      <c r="K98" s="359"/>
    </row>
    <row r="99" spans="1:11" s="360" customFormat="1">
      <c r="A99" s="145" t="s">
        <v>776</v>
      </c>
      <c r="B99" s="361">
        <f>'Sources and Uses Budget'!C99</f>
        <v>3636942</v>
      </c>
      <c r="C99" s="362">
        <v>3636942</v>
      </c>
      <c r="D99" s="362"/>
      <c r="E99" s="361">
        <f>'Sources and Uses Budget'!S99</f>
        <v>2278390</v>
      </c>
      <c r="F99" s="362">
        <v>2278390</v>
      </c>
      <c r="G99" s="362"/>
      <c r="H99" s="361">
        <f>'Sources and Uses Budget'!T99</f>
        <v>1358552</v>
      </c>
      <c r="I99" s="362">
        <v>1358552</v>
      </c>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3636942</v>
      </c>
      <c r="C104" s="361">
        <f>SUM(C99:C103)</f>
        <v>3636942</v>
      </c>
      <c r="D104" s="361">
        <f>SUM(D99:D103)</f>
        <v>0</v>
      </c>
      <c r="E104" s="361">
        <f>'Sources and Uses Budget'!S104</f>
        <v>2278390</v>
      </c>
      <c r="F104" s="367">
        <f>SUM(F99:F103)</f>
        <v>2278390</v>
      </c>
      <c r="G104" s="367">
        <f>SUM(G99:G103)</f>
        <v>0</v>
      </c>
      <c r="H104" s="361">
        <f>'Sources and Uses Budget'!T104</f>
        <v>1358552</v>
      </c>
      <c r="I104" s="367">
        <f>SUM(I99:I103)</f>
        <v>1358552</v>
      </c>
      <c r="J104" s="367">
        <f>SUM(J99:J103)</f>
        <v>0</v>
      </c>
      <c r="K104" s="359"/>
    </row>
    <row r="105" spans="1:11" s="360" customFormat="1">
      <c r="A105" s="365" t="s">
        <v>1029</v>
      </c>
      <c r="B105" s="361">
        <f>'Sources and Uses Budget'!C105</f>
        <v>35096325</v>
      </c>
      <c r="C105" s="367">
        <f>SUM(C97+C104)</f>
        <v>35096325</v>
      </c>
      <c r="D105" s="367">
        <f>SUM(D97+D104)</f>
        <v>0</v>
      </c>
      <c r="E105" s="361">
        <f>'Sources and Uses Budget'!S105</f>
        <v>17467660</v>
      </c>
      <c r="F105" s="367">
        <f>F97+F104</f>
        <v>17467660</v>
      </c>
      <c r="G105" s="367">
        <f>G97+G104</f>
        <v>0</v>
      </c>
      <c r="H105" s="361">
        <f>'Sources and Uses Budget'!T105</f>
        <v>10415570</v>
      </c>
      <c r="I105" s="367">
        <f>I97+I104</f>
        <v>10415570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17467660</v>
      </c>
      <c r="F107" s="367">
        <f>F105+F106</f>
        <v>17467660</v>
      </c>
      <c r="G107" s="367">
        <f>G105+G106</f>
        <v>0</v>
      </c>
      <c r="H107" s="361">
        <f>'Sources and Uses Budget'!T107</f>
        <v>10415570</v>
      </c>
      <c r="I107" s="367">
        <f>I105+I106</f>
        <v>10415570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3"/>
      <c r="E124" s="1323"/>
      <c r="F124" s="1323"/>
      <c r="G124" s="1323"/>
      <c r="H124" s="1323"/>
      <c r="I124" s="1323"/>
      <c r="J124" s="376"/>
      <c r="K124" s="359"/>
    </row>
    <row r="125" spans="1:11" s="360" customFormat="1" ht="12.5">
      <c r="A125" s="385"/>
      <c r="B125" s="384"/>
      <c r="C125" s="385"/>
      <c r="D125" s="1323"/>
      <c r="E125" s="1323"/>
      <c r="F125" s="1323"/>
      <c r="G125" s="1323"/>
      <c r="H125" s="1323"/>
      <c r="I125" s="1323"/>
      <c r="J125" s="376"/>
      <c r="K125" s="359"/>
    </row>
    <row r="126" spans="1:11" s="360" customFormat="1" ht="12.5">
      <c r="A126" s="385"/>
      <c r="B126" s="384"/>
      <c r="C126" s="385"/>
      <c r="D126" s="1323"/>
      <c r="E126" s="1323"/>
      <c r="F126" s="1323"/>
      <c r="G126" s="1323"/>
      <c r="H126" s="1323"/>
      <c r="I126" s="1323"/>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23"/>
      <c r="C139" s="1323"/>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265625" defaultRowHeight="15.75" customHeight="1"/>
  <cols>
    <col min="1" max="8" width="2.7265625" style="1204"/>
    <col min="9" max="9" width="7.7265625" style="1204" customWidth="1"/>
    <col min="10" max="13" width="2.7265625" style="1204"/>
    <col min="14" max="14" width="4.7265625" style="1204" customWidth="1"/>
    <col min="15" max="19" width="2.7265625" style="1204"/>
    <col min="20" max="20" width="3.7265625" style="1204" customWidth="1"/>
    <col min="21" max="37" width="2.7265625" style="1204"/>
    <col min="38" max="38" width="3" style="1204" customWidth="1"/>
    <col min="39" max="45" width="2.7265625" style="1204"/>
    <col min="46" max="46" width="4.7265625" style="1204" customWidth="1"/>
    <col min="47" max="51" width="2.7265625" style="1204"/>
    <col min="52" max="52" width="3.54296875" style="1204" customWidth="1"/>
    <col min="53" max="53" width="2.7265625" style="1204"/>
    <col min="54" max="54" width="4.453125" style="1204" customWidth="1"/>
    <col min="55" max="64" width="2.7265625" style="1204"/>
    <col min="65" max="65" width="10.453125" style="1204" hidden="1" customWidth="1"/>
    <col min="66" max="66" width="5.54296875" style="1205" bestFit="1" customWidth="1"/>
    <col min="67" max="68" width="5.54296875" style="1205" customWidth="1"/>
    <col min="69" max="69" width="8" style="1205" customWidth="1"/>
    <col min="70" max="70" width="6" style="1205" customWidth="1"/>
    <col min="71" max="71" width="6.1796875" style="1205" customWidth="1"/>
    <col min="72" max="76" width="5.54296875" style="1205" customWidth="1"/>
    <col min="77" max="77" width="6.1796875" style="1205" bestFit="1" customWidth="1"/>
    <col min="78" max="78" width="5.54296875" style="1204" bestFit="1" customWidth="1"/>
    <col min="79" max="16384" width="2.7265625" style="1204"/>
  </cols>
  <sheetData>
    <row r="1" spans="1:65" ht="15.75" customHeight="1">
      <c r="A1" s="1886" t="s">
        <v>2388</v>
      </c>
      <c r="B1" s="1887"/>
      <c r="C1" s="1887"/>
      <c r="D1" s="1887"/>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1887"/>
      <c r="AN1" s="1887"/>
      <c r="AO1" s="1887"/>
      <c r="AP1" s="1887"/>
      <c r="AQ1" s="1887"/>
      <c r="AR1" s="1887"/>
      <c r="AS1" s="1887"/>
      <c r="AT1" s="1887"/>
      <c r="AU1" s="1887"/>
      <c r="AV1" s="1887"/>
      <c r="AW1" s="1887"/>
      <c r="AX1" s="1887"/>
      <c r="AY1" s="1887"/>
      <c r="AZ1" s="1887"/>
      <c r="BA1" s="1887"/>
      <c r="BB1" s="1887"/>
      <c r="BC1" s="1887"/>
      <c r="BD1" s="1887"/>
      <c r="BE1" s="1888"/>
    </row>
    <row r="2" spans="1:65" ht="15.75" customHeight="1">
      <c r="A2" s="1889" t="s">
        <v>2387</v>
      </c>
      <c r="B2" s="1890"/>
      <c r="C2" s="1890"/>
      <c r="D2" s="1890"/>
      <c r="E2" s="1890"/>
      <c r="F2" s="1890"/>
      <c r="G2" s="1890"/>
      <c r="H2" s="1890"/>
      <c r="I2" s="1890"/>
      <c r="J2" s="1890"/>
      <c r="K2" s="1890"/>
      <c r="L2" s="1890"/>
      <c r="M2" s="1890"/>
      <c r="N2" s="1890"/>
      <c r="O2" s="1890"/>
      <c r="P2" s="1890"/>
      <c r="Q2" s="1890"/>
      <c r="R2" s="1890"/>
      <c r="S2" s="1890"/>
      <c r="T2" s="1890"/>
      <c r="U2" s="1890"/>
      <c r="V2" s="1890"/>
      <c r="W2" s="1890"/>
      <c r="X2" s="1890"/>
      <c r="Y2" s="1890"/>
      <c r="Z2" s="1890"/>
      <c r="AA2" s="1890"/>
      <c r="AB2" s="1890"/>
      <c r="AC2" s="1890"/>
      <c r="AD2" s="1890"/>
      <c r="AE2" s="1890"/>
      <c r="AF2" s="1890"/>
      <c r="AG2" s="1890"/>
      <c r="AH2" s="1890"/>
      <c r="AI2" s="1890"/>
      <c r="AJ2" s="1890"/>
      <c r="AK2" s="1890"/>
      <c r="AL2" s="1890"/>
      <c r="AM2" s="1890"/>
      <c r="AN2" s="1890"/>
      <c r="AO2" s="1890"/>
      <c r="AP2" s="1890"/>
      <c r="AQ2" s="1890"/>
      <c r="AR2" s="1890"/>
      <c r="AS2" s="1890"/>
      <c r="AT2" s="1890"/>
      <c r="AU2" s="1890"/>
      <c r="AV2" s="1890"/>
      <c r="AW2" s="1890"/>
      <c r="AX2" s="1890"/>
      <c r="AY2" s="1890"/>
      <c r="AZ2" s="1890"/>
      <c r="BA2" s="1890"/>
      <c r="BB2" s="1890"/>
      <c r="BC2" s="1890"/>
      <c r="BD2" s="1890"/>
      <c r="BE2" s="1891"/>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2" t="s">
        <v>2592</v>
      </c>
      <c r="AY3" s="1893"/>
      <c r="AZ3" s="1893"/>
      <c r="BA3" s="1894"/>
      <c r="BB3" s="1892" t="s">
        <v>2593</v>
      </c>
      <c r="BC3" s="1893"/>
      <c r="BD3" s="1893"/>
      <c r="BE3" s="1894"/>
    </row>
    <row r="4" spans="1:65" ht="15.75" customHeight="1" thickBot="1">
      <c r="A4" s="1207"/>
      <c r="B4" s="1209" t="s">
        <v>655</v>
      </c>
      <c r="C4" s="1209"/>
      <c r="D4" s="1209"/>
      <c r="E4" s="1209"/>
      <c r="F4" s="1209"/>
      <c r="G4" s="1208"/>
      <c r="H4" s="1208"/>
      <c r="I4" s="1208"/>
      <c r="J4" s="1208"/>
      <c r="K4" s="1208"/>
      <c r="L4" s="1881" t="str">
        <f>IF(Application!H18="","",Application!H18)</f>
        <v>George McDonald Court</v>
      </c>
      <c r="M4" s="1882"/>
      <c r="N4" s="1882"/>
      <c r="O4" s="1882"/>
      <c r="P4" s="1882"/>
      <c r="Q4" s="1882"/>
      <c r="R4" s="1882"/>
      <c r="S4" s="1882"/>
      <c r="T4" s="1882"/>
      <c r="U4" s="1882"/>
      <c r="V4" s="1882"/>
      <c r="W4" s="1882"/>
      <c r="X4" s="1882"/>
      <c r="Y4" s="1882"/>
      <c r="Z4" s="1882"/>
      <c r="AA4" s="1882"/>
      <c r="AB4" s="1882"/>
      <c r="AC4" s="1883"/>
      <c r="AD4" s="1208"/>
      <c r="AE4" s="1208"/>
      <c r="AF4" s="1895" t="s">
        <v>2386</v>
      </c>
      <c r="AG4" s="1895"/>
      <c r="AH4" s="1895"/>
      <c r="AI4" s="1895"/>
      <c r="AJ4" s="1895"/>
      <c r="AK4" s="1895"/>
      <c r="AL4" s="1895"/>
      <c r="AM4" s="1895"/>
      <c r="AN4" s="1895"/>
      <c r="AO4" s="1895"/>
      <c r="AP4" s="1896"/>
      <c r="AQ4" s="1897"/>
      <c r="AR4" s="1897"/>
      <c r="AS4" s="1897"/>
      <c r="AT4" s="1897"/>
      <c r="AU4" s="1897"/>
      <c r="AV4" s="1208"/>
      <c r="AW4" s="1208"/>
      <c r="AX4" s="1878" t="s">
        <v>2594</v>
      </c>
      <c r="AY4" s="1879"/>
      <c r="AZ4" s="1879"/>
      <c r="BA4" s="1880"/>
      <c r="BB4" s="1210">
        <f t="array" ref="BB4">ROUNDDOWN(SUM(IF((B19:I27&gt;0)*(B19:I27&lt;=30%),J19:O27,0))/J29,2)</f>
        <v>0.49</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5" t="s">
        <v>2385</v>
      </c>
      <c r="AG5" s="1895"/>
      <c r="AH5" s="1895"/>
      <c r="AI5" s="1895"/>
      <c r="AJ5" s="1895"/>
      <c r="AK5" s="1895"/>
      <c r="AL5" s="1895"/>
      <c r="AM5" s="1895"/>
      <c r="AN5" s="1895"/>
      <c r="AO5" s="1895"/>
      <c r="AP5" s="1896"/>
      <c r="AQ5" s="1897"/>
      <c r="AR5" s="1897"/>
      <c r="AS5" s="1897"/>
      <c r="AT5" s="1897"/>
      <c r="AU5" s="1897"/>
      <c r="AV5" s="1208"/>
      <c r="AW5" s="1208"/>
      <c r="AX5" s="1878" t="s">
        <v>2595</v>
      </c>
      <c r="AY5" s="1879"/>
      <c r="AZ5" s="1879"/>
      <c r="BA5" s="1880"/>
      <c r="BB5" s="1210">
        <f t="array" ref="BB5">ROUNDDOWN(SUM(IF((B19:I27&gt;0%)*(B19:I27&lt;=50%),J19:O27,0))/J29,2)</f>
        <v>0.98</v>
      </c>
      <c r="BC5" s="1211"/>
      <c r="BD5" s="1211"/>
      <c r="BE5" s="1212"/>
    </row>
    <row r="6" spans="1:65" ht="15.75" customHeight="1" thickBot="1">
      <c r="A6" s="1207"/>
      <c r="B6" s="1209" t="s">
        <v>2384</v>
      </c>
      <c r="C6" s="1208"/>
      <c r="D6" s="1208"/>
      <c r="E6" s="1208"/>
      <c r="F6" s="1208"/>
      <c r="G6" s="1208"/>
      <c r="H6" s="1208"/>
      <c r="I6" s="1208"/>
      <c r="J6" s="1208"/>
      <c r="K6" s="1208"/>
      <c r="L6" s="1881" t="str">
        <f>IF(Application!H16="","",Application!H16)</f>
        <v>George McDonald Court LP</v>
      </c>
      <c r="M6" s="1882"/>
      <c r="N6" s="1882"/>
      <c r="O6" s="1882"/>
      <c r="P6" s="1882"/>
      <c r="Q6" s="1882"/>
      <c r="R6" s="1882"/>
      <c r="S6" s="1882"/>
      <c r="T6" s="1882"/>
      <c r="U6" s="1882"/>
      <c r="V6" s="1882"/>
      <c r="W6" s="1882"/>
      <c r="X6" s="1882"/>
      <c r="Y6" s="1882"/>
      <c r="Z6" s="1882"/>
      <c r="AA6" s="1882"/>
      <c r="AB6" s="1882"/>
      <c r="AC6" s="1883"/>
      <c r="AD6" s="1208"/>
      <c r="AE6" s="1208"/>
      <c r="AF6" s="1884" t="s">
        <v>2383</v>
      </c>
      <c r="AG6" s="1884"/>
      <c r="AH6" s="1884"/>
      <c r="AI6" s="1884"/>
      <c r="AJ6" s="1884"/>
      <c r="AK6" s="1884"/>
      <c r="AL6" s="1884"/>
      <c r="AM6" s="1884"/>
      <c r="AN6" s="1884"/>
      <c r="AO6" s="1884"/>
      <c r="AP6" s="1885"/>
      <c r="AQ6" s="1885"/>
      <c r="AR6" s="1885"/>
      <c r="AS6" s="1885"/>
      <c r="AT6" s="1885"/>
      <c r="AU6" s="1885"/>
      <c r="AV6" s="1208"/>
      <c r="AW6" s="1208"/>
      <c r="AX6" s="1878" t="s">
        <v>2596</v>
      </c>
      <c r="AY6" s="1879"/>
      <c r="AZ6" s="1879"/>
      <c r="BA6" s="1880"/>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4" t="s">
        <v>2382</v>
      </c>
      <c r="AG7" s="1884"/>
      <c r="AH7" s="1884"/>
      <c r="AI7" s="1884"/>
      <c r="AJ7" s="1884"/>
      <c r="AK7" s="1884"/>
      <c r="AL7" s="1884"/>
      <c r="AM7" s="1884"/>
      <c r="AN7" s="1884"/>
      <c r="AO7" s="1884"/>
      <c r="AP7" s="1885"/>
      <c r="AQ7" s="1885"/>
      <c r="AR7" s="1885"/>
      <c r="AS7" s="1885"/>
      <c r="AT7" s="1885"/>
      <c r="AU7" s="1885"/>
      <c r="AV7" s="1208"/>
      <c r="AW7" s="1208"/>
      <c r="AX7" s="1208"/>
      <c r="AY7" s="1208"/>
      <c r="AZ7" s="1208"/>
      <c r="BA7" s="1208"/>
      <c r="BB7" s="1208"/>
      <c r="BC7" s="1208"/>
      <c r="BD7" s="1208"/>
      <c r="BE7" s="1213"/>
    </row>
    <row r="8" spans="1:65" ht="15" thickBot="1">
      <c r="A8" s="1207"/>
      <c r="B8" s="1209" t="s">
        <v>2633</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898" t="str">
        <f>Application!T197</f>
        <v>No</v>
      </c>
      <c r="AC8" s="1899"/>
      <c r="AD8" s="1900"/>
      <c r="AE8" s="1208"/>
      <c r="AF8" s="1884" t="s">
        <v>2381</v>
      </c>
      <c r="AG8" s="1884"/>
      <c r="AH8" s="1884"/>
      <c r="AI8" s="1884"/>
      <c r="AJ8" s="1884"/>
      <c r="AK8" s="1884"/>
      <c r="AL8" s="1884"/>
      <c r="AM8" s="1884"/>
      <c r="AN8" s="1884"/>
      <c r="AO8" s="1884"/>
      <c r="AP8" s="1885" t="s">
        <v>2053</v>
      </c>
      <c r="AQ8" s="1885"/>
      <c r="AR8" s="1885"/>
      <c r="AS8" s="1885"/>
      <c r="AT8" s="1885"/>
      <c r="AU8" s="1885"/>
      <c r="AV8" s="1208"/>
      <c r="AW8" s="1208"/>
      <c r="AX8" s="1208"/>
      <c r="AY8" s="1208"/>
      <c r="AZ8" s="1208"/>
      <c r="BA8" s="1208"/>
      <c r="BB8" s="1208"/>
      <c r="BC8" s="1208"/>
      <c r="BD8" s="1208"/>
      <c r="BE8" s="1213"/>
      <c r="BM8" s="1204" t="s">
        <v>1956</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5" t="s">
        <v>2380</v>
      </c>
      <c r="AG9" s="1895"/>
      <c r="AH9" s="1895"/>
      <c r="AI9" s="1895"/>
      <c r="AJ9" s="1895"/>
      <c r="AK9" s="1895"/>
      <c r="AL9" s="1895"/>
      <c r="AM9" s="1895"/>
      <c r="AN9" s="1895"/>
      <c r="AO9" s="1895"/>
      <c r="AP9" s="1896"/>
      <c r="AQ9" s="1897"/>
      <c r="AR9" s="1897"/>
      <c r="AS9" s="1897"/>
      <c r="AT9" s="1897"/>
      <c r="AU9" s="1897"/>
      <c r="AV9" s="1208"/>
      <c r="AW9" s="1208"/>
      <c r="AX9" s="1208"/>
      <c r="AY9" s="1208"/>
      <c r="AZ9" s="1208"/>
      <c r="BA9" s="1208"/>
      <c r="BB9" s="1208"/>
      <c r="BC9" s="1208"/>
      <c r="BD9" s="1208"/>
      <c r="BE9" s="1213"/>
      <c r="BM9" s="1204" t="s">
        <v>2379</v>
      </c>
    </row>
    <row r="10" spans="1:65" ht="14.5">
      <c r="A10" s="1207"/>
      <c r="B10" s="1209" t="s">
        <v>2378</v>
      </c>
      <c r="C10" s="1209"/>
      <c r="D10" s="1209"/>
      <c r="E10" s="1209"/>
      <c r="F10" s="1209"/>
      <c r="G10" s="1209"/>
      <c r="H10" s="1209"/>
      <c r="I10" s="1209"/>
      <c r="J10" s="1209"/>
      <c r="K10" s="1209"/>
      <c r="L10" s="1209"/>
      <c r="M10" s="1208"/>
      <c r="N10" s="1913">
        <f>Application!AO635</f>
        <v>7031000</v>
      </c>
      <c r="O10" s="1913"/>
      <c r="P10" s="1913"/>
      <c r="Q10" s="1913"/>
      <c r="R10" s="1913"/>
      <c r="S10" s="1913"/>
      <c r="T10" s="1913"/>
      <c r="U10" s="1208"/>
      <c r="V10" s="1208"/>
      <c r="W10" s="1208"/>
      <c r="X10" s="1214"/>
      <c r="Y10" s="1214"/>
      <c r="Z10" s="1214"/>
      <c r="AA10" s="1214"/>
      <c r="AB10" s="1214"/>
      <c r="AC10" s="1214"/>
      <c r="AD10" s="1214"/>
      <c r="AE10" s="1214"/>
      <c r="AF10" s="1895" t="s">
        <v>2377</v>
      </c>
      <c r="AG10" s="1895"/>
      <c r="AH10" s="1895"/>
      <c r="AI10" s="1895"/>
      <c r="AJ10" s="1895"/>
      <c r="AK10" s="1895"/>
      <c r="AL10" s="1895"/>
      <c r="AM10" s="1895"/>
      <c r="AN10" s="1895"/>
      <c r="AO10" s="1895"/>
      <c r="AP10" s="1896"/>
      <c r="AQ10" s="1897"/>
      <c r="AR10" s="1897"/>
      <c r="AS10" s="1897"/>
      <c r="AT10" s="1897"/>
      <c r="AU10" s="1897"/>
      <c r="AV10" s="1214"/>
      <c r="AW10" s="1214"/>
      <c r="AX10" s="1208"/>
      <c r="AY10" s="1208"/>
      <c r="AZ10" s="1208"/>
      <c r="BA10" s="1208"/>
      <c r="BB10" s="1208"/>
      <c r="BC10" s="1208"/>
      <c r="BD10" s="1208"/>
      <c r="BE10" s="1213"/>
      <c r="BM10" s="1204" t="s">
        <v>2376</v>
      </c>
    </row>
    <row r="11" spans="1:65" ht="14.5">
      <c r="A11" s="1207"/>
      <c r="B11" s="1209" t="s">
        <v>2375</v>
      </c>
      <c r="C11" s="1209"/>
      <c r="D11" s="1209"/>
      <c r="E11" s="1209"/>
      <c r="F11" s="1209"/>
      <c r="G11" s="1209"/>
      <c r="H11" s="1209"/>
      <c r="I11" s="1209"/>
      <c r="J11" s="1209"/>
      <c r="K11" s="1209"/>
      <c r="L11" s="1209"/>
      <c r="M11" s="1208"/>
      <c r="N11" s="1913">
        <f>Application!AA943</f>
        <v>0</v>
      </c>
      <c r="O11" s="1913"/>
      <c r="P11" s="1913"/>
      <c r="Q11" s="1913"/>
      <c r="R11" s="1913"/>
      <c r="S11" s="1913"/>
      <c r="T11" s="1913"/>
      <c r="U11" s="1208"/>
      <c r="V11" s="1208"/>
      <c r="W11" s="1208"/>
      <c r="X11" s="1214"/>
      <c r="Y11" s="1214"/>
      <c r="Z11" s="1214"/>
      <c r="AA11" s="1214"/>
      <c r="AB11" s="1214"/>
      <c r="AC11" s="1214"/>
      <c r="AD11" s="1214"/>
      <c r="AE11" s="1214"/>
      <c r="AF11" s="1895" t="s">
        <v>2374</v>
      </c>
      <c r="AG11" s="1895"/>
      <c r="AH11" s="1895"/>
      <c r="AI11" s="1895"/>
      <c r="AJ11" s="1895"/>
      <c r="AK11" s="1895"/>
      <c r="AL11" s="1895"/>
      <c r="AM11" s="1895"/>
      <c r="AN11" s="1895"/>
      <c r="AO11" s="1895"/>
      <c r="AP11" s="1896"/>
      <c r="AQ11" s="1897"/>
      <c r="AR11" s="1897"/>
      <c r="AS11" s="1897"/>
      <c r="AT11" s="1897"/>
      <c r="AU11" s="1897"/>
      <c r="AV11" s="1214"/>
      <c r="AW11" s="1214"/>
      <c r="AX11" s="1208"/>
      <c r="AY11" s="1208"/>
      <c r="AZ11" s="1208"/>
      <c r="BA11" s="1208"/>
      <c r="BB11" s="1208"/>
      <c r="BC11" s="1208"/>
      <c r="BD11" s="1208"/>
      <c r="BE11" s="1213"/>
      <c r="BM11" s="1204" t="s">
        <v>2053</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ht="15" thickBot="1">
      <c r="A13" s="1208"/>
      <c r="B13" s="1901" t="s">
        <v>2372</v>
      </c>
      <c r="C13" s="1902"/>
      <c r="D13" s="1902"/>
      <c r="E13" s="1902"/>
      <c r="F13" s="1902"/>
      <c r="G13" s="1902"/>
      <c r="H13" s="1902"/>
      <c r="I13" s="1902"/>
      <c r="J13" s="1902"/>
      <c r="K13" s="1902"/>
      <c r="L13" s="1902"/>
      <c r="M13" s="1902"/>
      <c r="N13" s="1902"/>
      <c r="O13" s="1902"/>
      <c r="P13" s="1903"/>
      <c r="Q13" s="1904" t="s">
        <v>668</v>
      </c>
      <c r="R13" s="1905"/>
      <c r="S13" s="1905"/>
      <c r="T13" s="1906"/>
      <c r="U13" s="1214"/>
      <c r="V13" s="1208"/>
      <c r="W13" s="1208"/>
      <c r="X13" s="1208"/>
      <c r="Y13" s="1208"/>
      <c r="Z13" s="1208"/>
      <c r="AA13" s="1907" t="s">
        <v>2371</v>
      </c>
      <c r="AB13" s="1907"/>
      <c r="AC13" s="1907"/>
      <c r="AD13" s="1907"/>
      <c r="AE13" s="1907"/>
      <c r="AF13" s="1907"/>
      <c r="AG13" s="1907"/>
      <c r="AH13" s="1907"/>
      <c r="AI13" s="1907"/>
      <c r="AJ13" s="1907"/>
      <c r="AK13" s="1907"/>
      <c r="AL13" s="1907"/>
      <c r="AM13" s="1907"/>
      <c r="AN13" s="1907"/>
      <c r="AO13" s="1908">
        <f>Application!W481</f>
        <v>10</v>
      </c>
      <c r="AP13" s="1909"/>
      <c r="AQ13" s="1909"/>
      <c r="AR13" s="1909"/>
      <c r="AS13" s="1909"/>
      <c r="AT13" s="1214"/>
      <c r="AU13" s="1214"/>
      <c r="AV13" s="1214"/>
      <c r="AW13" s="1214"/>
      <c r="AX13" s="1214"/>
      <c r="AY13" s="1214"/>
      <c r="AZ13" s="1214"/>
      <c r="BA13" s="1214"/>
      <c r="BB13" s="1214"/>
      <c r="BC13" s="1214"/>
      <c r="BD13" s="1214"/>
      <c r="BE13" s="1215"/>
      <c r="BM13" s="1204" t="s">
        <v>2370</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0" t="s">
        <v>2369</v>
      </c>
      <c r="AB14" s="1910"/>
      <c r="AC14" s="1910"/>
      <c r="AD14" s="1910"/>
      <c r="AE14" s="1910"/>
      <c r="AF14" s="1910"/>
      <c r="AG14" s="1910"/>
      <c r="AH14" s="1910"/>
      <c r="AI14" s="1910"/>
      <c r="AJ14" s="1910"/>
      <c r="AK14" s="1910"/>
      <c r="AL14" s="1910"/>
      <c r="AM14" s="1910"/>
      <c r="AN14" s="1910"/>
      <c r="AO14" s="1911"/>
      <c r="AP14" s="1912"/>
      <c r="AQ14" s="1912"/>
      <c r="AR14" s="1912"/>
      <c r="AS14" s="1912"/>
      <c r="AT14" s="1214"/>
      <c r="AU14" s="1214"/>
      <c r="AV14" s="1214"/>
      <c r="AW14" s="1214"/>
      <c r="AX14" s="1214"/>
      <c r="AY14" s="1214"/>
      <c r="AZ14" s="1214"/>
      <c r="BA14" s="1214"/>
      <c r="BB14" s="1214"/>
      <c r="BC14" s="1214"/>
      <c r="BD14" s="1214"/>
      <c r="BE14" s="1215"/>
    </row>
    <row r="15" spans="1:65" ht="15" thickBot="1">
      <c r="A15" s="1208"/>
      <c r="B15" s="1914" t="s">
        <v>2368</v>
      </c>
      <c r="C15" s="1915"/>
      <c r="D15" s="1915"/>
      <c r="E15" s="1915"/>
      <c r="F15" s="1915"/>
      <c r="G15" s="1915"/>
      <c r="H15" s="1915"/>
      <c r="I15" s="1915"/>
      <c r="J15" s="1915"/>
      <c r="K15" s="1915"/>
      <c r="L15" s="1915"/>
      <c r="M15" s="1915"/>
      <c r="N15" s="1915"/>
      <c r="O15" s="1915"/>
      <c r="P15" s="1915"/>
      <c r="Q15" s="1915"/>
      <c r="R15" s="1916"/>
      <c r="S15" s="1917" t="str">
        <f>IF(Application!AB215="","",Application!AB215)</f>
        <v/>
      </c>
      <c r="T15" s="1917"/>
      <c r="U15" s="1917"/>
      <c r="V15" s="1917"/>
      <c r="W15" s="1918"/>
      <c r="X15" s="1214"/>
      <c r="Y15" s="1208"/>
      <c r="Z15" s="1208"/>
      <c r="AA15" s="1907" t="s">
        <v>2367</v>
      </c>
      <c r="AB15" s="1907"/>
      <c r="AC15" s="1907"/>
      <c r="AD15" s="1907"/>
      <c r="AE15" s="1907"/>
      <c r="AF15" s="1907"/>
      <c r="AG15" s="1907"/>
      <c r="AH15" s="1907"/>
      <c r="AI15" s="1907"/>
      <c r="AJ15" s="1907"/>
      <c r="AK15" s="1907"/>
      <c r="AL15" s="1907"/>
      <c r="AM15" s="1907"/>
      <c r="AN15" s="1907"/>
      <c r="AO15" s="1911"/>
      <c r="AP15" s="1912"/>
      <c r="AQ15" s="1912"/>
      <c r="AR15" s="1912"/>
      <c r="AS15" s="1912"/>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1919" t="s">
        <v>2366</v>
      </c>
      <c r="C17" s="1920"/>
      <c r="D17" s="1920"/>
      <c r="E17" s="1920"/>
      <c r="F17" s="1920"/>
      <c r="G17" s="1920"/>
      <c r="H17" s="1920"/>
      <c r="I17" s="1920"/>
      <c r="J17" s="1920"/>
      <c r="K17" s="1920"/>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c r="AL17" s="1920"/>
      <c r="AM17" s="1920"/>
      <c r="AN17" s="1920"/>
      <c r="AO17" s="1920"/>
      <c r="AP17" s="1920"/>
      <c r="AQ17" s="1920"/>
      <c r="AR17" s="1920"/>
      <c r="AS17" s="1920"/>
      <c r="AT17" s="1920"/>
      <c r="AU17" s="1920"/>
      <c r="AV17" s="1920"/>
      <c r="AW17" s="1920"/>
      <c r="AX17" s="1920"/>
      <c r="AY17" s="1921"/>
      <c r="AZ17" s="1208"/>
      <c r="BA17" s="1208"/>
      <c r="BB17" s="1208"/>
      <c r="BC17" s="1208"/>
      <c r="BD17" s="1208"/>
      <c r="BE17" s="1215"/>
      <c r="BF17" s="1206"/>
    </row>
    <row r="18" spans="1:58" ht="15.75" customHeight="1">
      <c r="A18" s="1208"/>
      <c r="B18" s="1922" t="s">
        <v>2365</v>
      </c>
      <c r="C18" s="1923"/>
      <c r="D18" s="1923"/>
      <c r="E18" s="1923"/>
      <c r="F18" s="1923"/>
      <c r="G18" s="1923"/>
      <c r="H18" s="1923"/>
      <c r="I18" s="1924"/>
      <c r="J18" s="1925" t="s">
        <v>1574</v>
      </c>
      <c r="K18" s="1926"/>
      <c r="L18" s="1926"/>
      <c r="M18" s="1926"/>
      <c r="N18" s="1926"/>
      <c r="O18" s="1927"/>
      <c r="P18" s="1925" t="s">
        <v>323</v>
      </c>
      <c r="Q18" s="1926"/>
      <c r="R18" s="1926"/>
      <c r="S18" s="1926"/>
      <c r="T18" s="1926"/>
      <c r="U18" s="1927"/>
      <c r="V18" s="1925" t="s">
        <v>324</v>
      </c>
      <c r="W18" s="1926"/>
      <c r="X18" s="1926"/>
      <c r="Y18" s="1926"/>
      <c r="Z18" s="1926"/>
      <c r="AA18" s="1927"/>
      <c r="AB18" s="1925" t="s">
        <v>163</v>
      </c>
      <c r="AC18" s="1926"/>
      <c r="AD18" s="1926"/>
      <c r="AE18" s="1926"/>
      <c r="AF18" s="1926"/>
      <c r="AG18" s="1927"/>
      <c r="AH18" s="1925" t="s">
        <v>164</v>
      </c>
      <c r="AI18" s="1926"/>
      <c r="AJ18" s="1926"/>
      <c r="AK18" s="1926"/>
      <c r="AL18" s="1926"/>
      <c r="AM18" s="1927"/>
      <c r="AN18" s="1925" t="s">
        <v>165</v>
      </c>
      <c r="AO18" s="1926"/>
      <c r="AP18" s="1926"/>
      <c r="AQ18" s="1926"/>
      <c r="AR18" s="1926"/>
      <c r="AS18" s="1927"/>
      <c r="AT18" s="1925" t="s">
        <v>2364</v>
      </c>
      <c r="AU18" s="1926"/>
      <c r="AV18" s="1926"/>
      <c r="AW18" s="1926"/>
      <c r="AX18" s="1926"/>
      <c r="AY18" s="1928"/>
      <c r="AZ18" s="1208"/>
      <c r="BA18" s="1208"/>
      <c r="BB18" s="1208"/>
      <c r="BC18" s="1208"/>
      <c r="BD18" s="1208"/>
      <c r="BE18" s="1215"/>
    </row>
    <row r="19" spans="1:58" ht="14.5">
      <c r="A19" s="1208"/>
      <c r="B19" s="1929">
        <v>0.3</v>
      </c>
      <c r="C19" s="1930"/>
      <c r="D19" s="1930"/>
      <c r="E19" s="1930"/>
      <c r="F19" s="1930"/>
      <c r="G19" s="1930"/>
      <c r="H19" s="1930"/>
      <c r="I19" s="1931"/>
      <c r="J19" s="1932">
        <f t="shared" ref="J19:J24" si="0">SUM(P19:AS19)</f>
        <v>30</v>
      </c>
      <c r="K19" s="1933"/>
      <c r="L19" s="1933"/>
      <c r="M19" s="1933"/>
      <c r="N19" s="1933"/>
      <c r="O19" s="1934"/>
      <c r="P19" s="1932" cm="1">
        <f t="array" ref="P19">SUMPRODUCT((Application!$B$726:$B$760 = 'CalHFA Addendum'!P$18)*(Application!$AC$726:$AC$760 = 'CalHFA Addendum'!$B19),Application!$G$726:$G$760)</f>
        <v>0</v>
      </c>
      <c r="Q19" s="1933"/>
      <c r="R19" s="1933"/>
      <c r="S19" s="1933"/>
      <c r="T19" s="1933"/>
      <c r="U19" s="1934"/>
      <c r="V19" s="1932" cm="1">
        <f t="array" ref="V19">SUMPRODUCT((Application!$B$726:$B$760 = 'CalHFA Addendum'!V$18)*(Application!$AC$726:$AC$760 = 'CalHFA Addendum'!$B19),Application!$G$726:$G$760)</f>
        <v>30</v>
      </c>
      <c r="W19" s="1933"/>
      <c r="X19" s="1933"/>
      <c r="Y19" s="1933"/>
      <c r="Z19" s="1933"/>
      <c r="AA19" s="1934"/>
      <c r="AB19" s="1932" cm="1">
        <f t="array" ref="AB19">SUMPRODUCT((Application!$B$726:$B$760 = 'CalHFA Addendum'!AB$18)*(Application!$AC$726:$AC$760 = 'CalHFA Addendum'!$B19),Application!$G$726:$G$760)</f>
        <v>0</v>
      </c>
      <c r="AC19" s="1933"/>
      <c r="AD19" s="1933"/>
      <c r="AE19" s="1933"/>
      <c r="AF19" s="1933"/>
      <c r="AG19" s="1934"/>
      <c r="AH19" s="1932" cm="1">
        <f t="array" ref="AH19">SUMPRODUCT((Application!$B$726:$B$760 = 'CalHFA Addendum'!AH$18)*(Application!$AC$726:$AC$760 = 'CalHFA Addendum'!$B19),Application!$G$726:$G$760)</f>
        <v>0</v>
      </c>
      <c r="AI19" s="1933"/>
      <c r="AJ19" s="1933"/>
      <c r="AK19" s="1933"/>
      <c r="AL19" s="1933"/>
      <c r="AM19" s="1934"/>
      <c r="AN19" s="1932" cm="1">
        <f t="array" ref="AN19">SUMPRODUCT((Application!$B$726:$B$760 = 'CalHFA Addendum'!AN$18)*(Application!$AC$726:$AC$760 = 'CalHFA Addendum'!$B19),Application!$G$726:$G$760)</f>
        <v>0</v>
      </c>
      <c r="AO19" s="1933"/>
      <c r="AP19" s="1933"/>
      <c r="AQ19" s="1933"/>
      <c r="AR19" s="1933"/>
      <c r="AS19" s="1934"/>
      <c r="AT19" s="1935">
        <f>J19/$J$29</f>
        <v>0.49180327868852458</v>
      </c>
      <c r="AU19" s="1936"/>
      <c r="AV19" s="1936"/>
      <c r="AW19" s="1936"/>
      <c r="AX19" s="1936"/>
      <c r="AY19" s="1937"/>
      <c r="AZ19" s="1216"/>
      <c r="BA19" s="1208"/>
      <c r="BB19" s="1208"/>
      <c r="BC19" s="1208"/>
      <c r="BD19" s="1208"/>
      <c r="BE19" s="1215"/>
    </row>
    <row r="20" spans="1:58" ht="15" customHeight="1">
      <c r="A20" s="1208"/>
      <c r="B20" s="1929">
        <v>0.4</v>
      </c>
      <c r="C20" s="1930"/>
      <c r="D20" s="1930"/>
      <c r="E20" s="1930"/>
      <c r="F20" s="1930"/>
      <c r="G20" s="1930"/>
      <c r="H20" s="1930"/>
      <c r="I20" s="1931"/>
      <c r="J20" s="1932">
        <f t="shared" si="0"/>
        <v>0</v>
      </c>
      <c r="K20" s="1933"/>
      <c r="L20" s="1933"/>
      <c r="M20" s="1933"/>
      <c r="N20" s="1933"/>
      <c r="O20" s="1934"/>
      <c r="P20" s="1932" cm="1">
        <f t="array" ref="P20">SUMPRODUCT((Application!$B$726:$B$760 = 'CalHFA Addendum'!P$18)*(Application!$AC$726:$AC$760 = 'CalHFA Addendum'!$B20),Application!$G$726:$G$760)</f>
        <v>0</v>
      </c>
      <c r="Q20" s="1933"/>
      <c r="R20" s="1933"/>
      <c r="S20" s="1933"/>
      <c r="T20" s="1933"/>
      <c r="U20" s="1934"/>
      <c r="V20" s="1932" cm="1">
        <f t="array" ref="V20">SUMPRODUCT((Application!$B$726:$B$760 = 'CalHFA Addendum'!V$18)*(Application!$AC$726:$AC$760 = 'CalHFA Addendum'!$B20),Application!$G$726:$G$760)</f>
        <v>0</v>
      </c>
      <c r="W20" s="1933"/>
      <c r="X20" s="1933"/>
      <c r="Y20" s="1933"/>
      <c r="Z20" s="1933"/>
      <c r="AA20" s="1934"/>
      <c r="AB20" s="1932" cm="1">
        <f t="array" ref="AB20">SUMPRODUCT((Application!$B$726:$B$760 = 'CalHFA Addendum'!AB$18)*(Application!$AC$726:$AC$760 = 'CalHFA Addendum'!$B20),Application!$G$726:$G$760)</f>
        <v>0</v>
      </c>
      <c r="AC20" s="1933"/>
      <c r="AD20" s="1933"/>
      <c r="AE20" s="1933"/>
      <c r="AF20" s="1933"/>
      <c r="AG20" s="1934"/>
      <c r="AH20" s="1932" cm="1">
        <f t="array" ref="AH20">SUMPRODUCT((Application!$B$726:$B$760 = 'CalHFA Addendum'!AH$18)*(Application!$AC$726:$AC$760 = 'CalHFA Addendum'!$B20),Application!$G$726:$G$760)</f>
        <v>0</v>
      </c>
      <c r="AI20" s="1933"/>
      <c r="AJ20" s="1933"/>
      <c r="AK20" s="1933"/>
      <c r="AL20" s="1933"/>
      <c r="AM20" s="1934"/>
      <c r="AN20" s="1932" cm="1">
        <f t="array" ref="AN20">SUMPRODUCT((Application!$B$726:$B$760 = 'CalHFA Addendum'!AN$18)*(Application!$AC$726:$AC$760 = 'CalHFA Addendum'!$B20),Application!$G$726:$G$760)</f>
        <v>0</v>
      </c>
      <c r="AO20" s="1933"/>
      <c r="AP20" s="1933"/>
      <c r="AQ20" s="1933"/>
      <c r="AR20" s="1933"/>
      <c r="AS20" s="1934"/>
      <c r="AT20" s="1935">
        <f t="shared" ref="AT20:AT29" si="1">J20/$J$29</f>
        <v>0</v>
      </c>
      <c r="AU20" s="1936"/>
      <c r="AV20" s="1936"/>
      <c r="AW20" s="1936"/>
      <c r="AX20" s="1936"/>
      <c r="AY20" s="1937"/>
      <c r="AZ20" s="1208"/>
      <c r="BA20" s="1208"/>
      <c r="BB20" s="1208"/>
      <c r="BC20" s="1208"/>
      <c r="BD20" s="1208"/>
      <c r="BE20" s="1215"/>
    </row>
    <row r="21" spans="1:58" ht="14.5">
      <c r="A21" s="1208"/>
      <c r="B21" s="1929">
        <v>0.5</v>
      </c>
      <c r="C21" s="1930"/>
      <c r="D21" s="1930"/>
      <c r="E21" s="1930"/>
      <c r="F21" s="1930"/>
      <c r="G21" s="1930"/>
      <c r="H21" s="1930"/>
      <c r="I21" s="1931"/>
      <c r="J21" s="1932">
        <f t="shared" si="0"/>
        <v>30</v>
      </c>
      <c r="K21" s="1933"/>
      <c r="L21" s="1933"/>
      <c r="M21" s="1933"/>
      <c r="N21" s="1933"/>
      <c r="O21" s="1934"/>
      <c r="P21" s="1932" cm="1">
        <f t="array" ref="P21">SUMPRODUCT((Application!$B$726:$B$760 = 'CalHFA Addendum'!P$18)*(Application!$AC$726:$AC$760 = 'CalHFA Addendum'!$B21),Application!$G$726:$G$760)</f>
        <v>0</v>
      </c>
      <c r="Q21" s="1933"/>
      <c r="R21" s="1933"/>
      <c r="S21" s="1933"/>
      <c r="T21" s="1933"/>
      <c r="U21" s="1934"/>
      <c r="V21" s="1932" cm="1">
        <f t="array" ref="V21">SUMPRODUCT((Application!$B$726:$B$760 = 'CalHFA Addendum'!V$18)*(Application!$AC$726:$AC$760 = 'CalHFA Addendum'!$B21),Application!$G$726:$G$760)</f>
        <v>30</v>
      </c>
      <c r="W21" s="1933"/>
      <c r="X21" s="1933"/>
      <c r="Y21" s="1933"/>
      <c r="Z21" s="1933"/>
      <c r="AA21" s="1934"/>
      <c r="AB21" s="1932" cm="1">
        <f t="array" ref="AB21">SUMPRODUCT((Application!$B$726:$B$760 = 'CalHFA Addendum'!AB$18)*(Application!$AC$726:$AC$760 = 'CalHFA Addendum'!$B21),Application!$G$726:$G$760)</f>
        <v>0</v>
      </c>
      <c r="AC21" s="1933"/>
      <c r="AD21" s="1933"/>
      <c r="AE21" s="1933"/>
      <c r="AF21" s="1933"/>
      <c r="AG21" s="1934"/>
      <c r="AH21" s="1932" cm="1">
        <f t="array" ref="AH21">SUMPRODUCT((Application!$B$726:$B$760 = 'CalHFA Addendum'!AH$18)*(Application!$AC$726:$AC$760 = 'CalHFA Addendum'!$B21),Application!$G$726:$G$760)</f>
        <v>0</v>
      </c>
      <c r="AI21" s="1933"/>
      <c r="AJ21" s="1933"/>
      <c r="AK21" s="1933"/>
      <c r="AL21" s="1933"/>
      <c r="AM21" s="1934"/>
      <c r="AN21" s="1932" cm="1">
        <f t="array" ref="AN21">SUMPRODUCT((Application!$B$726:$B$760 = 'CalHFA Addendum'!AN$18)*(Application!$AC$726:$AC$760 = 'CalHFA Addendum'!$B21),Application!$G$726:$G$760)</f>
        <v>0</v>
      </c>
      <c r="AO21" s="1933"/>
      <c r="AP21" s="1933"/>
      <c r="AQ21" s="1933"/>
      <c r="AR21" s="1933"/>
      <c r="AS21" s="1934"/>
      <c r="AT21" s="1935">
        <f t="shared" si="1"/>
        <v>0.49180327868852458</v>
      </c>
      <c r="AU21" s="1936"/>
      <c r="AV21" s="1936"/>
      <c r="AW21" s="1936"/>
      <c r="AX21" s="1936"/>
      <c r="AY21" s="1937"/>
      <c r="AZ21" s="1208"/>
      <c r="BA21" s="1208"/>
      <c r="BB21" s="1208"/>
      <c r="BC21" s="1208"/>
      <c r="BD21" s="1208"/>
      <c r="BE21" s="1215"/>
    </row>
    <row r="22" spans="1:58" ht="14.5">
      <c r="A22" s="1208"/>
      <c r="B22" s="1929">
        <v>0.6</v>
      </c>
      <c r="C22" s="1930"/>
      <c r="D22" s="1930"/>
      <c r="E22" s="1930"/>
      <c r="F22" s="1930"/>
      <c r="G22" s="1930"/>
      <c r="H22" s="1930"/>
      <c r="I22" s="1931"/>
      <c r="J22" s="1932">
        <f t="shared" si="0"/>
        <v>0</v>
      </c>
      <c r="K22" s="1933"/>
      <c r="L22" s="1933"/>
      <c r="M22" s="1933"/>
      <c r="N22" s="1933"/>
      <c r="O22" s="1934"/>
      <c r="P22" s="1932" cm="1">
        <f t="array" ref="P22">SUMPRODUCT((Application!$B$726:$B$760 = 'CalHFA Addendum'!P$18)*(Application!$AC$726:$AC$760 = 'CalHFA Addendum'!$B22),Application!$G$726:$G$760)</f>
        <v>0</v>
      </c>
      <c r="Q22" s="1933"/>
      <c r="R22" s="1933"/>
      <c r="S22" s="1933"/>
      <c r="T22" s="1933"/>
      <c r="U22" s="1934"/>
      <c r="V22" s="1932" cm="1">
        <f t="array" ref="V22">SUMPRODUCT((Application!$B$726:$B$760 = 'CalHFA Addendum'!V$18)*(Application!$AC$726:$AC$760 = 'CalHFA Addendum'!$B22),Application!$G$726:$G$760)</f>
        <v>0</v>
      </c>
      <c r="W22" s="1933"/>
      <c r="X22" s="1933"/>
      <c r="Y22" s="1933"/>
      <c r="Z22" s="1933"/>
      <c r="AA22" s="1934"/>
      <c r="AB22" s="1932" cm="1">
        <f t="array" ref="AB22">SUMPRODUCT((Application!$B$726:$B$760 = 'CalHFA Addendum'!AB$18)*(Application!$AC$726:$AC$760 = 'CalHFA Addendum'!$B22),Application!$G$726:$G$760)</f>
        <v>0</v>
      </c>
      <c r="AC22" s="1933"/>
      <c r="AD22" s="1933"/>
      <c r="AE22" s="1933"/>
      <c r="AF22" s="1933"/>
      <c r="AG22" s="1934"/>
      <c r="AH22" s="1932" cm="1">
        <f t="array" ref="AH22">SUMPRODUCT((Application!$B$726:$B$760 = 'CalHFA Addendum'!AH$18)*(Application!$AC$726:$AC$760 = 'CalHFA Addendum'!$B22),Application!$G$726:$G$760)</f>
        <v>0</v>
      </c>
      <c r="AI22" s="1933"/>
      <c r="AJ22" s="1933"/>
      <c r="AK22" s="1933"/>
      <c r="AL22" s="1933"/>
      <c r="AM22" s="1934"/>
      <c r="AN22" s="1932" cm="1">
        <f t="array" ref="AN22">SUMPRODUCT((Application!$B$726:$B$760 = 'CalHFA Addendum'!AN$18)*(Application!$AC$726:$AC$760 = 'CalHFA Addendum'!$B22),Application!$G$726:$G$760)</f>
        <v>0</v>
      </c>
      <c r="AO22" s="1933"/>
      <c r="AP22" s="1933"/>
      <c r="AQ22" s="1933"/>
      <c r="AR22" s="1933"/>
      <c r="AS22" s="1934"/>
      <c r="AT22" s="1935">
        <f t="shared" si="1"/>
        <v>0</v>
      </c>
      <c r="AU22" s="1936"/>
      <c r="AV22" s="1936"/>
      <c r="AW22" s="1936"/>
      <c r="AX22" s="1936"/>
      <c r="AY22" s="1937"/>
      <c r="AZ22" s="1208"/>
      <c r="BA22" s="1208"/>
      <c r="BB22" s="1208"/>
      <c r="BC22" s="1208"/>
      <c r="BD22" s="1208"/>
      <c r="BE22" s="1215"/>
    </row>
    <row r="23" spans="1:58" ht="14.5">
      <c r="A23" s="1208"/>
      <c r="B23" s="1929">
        <v>0.7</v>
      </c>
      <c r="C23" s="1930"/>
      <c r="D23" s="1930"/>
      <c r="E23" s="1930"/>
      <c r="F23" s="1930"/>
      <c r="G23" s="1930"/>
      <c r="H23" s="1930"/>
      <c r="I23" s="1931"/>
      <c r="J23" s="1932">
        <f t="shared" si="0"/>
        <v>0</v>
      </c>
      <c r="K23" s="1933"/>
      <c r="L23" s="1933"/>
      <c r="M23" s="1933"/>
      <c r="N23" s="1933"/>
      <c r="O23" s="1934"/>
      <c r="P23" s="1932" cm="1">
        <f t="array" ref="P23">SUMPRODUCT((Application!$B$726:$B$760 = 'CalHFA Addendum'!P$18)*(Application!$AC$726:$AC$760 = 'CalHFA Addendum'!$B23),Application!$G$726:$G$760)</f>
        <v>0</v>
      </c>
      <c r="Q23" s="1933"/>
      <c r="R23" s="1933"/>
      <c r="S23" s="1933"/>
      <c r="T23" s="1933"/>
      <c r="U23" s="1934"/>
      <c r="V23" s="1932" cm="1">
        <f t="array" ref="V23">SUMPRODUCT((Application!$B$726:$B$760 = 'CalHFA Addendum'!V$18)*(Application!$AC$726:$AC$760 = 'CalHFA Addendum'!$B23),Application!$G$726:$G$760)</f>
        <v>0</v>
      </c>
      <c r="W23" s="1933"/>
      <c r="X23" s="1933"/>
      <c r="Y23" s="1933"/>
      <c r="Z23" s="1933"/>
      <c r="AA23" s="1934"/>
      <c r="AB23" s="1932" cm="1">
        <f t="array" ref="AB23">SUMPRODUCT((Application!$B$726:$B$760 = 'CalHFA Addendum'!AB$18)*(Application!$AC$726:$AC$760 = 'CalHFA Addendum'!$B23),Application!$G$726:$G$760)</f>
        <v>0</v>
      </c>
      <c r="AC23" s="1933"/>
      <c r="AD23" s="1933"/>
      <c r="AE23" s="1933"/>
      <c r="AF23" s="1933"/>
      <c r="AG23" s="1934"/>
      <c r="AH23" s="1932" cm="1">
        <f t="array" ref="AH23">SUMPRODUCT((Application!$B$726:$B$760 = 'CalHFA Addendum'!AH$18)*(Application!$AC$726:$AC$760 = 'CalHFA Addendum'!$B23),Application!$G$726:$G$760)</f>
        <v>0</v>
      </c>
      <c r="AI23" s="1933"/>
      <c r="AJ23" s="1933"/>
      <c r="AK23" s="1933"/>
      <c r="AL23" s="1933"/>
      <c r="AM23" s="1934"/>
      <c r="AN23" s="1932" cm="1">
        <f t="array" ref="AN23">SUMPRODUCT((Application!$B$726:$B$760 = 'CalHFA Addendum'!AN$18)*(Application!$AC$726:$AC$760 = 'CalHFA Addendum'!$B23),Application!$G$726:$G$760)</f>
        <v>0</v>
      </c>
      <c r="AO23" s="1933"/>
      <c r="AP23" s="1933"/>
      <c r="AQ23" s="1933"/>
      <c r="AR23" s="1933"/>
      <c r="AS23" s="1934"/>
      <c r="AT23" s="1935">
        <f t="shared" si="1"/>
        <v>0</v>
      </c>
      <c r="AU23" s="1936"/>
      <c r="AV23" s="1936"/>
      <c r="AW23" s="1936"/>
      <c r="AX23" s="1936"/>
      <c r="AY23" s="1937"/>
      <c r="AZ23" s="1208"/>
      <c r="BA23" s="1208"/>
      <c r="BB23" s="1208"/>
      <c r="BC23" s="1208"/>
      <c r="BD23" s="1208"/>
      <c r="BE23" s="1215"/>
    </row>
    <row r="24" spans="1:58" ht="14.5">
      <c r="A24" s="1208"/>
      <c r="B24" s="1929">
        <v>0.8</v>
      </c>
      <c r="C24" s="1930"/>
      <c r="D24" s="1930"/>
      <c r="E24" s="1930"/>
      <c r="F24" s="1930"/>
      <c r="G24" s="1930"/>
      <c r="H24" s="1930"/>
      <c r="I24" s="1931"/>
      <c r="J24" s="1932">
        <f t="shared" si="0"/>
        <v>0</v>
      </c>
      <c r="K24" s="1933"/>
      <c r="L24" s="1933"/>
      <c r="M24" s="1933"/>
      <c r="N24" s="1933"/>
      <c r="O24" s="1934"/>
      <c r="P24" s="1932" cm="1">
        <f t="array" ref="P24">SUMPRODUCT((Application!$B$726:$B$760 = 'CalHFA Addendum'!P$18)*(Application!$AC$726:$AC$760 = 'CalHFA Addendum'!$B24),Application!$G$726:$G$760)</f>
        <v>0</v>
      </c>
      <c r="Q24" s="1933"/>
      <c r="R24" s="1933"/>
      <c r="S24" s="1933"/>
      <c r="T24" s="1933"/>
      <c r="U24" s="1934"/>
      <c r="V24" s="1932" cm="1">
        <f t="array" ref="V24">SUMPRODUCT((Application!$B$726:$B$760 = 'CalHFA Addendum'!V$18)*(Application!$AC$726:$AC$760 = 'CalHFA Addendum'!$B24),Application!$G$726:$G$760)</f>
        <v>0</v>
      </c>
      <c r="W24" s="1933"/>
      <c r="X24" s="1933"/>
      <c r="Y24" s="1933"/>
      <c r="Z24" s="1933"/>
      <c r="AA24" s="1934"/>
      <c r="AB24" s="1932" cm="1">
        <f t="array" ref="AB24">SUMPRODUCT((Application!$B$726:$B$760 = 'CalHFA Addendum'!AB$18)*(Application!$AC$726:$AC$760 = 'CalHFA Addendum'!$B24),Application!$G$726:$G$760)</f>
        <v>0</v>
      </c>
      <c r="AC24" s="1933"/>
      <c r="AD24" s="1933"/>
      <c r="AE24" s="1933"/>
      <c r="AF24" s="1933"/>
      <c r="AG24" s="1934"/>
      <c r="AH24" s="1932" cm="1">
        <f t="array" ref="AH24">SUMPRODUCT((Application!$B$726:$B$760 = 'CalHFA Addendum'!AH$18)*(Application!$AC$726:$AC$760 = 'CalHFA Addendum'!$B24),Application!$G$726:$G$760)</f>
        <v>0</v>
      </c>
      <c r="AI24" s="1933"/>
      <c r="AJ24" s="1933"/>
      <c r="AK24" s="1933"/>
      <c r="AL24" s="1933"/>
      <c r="AM24" s="1934"/>
      <c r="AN24" s="1932" cm="1">
        <f t="array" ref="AN24">SUMPRODUCT((Application!$B$726:$B$760 = 'CalHFA Addendum'!AN$18)*(Application!$AC$726:$AC$760 = 'CalHFA Addendum'!$B24),Application!$G$726:$G$760)</f>
        <v>0</v>
      </c>
      <c r="AO24" s="1933"/>
      <c r="AP24" s="1933"/>
      <c r="AQ24" s="1933"/>
      <c r="AR24" s="1933"/>
      <c r="AS24" s="1934"/>
      <c r="AT24" s="1935">
        <f t="shared" si="1"/>
        <v>0</v>
      </c>
      <c r="AU24" s="1936"/>
      <c r="AV24" s="1936"/>
      <c r="AW24" s="1936"/>
      <c r="AX24" s="1936"/>
      <c r="AY24" s="1937"/>
      <c r="AZ24" s="1208"/>
      <c r="BA24" s="1208"/>
      <c r="BB24" s="1208"/>
      <c r="BC24" s="1208"/>
      <c r="BD24" s="1208"/>
      <c r="BE24" s="1215"/>
    </row>
    <row r="25" spans="1:58" ht="14.5">
      <c r="A25" s="1208"/>
      <c r="B25" s="1929">
        <v>0.9</v>
      </c>
      <c r="C25" s="1930"/>
      <c r="D25" s="1930"/>
      <c r="E25" s="1930"/>
      <c r="F25" s="1930"/>
      <c r="G25" s="1930"/>
      <c r="H25" s="1930"/>
      <c r="I25" s="1931"/>
      <c r="J25" s="1938"/>
      <c r="K25" s="1939"/>
      <c r="L25" s="1939"/>
      <c r="M25" s="1939"/>
      <c r="N25" s="1939"/>
      <c r="O25" s="1940"/>
      <c r="P25" s="1938"/>
      <c r="Q25" s="1939"/>
      <c r="R25" s="1939"/>
      <c r="S25" s="1939"/>
      <c r="T25" s="1939"/>
      <c r="U25" s="1940"/>
      <c r="V25" s="1938"/>
      <c r="W25" s="1939"/>
      <c r="X25" s="1939"/>
      <c r="Y25" s="1939"/>
      <c r="Z25" s="1939"/>
      <c r="AA25" s="1940"/>
      <c r="AB25" s="1938"/>
      <c r="AC25" s="1939"/>
      <c r="AD25" s="1939"/>
      <c r="AE25" s="1939"/>
      <c r="AF25" s="1939"/>
      <c r="AG25" s="1940"/>
      <c r="AH25" s="1938"/>
      <c r="AI25" s="1939"/>
      <c r="AJ25" s="1939"/>
      <c r="AK25" s="1939"/>
      <c r="AL25" s="1939"/>
      <c r="AM25" s="1940"/>
      <c r="AN25" s="1938"/>
      <c r="AO25" s="1939"/>
      <c r="AP25" s="1939"/>
      <c r="AQ25" s="1939"/>
      <c r="AR25" s="1939"/>
      <c r="AS25" s="1940"/>
      <c r="AT25" s="1935">
        <f t="shared" si="1"/>
        <v>0</v>
      </c>
      <c r="AU25" s="1936"/>
      <c r="AV25" s="1936"/>
      <c r="AW25" s="1936"/>
      <c r="AX25" s="1936"/>
      <c r="AY25" s="1937"/>
      <c r="AZ25" s="1208"/>
      <c r="BA25" s="1208"/>
      <c r="BB25" s="1208"/>
      <c r="BC25" s="1208"/>
      <c r="BD25" s="1208"/>
      <c r="BE25" s="1215"/>
    </row>
    <row r="26" spans="1:58" ht="14.5">
      <c r="A26" s="1208"/>
      <c r="B26" s="1929">
        <v>1</v>
      </c>
      <c r="C26" s="1930"/>
      <c r="D26" s="1930"/>
      <c r="E26" s="1930"/>
      <c r="F26" s="1930"/>
      <c r="G26" s="1930"/>
      <c r="H26" s="1930"/>
      <c r="I26" s="1931"/>
      <c r="J26" s="1938"/>
      <c r="K26" s="1939"/>
      <c r="L26" s="1939"/>
      <c r="M26" s="1939"/>
      <c r="N26" s="1939"/>
      <c r="O26" s="1940"/>
      <c r="P26" s="1938"/>
      <c r="Q26" s="1939"/>
      <c r="R26" s="1939"/>
      <c r="S26" s="1939"/>
      <c r="T26" s="1939"/>
      <c r="U26" s="1940"/>
      <c r="V26" s="1938"/>
      <c r="W26" s="1939"/>
      <c r="X26" s="1939"/>
      <c r="Y26" s="1939"/>
      <c r="Z26" s="1939"/>
      <c r="AA26" s="1940"/>
      <c r="AB26" s="1938"/>
      <c r="AC26" s="1939"/>
      <c r="AD26" s="1939"/>
      <c r="AE26" s="1939"/>
      <c r="AF26" s="1939"/>
      <c r="AG26" s="1940"/>
      <c r="AH26" s="1938"/>
      <c r="AI26" s="1939"/>
      <c r="AJ26" s="1939"/>
      <c r="AK26" s="1939"/>
      <c r="AL26" s="1939"/>
      <c r="AM26" s="1940"/>
      <c r="AN26" s="1938"/>
      <c r="AO26" s="1939"/>
      <c r="AP26" s="1939"/>
      <c r="AQ26" s="1939"/>
      <c r="AR26" s="1939"/>
      <c r="AS26" s="1940"/>
      <c r="AT26" s="1935">
        <f t="shared" si="1"/>
        <v>0</v>
      </c>
      <c r="AU26" s="1936"/>
      <c r="AV26" s="1936"/>
      <c r="AW26" s="1936"/>
      <c r="AX26" s="1936"/>
      <c r="AY26" s="1937"/>
      <c r="AZ26" s="1208"/>
      <c r="BA26" s="1208"/>
      <c r="BB26" s="1208"/>
      <c r="BC26" s="1208"/>
      <c r="BD26" s="1208"/>
      <c r="BE26" s="1215"/>
    </row>
    <row r="27" spans="1:58" ht="14.5">
      <c r="A27" s="1208"/>
      <c r="B27" s="1929">
        <v>1.2</v>
      </c>
      <c r="C27" s="1930"/>
      <c r="D27" s="1930"/>
      <c r="E27" s="1930"/>
      <c r="F27" s="1930"/>
      <c r="G27" s="1930"/>
      <c r="H27" s="1930"/>
      <c r="I27" s="1931"/>
      <c r="J27" s="1938"/>
      <c r="K27" s="1939"/>
      <c r="L27" s="1939"/>
      <c r="M27" s="1939"/>
      <c r="N27" s="1939"/>
      <c r="O27" s="1940"/>
      <c r="P27" s="1938"/>
      <c r="Q27" s="1939"/>
      <c r="R27" s="1939"/>
      <c r="S27" s="1939"/>
      <c r="T27" s="1939"/>
      <c r="U27" s="1940"/>
      <c r="V27" s="1938"/>
      <c r="W27" s="1939"/>
      <c r="X27" s="1939"/>
      <c r="Y27" s="1939"/>
      <c r="Z27" s="1939"/>
      <c r="AA27" s="1940"/>
      <c r="AB27" s="1938"/>
      <c r="AC27" s="1939"/>
      <c r="AD27" s="1939"/>
      <c r="AE27" s="1939"/>
      <c r="AF27" s="1939"/>
      <c r="AG27" s="1940"/>
      <c r="AH27" s="1938"/>
      <c r="AI27" s="1939"/>
      <c r="AJ27" s="1939"/>
      <c r="AK27" s="1939"/>
      <c r="AL27" s="1939"/>
      <c r="AM27" s="1940"/>
      <c r="AN27" s="1938"/>
      <c r="AO27" s="1939"/>
      <c r="AP27" s="1939"/>
      <c r="AQ27" s="1939"/>
      <c r="AR27" s="1939"/>
      <c r="AS27" s="1940"/>
      <c r="AT27" s="1935">
        <f t="shared" si="1"/>
        <v>0</v>
      </c>
      <c r="AU27" s="1936"/>
      <c r="AV27" s="1936"/>
      <c r="AW27" s="1936"/>
      <c r="AX27" s="1936"/>
      <c r="AY27" s="1937"/>
      <c r="AZ27" s="1208"/>
      <c r="BA27" s="1208"/>
      <c r="BB27" s="1208"/>
      <c r="BC27" s="1208"/>
      <c r="BD27" s="1208"/>
      <c r="BE27" s="1215"/>
    </row>
    <row r="28" spans="1:58" ht="15" thickBot="1">
      <c r="A28" s="1208"/>
      <c r="B28" s="1941" t="s">
        <v>2363</v>
      </c>
      <c r="C28" s="1942"/>
      <c r="D28" s="1942"/>
      <c r="E28" s="1942"/>
      <c r="F28" s="1942"/>
      <c r="G28" s="1942"/>
      <c r="H28" s="1942"/>
      <c r="I28" s="1943"/>
      <c r="J28" s="1944">
        <f>SUM(P28:AS28)</f>
        <v>1</v>
      </c>
      <c r="K28" s="1945"/>
      <c r="L28" s="1945"/>
      <c r="M28" s="1945"/>
      <c r="N28" s="1945"/>
      <c r="O28" s="1946"/>
      <c r="P28" s="1944">
        <f>_xlfn.IFNA(VLOOKUP(P$18,Application!$J$781:$S$784,6,FALSE), 0)</f>
        <v>0</v>
      </c>
      <c r="Q28" s="1945"/>
      <c r="R28" s="1945"/>
      <c r="S28" s="1945"/>
      <c r="T28" s="1945"/>
      <c r="U28" s="1946"/>
      <c r="V28" s="1944">
        <f>_xlfn.IFNA(VLOOKUP(V$18,Application!$J$781:$S$784,6,FALSE), 0)</f>
        <v>0</v>
      </c>
      <c r="W28" s="1945"/>
      <c r="X28" s="1945"/>
      <c r="Y28" s="1945"/>
      <c r="Z28" s="1945"/>
      <c r="AA28" s="1946"/>
      <c r="AB28" s="1944">
        <f>_xlfn.IFNA(VLOOKUP(AB$18,Application!$J$781:$S$784,6,FALSE), 0)</f>
        <v>1</v>
      </c>
      <c r="AC28" s="1945"/>
      <c r="AD28" s="1945"/>
      <c r="AE28" s="1945"/>
      <c r="AF28" s="1945"/>
      <c r="AG28" s="1946"/>
      <c r="AH28" s="1944">
        <f>_xlfn.IFNA(VLOOKUP(AH$18,Application!$J$781:$S$784,6,FALSE), 0)</f>
        <v>0</v>
      </c>
      <c r="AI28" s="1945"/>
      <c r="AJ28" s="1945"/>
      <c r="AK28" s="1945"/>
      <c r="AL28" s="1945"/>
      <c r="AM28" s="1946"/>
      <c r="AN28" s="1944">
        <f>_xlfn.IFNA(VLOOKUP(AN$18,Application!$J$781:$S$784,6,FALSE), 0)</f>
        <v>0</v>
      </c>
      <c r="AO28" s="1945"/>
      <c r="AP28" s="1945"/>
      <c r="AQ28" s="1945"/>
      <c r="AR28" s="1945"/>
      <c r="AS28" s="1946"/>
      <c r="AT28" s="1947">
        <f t="shared" si="1"/>
        <v>1.6393442622950821E-2</v>
      </c>
      <c r="AU28" s="1948"/>
      <c r="AV28" s="1948"/>
      <c r="AW28" s="1948"/>
      <c r="AX28" s="1948"/>
      <c r="AY28" s="1949"/>
      <c r="AZ28" s="1208"/>
      <c r="BA28" s="1208"/>
      <c r="BB28" s="1208"/>
      <c r="BC28" s="1208"/>
      <c r="BD28" s="1208"/>
      <c r="BE28" s="1215"/>
    </row>
    <row r="29" spans="1:58" ht="15" thickBot="1">
      <c r="A29" s="1208"/>
      <c r="B29" s="1978" t="s">
        <v>1574</v>
      </c>
      <c r="C29" s="1951"/>
      <c r="D29" s="1951"/>
      <c r="E29" s="1951"/>
      <c r="F29" s="1951"/>
      <c r="G29" s="1951"/>
      <c r="H29" s="1951"/>
      <c r="I29" s="1952"/>
      <c r="J29" s="1950">
        <f>SUM(J19:O28)</f>
        <v>61</v>
      </c>
      <c r="K29" s="1951"/>
      <c r="L29" s="1951"/>
      <c r="M29" s="1951"/>
      <c r="N29" s="1951"/>
      <c r="O29" s="1952"/>
      <c r="P29" s="1950">
        <f>SUM(P19:U28)</f>
        <v>0</v>
      </c>
      <c r="Q29" s="1951"/>
      <c r="R29" s="1951"/>
      <c r="S29" s="1951"/>
      <c r="T29" s="1951"/>
      <c r="U29" s="1952"/>
      <c r="V29" s="1950">
        <f>SUM(V19:AA28)</f>
        <v>60</v>
      </c>
      <c r="W29" s="1951"/>
      <c r="X29" s="1951"/>
      <c r="Y29" s="1951"/>
      <c r="Z29" s="1951"/>
      <c r="AA29" s="1952"/>
      <c r="AB29" s="1950">
        <f>SUM(AB19:AG28)</f>
        <v>1</v>
      </c>
      <c r="AC29" s="1951"/>
      <c r="AD29" s="1951"/>
      <c r="AE29" s="1951"/>
      <c r="AF29" s="1951"/>
      <c r="AG29" s="1952"/>
      <c r="AH29" s="1950">
        <f>SUM(AH19:AM28)</f>
        <v>0</v>
      </c>
      <c r="AI29" s="1951"/>
      <c r="AJ29" s="1951"/>
      <c r="AK29" s="1951"/>
      <c r="AL29" s="1951"/>
      <c r="AM29" s="1952"/>
      <c r="AN29" s="1950">
        <f>SUM(AN19:AS28)</f>
        <v>0</v>
      </c>
      <c r="AO29" s="1951"/>
      <c r="AP29" s="1951"/>
      <c r="AQ29" s="1951"/>
      <c r="AR29" s="1951"/>
      <c r="AS29" s="1952"/>
      <c r="AT29" s="1953">
        <f t="shared" si="1"/>
        <v>1</v>
      </c>
      <c r="AU29" s="1954"/>
      <c r="AV29" s="1954"/>
      <c r="AW29" s="1954"/>
      <c r="AX29" s="1954"/>
      <c r="AY29" s="1955"/>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1956" t="s">
        <v>2362</v>
      </c>
      <c r="C31" s="1957"/>
      <c r="D31" s="1957"/>
      <c r="E31" s="1957"/>
      <c r="F31" s="1957"/>
      <c r="G31" s="1957"/>
      <c r="H31" s="1957"/>
      <c r="I31" s="1957"/>
      <c r="J31" s="1957"/>
      <c r="K31" s="1957"/>
      <c r="L31" s="1957"/>
      <c r="M31" s="1957"/>
      <c r="N31" s="1957"/>
      <c r="O31" s="1957"/>
      <c r="P31" s="1957"/>
      <c r="Q31" s="1957"/>
      <c r="R31" s="1957"/>
      <c r="S31" s="1957"/>
      <c r="T31" s="1957"/>
      <c r="U31" s="1957"/>
      <c r="V31" s="1957"/>
      <c r="W31" s="1957"/>
      <c r="X31" s="1957"/>
      <c r="Y31" s="1957"/>
      <c r="Z31" s="1957"/>
      <c r="AA31" s="1957"/>
      <c r="AB31" s="1957"/>
      <c r="AC31" s="1957"/>
      <c r="AD31" s="1957"/>
      <c r="AE31" s="1957"/>
      <c r="AF31" s="1957"/>
      <c r="AG31" s="1957"/>
      <c r="AH31" s="1957"/>
      <c r="AI31" s="1957"/>
      <c r="AJ31" s="1957"/>
      <c r="AK31" s="1957"/>
      <c r="AL31" s="1957"/>
      <c r="AM31" s="1957"/>
      <c r="AN31" s="1957"/>
      <c r="AO31" s="1957"/>
      <c r="AP31" s="1957"/>
      <c r="AQ31" s="1957"/>
      <c r="AR31" s="1957"/>
      <c r="AS31" s="1957"/>
      <c r="AT31" s="1957"/>
      <c r="AU31" s="1957"/>
      <c r="AV31" s="1957"/>
      <c r="AW31" s="1957"/>
      <c r="AX31" s="1957"/>
      <c r="AY31" s="1957"/>
      <c r="AZ31" s="1957"/>
      <c r="BA31" s="1957"/>
      <c r="BB31" s="1957"/>
      <c r="BC31" s="1957"/>
      <c r="BD31" s="1958"/>
      <c r="BE31" s="1215"/>
    </row>
    <row r="32" spans="1:58" ht="15" thickBot="1">
      <c r="A32" s="1208"/>
      <c r="B32" s="1959" t="s">
        <v>2361</v>
      </c>
      <c r="C32" s="1960"/>
      <c r="D32" s="1960"/>
      <c r="E32" s="1960"/>
      <c r="F32" s="1960"/>
      <c r="G32" s="1960"/>
      <c r="H32" s="1960"/>
      <c r="I32" s="1960"/>
      <c r="J32" s="1963" t="s">
        <v>2360</v>
      </c>
      <c r="K32" s="1964"/>
      <c r="L32" s="1964"/>
      <c r="M32" s="1964"/>
      <c r="N32" s="1963" t="s">
        <v>2359</v>
      </c>
      <c r="O32" s="1964"/>
      <c r="P32" s="1964"/>
      <c r="Q32" s="1966"/>
      <c r="R32" s="1968" t="s">
        <v>2358</v>
      </c>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69"/>
      <c r="AO32" s="1969"/>
      <c r="AP32" s="1969"/>
      <c r="AQ32" s="1969"/>
      <c r="AR32" s="1969"/>
      <c r="AS32" s="1969"/>
      <c r="AT32" s="1969"/>
      <c r="AU32" s="1969"/>
      <c r="AV32" s="1969"/>
      <c r="AW32" s="1969"/>
      <c r="AX32" s="1969"/>
      <c r="AY32" s="1969"/>
      <c r="AZ32" s="1969"/>
      <c r="BA32" s="1969"/>
      <c r="BB32" s="1969"/>
      <c r="BC32" s="1969"/>
      <c r="BD32" s="1970"/>
      <c r="BE32" s="1215"/>
    </row>
    <row r="33" spans="1:58" ht="15" customHeight="1">
      <c r="A33" s="1208"/>
      <c r="B33" s="1961"/>
      <c r="C33" s="1962"/>
      <c r="D33" s="1962"/>
      <c r="E33" s="1962"/>
      <c r="F33" s="1962"/>
      <c r="G33" s="1962"/>
      <c r="H33" s="1962"/>
      <c r="I33" s="1962"/>
      <c r="J33" s="1965"/>
      <c r="K33" s="1965"/>
      <c r="L33" s="1965"/>
      <c r="M33" s="1965"/>
      <c r="N33" s="1965"/>
      <c r="O33" s="1965"/>
      <c r="P33" s="1965"/>
      <c r="Q33" s="1967"/>
      <c r="R33" s="1971" t="s">
        <v>2357</v>
      </c>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72"/>
      <c r="AO33" s="1972"/>
      <c r="AP33" s="1972"/>
      <c r="AQ33" s="1972"/>
      <c r="AR33" s="1972"/>
      <c r="AS33" s="1972"/>
      <c r="AT33" s="1972"/>
      <c r="AU33" s="1972"/>
      <c r="AV33" s="1972"/>
      <c r="AW33" s="1972"/>
      <c r="AX33" s="1972"/>
      <c r="AY33" s="1972"/>
      <c r="AZ33" s="1972"/>
      <c r="BA33" s="1972"/>
      <c r="BB33" s="1972"/>
      <c r="BC33" s="1972"/>
      <c r="BD33" s="1973"/>
      <c r="BE33" s="1215"/>
    </row>
    <row r="34" spans="1:58" ht="15.75" customHeight="1" thickBot="1">
      <c r="A34" s="1208"/>
      <c r="B34" s="1961"/>
      <c r="C34" s="1962"/>
      <c r="D34" s="1962"/>
      <c r="E34" s="1962"/>
      <c r="F34" s="1962"/>
      <c r="G34" s="1962"/>
      <c r="H34" s="1962"/>
      <c r="I34" s="1962"/>
      <c r="J34" s="1965"/>
      <c r="K34" s="1965"/>
      <c r="L34" s="1965"/>
      <c r="M34" s="1965"/>
      <c r="N34" s="1965"/>
      <c r="O34" s="1965"/>
      <c r="P34" s="1965"/>
      <c r="Q34" s="1967"/>
      <c r="R34" s="1974"/>
      <c r="S34" s="1975"/>
      <c r="T34" s="1975"/>
      <c r="U34" s="1975"/>
      <c r="V34" s="1975"/>
      <c r="W34" s="1975"/>
      <c r="X34" s="1975"/>
      <c r="Y34" s="1975"/>
      <c r="Z34" s="1975"/>
      <c r="AA34" s="1975"/>
      <c r="AB34" s="1975"/>
      <c r="AC34" s="1975"/>
      <c r="AD34" s="1975"/>
      <c r="AE34" s="1975"/>
      <c r="AF34" s="1975"/>
      <c r="AG34" s="1975"/>
      <c r="AH34" s="1975"/>
      <c r="AI34" s="1975"/>
      <c r="AJ34" s="1975"/>
      <c r="AK34" s="1975"/>
      <c r="AL34" s="1975"/>
      <c r="AM34" s="1975"/>
      <c r="AN34" s="1975"/>
      <c r="AO34" s="1975"/>
      <c r="AP34" s="1975"/>
      <c r="AQ34" s="1975"/>
      <c r="AR34" s="1975"/>
      <c r="AS34" s="1975"/>
      <c r="AT34" s="1975"/>
      <c r="AU34" s="1975"/>
      <c r="AV34" s="1975"/>
      <c r="AW34" s="1975"/>
      <c r="AX34" s="1975"/>
      <c r="AY34" s="1975"/>
      <c r="AZ34" s="1975"/>
      <c r="BA34" s="1975"/>
      <c r="BB34" s="1975"/>
      <c r="BC34" s="1975"/>
      <c r="BD34" s="1976"/>
      <c r="BE34" s="1215"/>
    </row>
    <row r="35" spans="1:58" ht="15.75" customHeight="1">
      <c r="A35" s="1208"/>
      <c r="B35" s="1961"/>
      <c r="C35" s="1962"/>
      <c r="D35" s="1962"/>
      <c r="E35" s="1962"/>
      <c r="F35" s="1962"/>
      <c r="G35" s="1962"/>
      <c r="H35" s="1962"/>
      <c r="I35" s="1962"/>
      <c r="J35" s="1965"/>
      <c r="K35" s="1965"/>
      <c r="L35" s="1965"/>
      <c r="M35" s="1965"/>
      <c r="N35" s="1965"/>
      <c r="O35" s="1965"/>
      <c r="P35" s="1965"/>
      <c r="Q35" s="1965"/>
      <c r="R35" s="1977">
        <v>0.3</v>
      </c>
      <c r="S35" s="1977"/>
      <c r="T35" s="1977"/>
      <c r="U35" s="1977"/>
      <c r="V35" s="1977">
        <v>0.4</v>
      </c>
      <c r="W35" s="1977"/>
      <c r="X35" s="1977"/>
      <c r="Y35" s="1977"/>
      <c r="Z35" s="1977">
        <v>0.5</v>
      </c>
      <c r="AA35" s="1977"/>
      <c r="AB35" s="1977"/>
      <c r="AC35" s="1977"/>
      <c r="AD35" s="1977">
        <v>0.6</v>
      </c>
      <c r="AE35" s="1977"/>
      <c r="AF35" s="1977"/>
      <c r="AG35" s="1977"/>
      <c r="AH35" s="1977">
        <v>0.7</v>
      </c>
      <c r="AI35" s="1977"/>
      <c r="AJ35" s="1977"/>
      <c r="AK35" s="1977"/>
      <c r="AL35" s="1982">
        <v>0.8</v>
      </c>
      <c r="AM35" s="1983"/>
      <c r="AN35" s="1983"/>
      <c r="AO35" s="1984"/>
      <c r="AP35" s="1985">
        <v>1.2</v>
      </c>
      <c r="AQ35" s="1986"/>
      <c r="AR35" s="1987"/>
      <c r="AS35" s="1979" t="s">
        <v>2356</v>
      </c>
      <c r="AT35" s="1980"/>
      <c r="AU35" s="1980"/>
      <c r="AV35" s="1980"/>
      <c r="AW35" s="1980"/>
      <c r="AX35" s="1988"/>
      <c r="AY35" s="1979" t="s">
        <v>2355</v>
      </c>
      <c r="AZ35" s="1980"/>
      <c r="BA35" s="1980"/>
      <c r="BB35" s="1980"/>
      <c r="BC35" s="1980"/>
      <c r="BD35" s="1981"/>
      <c r="BE35" s="1215"/>
    </row>
    <row r="36" spans="1:58" ht="15.75" customHeight="1">
      <c r="A36" s="1208"/>
      <c r="B36" s="1998" t="s">
        <v>2354</v>
      </c>
      <c r="C36" s="1999"/>
      <c r="D36" s="1999"/>
      <c r="E36" s="1999"/>
      <c r="F36" s="1999"/>
      <c r="G36" s="1999"/>
      <c r="H36" s="1999"/>
      <c r="I36" s="1999"/>
      <c r="J36" s="2000" t="s">
        <v>2353</v>
      </c>
      <c r="K36" s="2000"/>
      <c r="L36" s="2000"/>
      <c r="M36" s="2000"/>
      <c r="N36" s="2000">
        <v>55</v>
      </c>
      <c r="O36" s="2000"/>
      <c r="P36" s="2000"/>
      <c r="Q36" s="2000"/>
      <c r="R36" s="2001"/>
      <c r="S36" s="2001"/>
      <c r="T36" s="2001"/>
      <c r="U36" s="2001"/>
      <c r="V36" s="2001"/>
      <c r="W36" s="2001"/>
      <c r="X36" s="2001"/>
      <c r="Y36" s="2001"/>
      <c r="Z36" s="2001"/>
      <c r="AA36" s="2001"/>
      <c r="AB36" s="2001"/>
      <c r="AC36" s="2001"/>
      <c r="AD36" s="2001"/>
      <c r="AE36" s="2001"/>
      <c r="AF36" s="2001"/>
      <c r="AG36" s="2001"/>
      <c r="AH36" s="2001"/>
      <c r="AI36" s="2001"/>
      <c r="AJ36" s="2001"/>
      <c r="AK36" s="2001"/>
      <c r="AL36" s="1989"/>
      <c r="AM36" s="1990"/>
      <c r="AN36" s="1990"/>
      <c r="AO36" s="1991"/>
      <c r="AP36" s="1989"/>
      <c r="AQ36" s="1990"/>
      <c r="AR36" s="1991"/>
      <c r="AS36" s="1992">
        <f t="shared" ref="AS36:AS47" si="2">SUM(R36:AR36)</f>
        <v>0</v>
      </c>
      <c r="AT36" s="1993"/>
      <c r="AU36" s="1993"/>
      <c r="AV36" s="1993"/>
      <c r="AW36" s="1993"/>
      <c r="AX36" s="1994"/>
      <c r="AY36" s="1995">
        <f t="shared" ref="AY36:AY47" si="3">AS36/$J$29</f>
        <v>0</v>
      </c>
      <c r="AZ36" s="1996"/>
      <c r="BA36" s="1996"/>
      <c r="BB36" s="1996"/>
      <c r="BC36" s="1996"/>
      <c r="BD36" s="1997"/>
      <c r="BE36" s="1215"/>
    </row>
    <row r="37" spans="1:58" ht="15.75" customHeight="1">
      <c r="A37" s="1208"/>
      <c r="B37" s="1998" t="s">
        <v>2352</v>
      </c>
      <c r="C37" s="1999"/>
      <c r="D37" s="1999"/>
      <c r="E37" s="1999"/>
      <c r="F37" s="1999"/>
      <c r="G37" s="1999"/>
      <c r="H37" s="1999"/>
      <c r="I37" s="1999"/>
      <c r="J37" s="2000" t="s">
        <v>2351</v>
      </c>
      <c r="K37" s="2000"/>
      <c r="L37" s="2000"/>
      <c r="M37" s="2000"/>
      <c r="N37" s="2000">
        <v>55</v>
      </c>
      <c r="O37" s="2000"/>
      <c r="P37" s="2000"/>
      <c r="Q37" s="2000"/>
      <c r="R37" s="2001"/>
      <c r="S37" s="2001"/>
      <c r="T37" s="2001"/>
      <c r="U37" s="2001"/>
      <c r="V37" s="2001"/>
      <c r="W37" s="2001"/>
      <c r="X37" s="2001"/>
      <c r="Y37" s="2001"/>
      <c r="Z37" s="2001"/>
      <c r="AA37" s="2001"/>
      <c r="AB37" s="2001"/>
      <c r="AC37" s="2001"/>
      <c r="AD37" s="2001"/>
      <c r="AE37" s="2001"/>
      <c r="AF37" s="2001"/>
      <c r="AG37" s="2001"/>
      <c r="AH37" s="2001"/>
      <c r="AI37" s="2001"/>
      <c r="AJ37" s="2001"/>
      <c r="AK37" s="2001"/>
      <c r="AL37" s="1989"/>
      <c r="AM37" s="1990"/>
      <c r="AN37" s="1990"/>
      <c r="AO37" s="1991"/>
      <c r="AP37" s="1989"/>
      <c r="AQ37" s="1990"/>
      <c r="AR37" s="1991"/>
      <c r="AS37" s="1992">
        <f t="shared" si="2"/>
        <v>0</v>
      </c>
      <c r="AT37" s="1993"/>
      <c r="AU37" s="1993"/>
      <c r="AV37" s="1993"/>
      <c r="AW37" s="1993"/>
      <c r="AX37" s="1994"/>
      <c r="AY37" s="1995">
        <f t="shared" si="3"/>
        <v>0</v>
      </c>
      <c r="AZ37" s="1996"/>
      <c r="BA37" s="1996"/>
      <c r="BB37" s="1996"/>
      <c r="BC37" s="1996"/>
      <c r="BD37" s="1997"/>
      <c r="BE37" s="1215"/>
    </row>
    <row r="38" spans="1:58" ht="15.75" customHeight="1">
      <c r="A38" s="1208"/>
      <c r="B38" s="1998" t="s">
        <v>2350</v>
      </c>
      <c r="C38" s="1999"/>
      <c r="D38" s="1999"/>
      <c r="E38" s="1999"/>
      <c r="F38" s="1999"/>
      <c r="G38" s="1999"/>
      <c r="H38" s="1999"/>
      <c r="I38" s="1999"/>
      <c r="J38" s="2000" t="s">
        <v>2349</v>
      </c>
      <c r="K38" s="2000"/>
      <c r="L38" s="2000"/>
      <c r="M38" s="2000"/>
      <c r="N38" s="2000">
        <v>55</v>
      </c>
      <c r="O38" s="2000"/>
      <c r="P38" s="2000"/>
      <c r="Q38" s="2000"/>
      <c r="R38" s="2001"/>
      <c r="S38" s="2001"/>
      <c r="T38" s="2001"/>
      <c r="U38" s="2001"/>
      <c r="V38" s="2001"/>
      <c r="W38" s="2001"/>
      <c r="X38" s="2001"/>
      <c r="Y38" s="2001"/>
      <c r="Z38" s="2001"/>
      <c r="AA38" s="2001"/>
      <c r="AB38" s="2001"/>
      <c r="AC38" s="2001"/>
      <c r="AD38" s="2001"/>
      <c r="AE38" s="2001"/>
      <c r="AF38" s="2001"/>
      <c r="AG38" s="2001"/>
      <c r="AH38" s="2001"/>
      <c r="AI38" s="2001"/>
      <c r="AJ38" s="2001"/>
      <c r="AK38" s="2001"/>
      <c r="AL38" s="1989"/>
      <c r="AM38" s="1990"/>
      <c r="AN38" s="1990"/>
      <c r="AO38" s="1991"/>
      <c r="AP38" s="1989"/>
      <c r="AQ38" s="1990"/>
      <c r="AR38" s="1991"/>
      <c r="AS38" s="1992">
        <f t="shared" si="2"/>
        <v>0</v>
      </c>
      <c r="AT38" s="1993"/>
      <c r="AU38" s="1993"/>
      <c r="AV38" s="1993"/>
      <c r="AW38" s="1993"/>
      <c r="AX38" s="1994"/>
      <c r="AY38" s="1995">
        <f t="shared" si="3"/>
        <v>0</v>
      </c>
      <c r="AZ38" s="1996"/>
      <c r="BA38" s="1996"/>
      <c r="BB38" s="1996"/>
      <c r="BC38" s="1996"/>
      <c r="BD38" s="1997"/>
      <c r="BE38" s="1215"/>
    </row>
    <row r="39" spans="1:58" ht="15.75" customHeight="1">
      <c r="A39" s="1208"/>
      <c r="B39" s="1998" t="s">
        <v>2348</v>
      </c>
      <c r="C39" s="1999"/>
      <c r="D39" s="1999"/>
      <c r="E39" s="1999"/>
      <c r="F39" s="1999"/>
      <c r="G39" s="1999"/>
      <c r="H39" s="1999"/>
      <c r="I39" s="1999"/>
      <c r="J39" s="2000"/>
      <c r="K39" s="2000"/>
      <c r="L39" s="2000"/>
      <c r="M39" s="2000"/>
      <c r="N39" s="2000"/>
      <c r="O39" s="2000"/>
      <c r="P39" s="2000"/>
      <c r="Q39" s="2000"/>
      <c r="R39" s="2001"/>
      <c r="S39" s="2001"/>
      <c r="T39" s="2001"/>
      <c r="U39" s="2001"/>
      <c r="V39" s="2001"/>
      <c r="W39" s="2001"/>
      <c r="X39" s="2001"/>
      <c r="Y39" s="2001"/>
      <c r="Z39" s="2001"/>
      <c r="AA39" s="2001"/>
      <c r="AB39" s="2001"/>
      <c r="AC39" s="2001"/>
      <c r="AD39" s="2001"/>
      <c r="AE39" s="2001"/>
      <c r="AF39" s="2001"/>
      <c r="AG39" s="2001"/>
      <c r="AH39" s="2001"/>
      <c r="AI39" s="2001"/>
      <c r="AJ39" s="2001"/>
      <c r="AK39" s="2001"/>
      <c r="AL39" s="1989"/>
      <c r="AM39" s="1990"/>
      <c r="AN39" s="1990"/>
      <c r="AO39" s="1991"/>
      <c r="AP39" s="1989"/>
      <c r="AQ39" s="1990"/>
      <c r="AR39" s="1991"/>
      <c r="AS39" s="1992">
        <f t="shared" si="2"/>
        <v>0</v>
      </c>
      <c r="AT39" s="1993"/>
      <c r="AU39" s="1993"/>
      <c r="AV39" s="1993"/>
      <c r="AW39" s="1993"/>
      <c r="AX39" s="1994"/>
      <c r="AY39" s="1995">
        <f t="shared" si="3"/>
        <v>0</v>
      </c>
      <c r="AZ39" s="1996"/>
      <c r="BA39" s="1996"/>
      <c r="BB39" s="1996"/>
      <c r="BC39" s="1996"/>
      <c r="BD39" s="1997"/>
      <c r="BE39" s="1215"/>
    </row>
    <row r="40" spans="1:58" ht="15.75" customHeight="1">
      <c r="A40" s="1208"/>
      <c r="B40" s="1998" t="s">
        <v>2348</v>
      </c>
      <c r="C40" s="1999"/>
      <c r="D40" s="1999"/>
      <c r="E40" s="1999"/>
      <c r="F40" s="1999"/>
      <c r="G40" s="1999"/>
      <c r="H40" s="1999"/>
      <c r="I40" s="1999"/>
      <c r="J40" s="2000"/>
      <c r="K40" s="2000"/>
      <c r="L40" s="2000"/>
      <c r="M40" s="2000"/>
      <c r="N40" s="2000"/>
      <c r="O40" s="2000"/>
      <c r="P40" s="2000"/>
      <c r="Q40" s="2000"/>
      <c r="R40" s="2001"/>
      <c r="S40" s="2001"/>
      <c r="T40" s="2001"/>
      <c r="U40" s="2001"/>
      <c r="V40" s="2001"/>
      <c r="W40" s="2001"/>
      <c r="X40" s="2001"/>
      <c r="Y40" s="2001"/>
      <c r="Z40" s="2001"/>
      <c r="AA40" s="2001"/>
      <c r="AB40" s="2001"/>
      <c r="AC40" s="2001"/>
      <c r="AD40" s="2001"/>
      <c r="AE40" s="2001"/>
      <c r="AF40" s="2001"/>
      <c r="AG40" s="2001"/>
      <c r="AH40" s="2001"/>
      <c r="AI40" s="2001"/>
      <c r="AJ40" s="2001"/>
      <c r="AK40" s="2001"/>
      <c r="AL40" s="1989"/>
      <c r="AM40" s="1990"/>
      <c r="AN40" s="1990"/>
      <c r="AO40" s="1991"/>
      <c r="AP40" s="1989"/>
      <c r="AQ40" s="1990"/>
      <c r="AR40" s="1991"/>
      <c r="AS40" s="1992">
        <f t="shared" si="2"/>
        <v>0</v>
      </c>
      <c r="AT40" s="1993"/>
      <c r="AU40" s="1993"/>
      <c r="AV40" s="1993"/>
      <c r="AW40" s="1993"/>
      <c r="AX40" s="1994"/>
      <c r="AY40" s="1995">
        <f t="shared" si="3"/>
        <v>0</v>
      </c>
      <c r="AZ40" s="1996"/>
      <c r="BA40" s="1996"/>
      <c r="BB40" s="1996"/>
      <c r="BC40" s="1996"/>
      <c r="BD40" s="1997"/>
      <c r="BE40" s="1215"/>
    </row>
    <row r="41" spans="1:58" ht="15.75" customHeight="1">
      <c r="A41" s="1208"/>
      <c r="B41" s="1998" t="s">
        <v>2347</v>
      </c>
      <c r="C41" s="1999"/>
      <c r="D41" s="1999"/>
      <c r="E41" s="1999"/>
      <c r="F41" s="1999"/>
      <c r="G41" s="1999"/>
      <c r="H41" s="1999"/>
      <c r="I41" s="1999"/>
      <c r="J41" s="2000"/>
      <c r="K41" s="2000"/>
      <c r="L41" s="2000"/>
      <c r="M41" s="2000"/>
      <c r="N41" s="2000"/>
      <c r="O41" s="2000"/>
      <c r="P41" s="2000"/>
      <c r="Q41" s="2000"/>
      <c r="R41" s="2001"/>
      <c r="S41" s="2001"/>
      <c r="T41" s="2001"/>
      <c r="U41" s="2001"/>
      <c r="V41" s="2001"/>
      <c r="W41" s="2001"/>
      <c r="X41" s="2001"/>
      <c r="Y41" s="2001"/>
      <c r="Z41" s="2001"/>
      <c r="AA41" s="2001"/>
      <c r="AB41" s="2001"/>
      <c r="AC41" s="2001"/>
      <c r="AD41" s="2001"/>
      <c r="AE41" s="2001"/>
      <c r="AF41" s="2001"/>
      <c r="AG41" s="2001"/>
      <c r="AH41" s="2001"/>
      <c r="AI41" s="2001"/>
      <c r="AJ41" s="2001"/>
      <c r="AK41" s="2001"/>
      <c r="AL41" s="1989"/>
      <c r="AM41" s="1990"/>
      <c r="AN41" s="1990"/>
      <c r="AO41" s="1991"/>
      <c r="AP41" s="1989"/>
      <c r="AQ41" s="1990"/>
      <c r="AR41" s="1991"/>
      <c r="AS41" s="1992">
        <f t="shared" si="2"/>
        <v>0</v>
      </c>
      <c r="AT41" s="1993"/>
      <c r="AU41" s="1993"/>
      <c r="AV41" s="1993"/>
      <c r="AW41" s="1993"/>
      <c r="AX41" s="1994"/>
      <c r="AY41" s="1995">
        <f t="shared" si="3"/>
        <v>0</v>
      </c>
      <c r="AZ41" s="1996"/>
      <c r="BA41" s="1996"/>
      <c r="BB41" s="1996"/>
      <c r="BC41" s="1996"/>
      <c r="BD41" s="1997"/>
      <c r="BE41" s="1215"/>
    </row>
    <row r="42" spans="1:58" ht="15.75" customHeight="1">
      <c r="A42" s="1208"/>
      <c r="B42" s="1998" t="s">
        <v>2347</v>
      </c>
      <c r="C42" s="1999"/>
      <c r="D42" s="1999"/>
      <c r="E42" s="1999"/>
      <c r="F42" s="1999"/>
      <c r="G42" s="1999"/>
      <c r="H42" s="1999"/>
      <c r="I42" s="1999"/>
      <c r="J42" s="2000"/>
      <c r="K42" s="2000"/>
      <c r="L42" s="2000"/>
      <c r="M42" s="2000"/>
      <c r="N42" s="2000"/>
      <c r="O42" s="2000"/>
      <c r="P42" s="2000"/>
      <c r="Q42" s="2000"/>
      <c r="R42" s="2001"/>
      <c r="S42" s="2001"/>
      <c r="T42" s="2001"/>
      <c r="U42" s="2001"/>
      <c r="V42" s="2001"/>
      <c r="W42" s="2001"/>
      <c r="X42" s="2001"/>
      <c r="Y42" s="2001"/>
      <c r="Z42" s="2001"/>
      <c r="AA42" s="2001"/>
      <c r="AB42" s="2001"/>
      <c r="AC42" s="2001"/>
      <c r="AD42" s="2001"/>
      <c r="AE42" s="2001"/>
      <c r="AF42" s="2001"/>
      <c r="AG42" s="2001"/>
      <c r="AH42" s="2001"/>
      <c r="AI42" s="2001"/>
      <c r="AJ42" s="2001"/>
      <c r="AK42" s="2001"/>
      <c r="AL42" s="1989"/>
      <c r="AM42" s="1990"/>
      <c r="AN42" s="1990"/>
      <c r="AO42" s="1991"/>
      <c r="AP42" s="1989"/>
      <c r="AQ42" s="1990"/>
      <c r="AR42" s="1991"/>
      <c r="AS42" s="1992">
        <f t="shared" si="2"/>
        <v>0</v>
      </c>
      <c r="AT42" s="1993"/>
      <c r="AU42" s="1993"/>
      <c r="AV42" s="1993"/>
      <c r="AW42" s="1993"/>
      <c r="AX42" s="1994"/>
      <c r="AY42" s="1995">
        <f t="shared" si="3"/>
        <v>0</v>
      </c>
      <c r="AZ42" s="1996"/>
      <c r="BA42" s="1996"/>
      <c r="BB42" s="1996"/>
      <c r="BC42" s="1996"/>
      <c r="BD42" s="1997"/>
      <c r="BE42" s="1215"/>
    </row>
    <row r="43" spans="1:58" ht="15.75" customHeight="1">
      <c r="A43" s="1208"/>
      <c r="B43" s="2002" t="s">
        <v>2346</v>
      </c>
      <c r="C43" s="2003"/>
      <c r="D43" s="2003"/>
      <c r="E43" s="2003"/>
      <c r="F43" s="2003"/>
      <c r="G43" s="2003"/>
      <c r="H43" s="2003"/>
      <c r="I43" s="2003"/>
      <c r="J43" s="2000"/>
      <c r="K43" s="2000"/>
      <c r="L43" s="2000"/>
      <c r="M43" s="2000"/>
      <c r="N43" s="2000"/>
      <c r="O43" s="2000"/>
      <c r="P43" s="2000"/>
      <c r="Q43" s="2000"/>
      <c r="R43" s="2001"/>
      <c r="S43" s="2001"/>
      <c r="T43" s="2001"/>
      <c r="U43" s="2001"/>
      <c r="V43" s="2001"/>
      <c r="W43" s="2001"/>
      <c r="X43" s="2001"/>
      <c r="Y43" s="2001"/>
      <c r="Z43" s="2001"/>
      <c r="AA43" s="2001"/>
      <c r="AB43" s="2001"/>
      <c r="AC43" s="2001"/>
      <c r="AD43" s="2001"/>
      <c r="AE43" s="2001"/>
      <c r="AF43" s="2001"/>
      <c r="AG43" s="2001"/>
      <c r="AH43" s="2001"/>
      <c r="AI43" s="2001"/>
      <c r="AJ43" s="2001"/>
      <c r="AK43" s="2001"/>
      <c r="AL43" s="1989"/>
      <c r="AM43" s="1990"/>
      <c r="AN43" s="1990"/>
      <c r="AO43" s="1991"/>
      <c r="AP43" s="1989"/>
      <c r="AQ43" s="1990"/>
      <c r="AR43" s="1991"/>
      <c r="AS43" s="1992">
        <f t="shared" si="2"/>
        <v>0</v>
      </c>
      <c r="AT43" s="1993"/>
      <c r="AU43" s="1993"/>
      <c r="AV43" s="1993"/>
      <c r="AW43" s="1993"/>
      <c r="AX43" s="1994"/>
      <c r="AY43" s="1995">
        <f t="shared" si="3"/>
        <v>0</v>
      </c>
      <c r="AZ43" s="1996"/>
      <c r="BA43" s="1996"/>
      <c r="BB43" s="1996"/>
      <c r="BC43" s="1996"/>
      <c r="BD43" s="1997"/>
      <c r="BE43" s="1215"/>
    </row>
    <row r="44" spans="1:58" ht="15.75" customHeight="1">
      <c r="A44" s="1208"/>
      <c r="B44" s="2002" t="s">
        <v>2345</v>
      </c>
      <c r="C44" s="2003"/>
      <c r="D44" s="2003"/>
      <c r="E44" s="2003"/>
      <c r="F44" s="2003"/>
      <c r="G44" s="2003"/>
      <c r="H44" s="2003"/>
      <c r="I44" s="2003"/>
      <c r="J44" s="2000"/>
      <c r="K44" s="2000"/>
      <c r="L44" s="2000"/>
      <c r="M44" s="2000"/>
      <c r="N44" s="2000"/>
      <c r="O44" s="2000"/>
      <c r="P44" s="2000"/>
      <c r="Q44" s="2000"/>
      <c r="R44" s="2001"/>
      <c r="S44" s="2001"/>
      <c r="T44" s="2001"/>
      <c r="U44" s="2001"/>
      <c r="V44" s="2001"/>
      <c r="W44" s="2001"/>
      <c r="X44" s="2001"/>
      <c r="Y44" s="2001"/>
      <c r="Z44" s="2001"/>
      <c r="AA44" s="2001"/>
      <c r="AB44" s="2001"/>
      <c r="AC44" s="2001"/>
      <c r="AD44" s="2001"/>
      <c r="AE44" s="2001"/>
      <c r="AF44" s="2001"/>
      <c r="AG44" s="2001"/>
      <c r="AH44" s="2001"/>
      <c r="AI44" s="2001"/>
      <c r="AJ44" s="2001"/>
      <c r="AK44" s="2001"/>
      <c r="AL44" s="1989"/>
      <c r="AM44" s="1990"/>
      <c r="AN44" s="1990"/>
      <c r="AO44" s="1991"/>
      <c r="AP44" s="1989"/>
      <c r="AQ44" s="1990"/>
      <c r="AR44" s="1991"/>
      <c r="AS44" s="1992">
        <f t="shared" si="2"/>
        <v>0</v>
      </c>
      <c r="AT44" s="1993"/>
      <c r="AU44" s="1993"/>
      <c r="AV44" s="1993"/>
      <c r="AW44" s="1993"/>
      <c r="AX44" s="1994"/>
      <c r="AY44" s="1995">
        <f t="shared" si="3"/>
        <v>0</v>
      </c>
      <c r="AZ44" s="1996"/>
      <c r="BA44" s="1996"/>
      <c r="BB44" s="1996"/>
      <c r="BC44" s="1996"/>
      <c r="BD44" s="1997"/>
      <c r="BE44" s="1215"/>
    </row>
    <row r="45" spans="1:58" ht="15.75" customHeight="1">
      <c r="A45" s="1208"/>
      <c r="B45" s="2002" t="s">
        <v>2344</v>
      </c>
      <c r="C45" s="2003"/>
      <c r="D45" s="2003"/>
      <c r="E45" s="2003"/>
      <c r="F45" s="2003"/>
      <c r="G45" s="2003"/>
      <c r="H45" s="2003"/>
      <c r="I45" s="2003"/>
      <c r="J45" s="2000"/>
      <c r="K45" s="2000"/>
      <c r="L45" s="2000"/>
      <c r="M45" s="2000"/>
      <c r="N45" s="2000"/>
      <c r="O45" s="2000"/>
      <c r="P45" s="2000"/>
      <c r="Q45" s="2000"/>
      <c r="R45" s="2001"/>
      <c r="S45" s="2001"/>
      <c r="T45" s="2001"/>
      <c r="U45" s="2001"/>
      <c r="V45" s="2001"/>
      <c r="W45" s="2001"/>
      <c r="X45" s="2001"/>
      <c r="Y45" s="2001"/>
      <c r="Z45" s="2001"/>
      <c r="AA45" s="2001"/>
      <c r="AB45" s="2001"/>
      <c r="AC45" s="2001"/>
      <c r="AD45" s="2001"/>
      <c r="AE45" s="2001"/>
      <c r="AF45" s="2001"/>
      <c r="AG45" s="2001"/>
      <c r="AH45" s="2001"/>
      <c r="AI45" s="2001"/>
      <c r="AJ45" s="2001"/>
      <c r="AK45" s="2001"/>
      <c r="AL45" s="1989"/>
      <c r="AM45" s="1990"/>
      <c r="AN45" s="1990"/>
      <c r="AO45" s="1991"/>
      <c r="AP45" s="1989"/>
      <c r="AQ45" s="1990"/>
      <c r="AR45" s="1991"/>
      <c r="AS45" s="1992">
        <f t="shared" si="2"/>
        <v>0</v>
      </c>
      <c r="AT45" s="1993"/>
      <c r="AU45" s="1993"/>
      <c r="AV45" s="1993"/>
      <c r="AW45" s="1993"/>
      <c r="AX45" s="1994"/>
      <c r="AY45" s="1995">
        <f t="shared" si="3"/>
        <v>0</v>
      </c>
      <c r="AZ45" s="1996"/>
      <c r="BA45" s="1996"/>
      <c r="BB45" s="1996"/>
      <c r="BC45" s="1996"/>
      <c r="BD45" s="1997"/>
      <c r="BE45" s="1215"/>
    </row>
    <row r="46" spans="1:58" ht="15.75" customHeight="1">
      <c r="A46" s="1208"/>
      <c r="B46" s="2002" t="s">
        <v>2276</v>
      </c>
      <c r="C46" s="2003"/>
      <c r="D46" s="2003"/>
      <c r="E46" s="2003"/>
      <c r="F46" s="2003"/>
      <c r="G46" s="2003"/>
      <c r="H46" s="2003"/>
      <c r="I46" s="2003"/>
      <c r="J46" s="2000"/>
      <c r="K46" s="2000"/>
      <c r="L46" s="2000"/>
      <c r="M46" s="2000"/>
      <c r="N46" s="2000">
        <v>99</v>
      </c>
      <c r="O46" s="2000"/>
      <c r="P46" s="2000"/>
      <c r="Q46" s="2000"/>
      <c r="R46" s="2001"/>
      <c r="S46" s="2001"/>
      <c r="T46" s="2001"/>
      <c r="U46" s="2001"/>
      <c r="V46" s="2001"/>
      <c r="W46" s="2001"/>
      <c r="X46" s="2001"/>
      <c r="Y46" s="2001"/>
      <c r="Z46" s="2001"/>
      <c r="AA46" s="2001"/>
      <c r="AB46" s="2001"/>
      <c r="AC46" s="2001"/>
      <c r="AD46" s="2001"/>
      <c r="AE46" s="2001"/>
      <c r="AF46" s="2001"/>
      <c r="AG46" s="2001"/>
      <c r="AH46" s="2001"/>
      <c r="AI46" s="2001"/>
      <c r="AJ46" s="2001"/>
      <c r="AK46" s="2001"/>
      <c r="AL46" s="1989"/>
      <c r="AM46" s="1990"/>
      <c r="AN46" s="1990"/>
      <c r="AO46" s="1991"/>
      <c r="AP46" s="1989"/>
      <c r="AQ46" s="1990"/>
      <c r="AR46" s="1991"/>
      <c r="AS46" s="1992">
        <f t="shared" si="2"/>
        <v>0</v>
      </c>
      <c r="AT46" s="1993"/>
      <c r="AU46" s="1993"/>
      <c r="AV46" s="1993"/>
      <c r="AW46" s="1993"/>
      <c r="AX46" s="1994"/>
      <c r="AY46" s="1995">
        <f t="shared" si="3"/>
        <v>0</v>
      </c>
      <c r="AZ46" s="1996"/>
      <c r="BA46" s="1996"/>
      <c r="BB46" s="1996"/>
      <c r="BC46" s="1996"/>
      <c r="BD46" s="1997"/>
      <c r="BE46" s="1215"/>
    </row>
    <row r="47" spans="1:58" ht="15.75" customHeight="1" thickBot="1">
      <c r="A47" s="1208"/>
      <c r="B47" s="2004" t="s">
        <v>299</v>
      </c>
      <c r="C47" s="2005"/>
      <c r="D47" s="2005"/>
      <c r="E47" s="2005"/>
      <c r="F47" s="2005"/>
      <c r="G47" s="2005"/>
      <c r="H47" s="2005"/>
      <c r="I47" s="2005"/>
      <c r="J47" s="2006"/>
      <c r="K47" s="2006"/>
      <c r="L47" s="2006"/>
      <c r="M47" s="2006"/>
      <c r="N47" s="2006"/>
      <c r="O47" s="2006"/>
      <c r="P47" s="2006"/>
      <c r="Q47" s="2006"/>
      <c r="R47" s="2007"/>
      <c r="S47" s="2007"/>
      <c r="T47" s="2007"/>
      <c r="U47" s="2007"/>
      <c r="V47" s="2007"/>
      <c r="W47" s="2007"/>
      <c r="X47" s="2007"/>
      <c r="Y47" s="2007"/>
      <c r="Z47" s="2007"/>
      <c r="AA47" s="2007"/>
      <c r="AB47" s="2007"/>
      <c r="AC47" s="2007"/>
      <c r="AD47" s="2007"/>
      <c r="AE47" s="2007"/>
      <c r="AF47" s="2007"/>
      <c r="AG47" s="2007"/>
      <c r="AH47" s="2007"/>
      <c r="AI47" s="2007"/>
      <c r="AJ47" s="2007"/>
      <c r="AK47" s="2007"/>
      <c r="AL47" s="2011"/>
      <c r="AM47" s="2012"/>
      <c r="AN47" s="2012"/>
      <c r="AO47" s="2013"/>
      <c r="AP47" s="2011"/>
      <c r="AQ47" s="2012"/>
      <c r="AR47" s="2013"/>
      <c r="AS47" s="1992">
        <f t="shared" si="2"/>
        <v>0</v>
      </c>
      <c r="AT47" s="1993"/>
      <c r="AU47" s="1993"/>
      <c r="AV47" s="1993"/>
      <c r="AW47" s="1993"/>
      <c r="AX47" s="1994"/>
      <c r="AY47" s="2008">
        <f t="shared" si="3"/>
        <v>0</v>
      </c>
      <c r="AZ47" s="2009"/>
      <c r="BA47" s="2009"/>
      <c r="BB47" s="2009"/>
      <c r="BC47" s="2009"/>
      <c r="BD47" s="2010"/>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4" t="s">
        <v>2341</v>
      </c>
      <c r="C50" s="2015"/>
      <c r="D50" s="2015"/>
      <c r="E50" s="2015"/>
      <c r="F50" s="2015"/>
      <c r="G50" s="2015"/>
      <c r="H50" s="2015"/>
      <c r="I50" s="2015"/>
      <c r="J50" s="2015"/>
      <c r="K50" s="2015"/>
      <c r="L50" s="2015"/>
      <c r="M50" s="2015"/>
      <c r="N50" s="2015"/>
      <c r="O50" s="2015"/>
      <c r="P50" s="2015"/>
      <c r="Q50" s="2015"/>
      <c r="R50" s="2015"/>
      <c r="S50" s="2015"/>
      <c r="T50" s="2015"/>
      <c r="U50" s="2015"/>
      <c r="V50" s="2015"/>
      <c r="W50" s="2015"/>
      <c r="X50" s="2015"/>
      <c r="Y50" s="2015"/>
      <c r="Z50" s="2015"/>
      <c r="AA50" s="2015"/>
      <c r="AB50" s="2015"/>
      <c r="AC50" s="2015"/>
      <c r="AD50" s="2015"/>
      <c r="AE50" s="2015"/>
      <c r="AF50" s="2015"/>
      <c r="AG50" s="2015"/>
      <c r="AH50" s="2015"/>
      <c r="AI50" s="2015"/>
      <c r="AJ50" s="2015"/>
      <c r="AK50" s="2015"/>
      <c r="AL50" s="2015"/>
      <c r="AM50" s="2015"/>
      <c r="AN50" s="2015"/>
      <c r="AO50" s="2016"/>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17" t="s">
        <v>2334</v>
      </c>
      <c r="C51" s="2018"/>
      <c r="D51" s="2018"/>
      <c r="E51" s="2018"/>
      <c r="F51" s="2018"/>
      <c r="G51" s="2018"/>
      <c r="H51" s="2018"/>
      <c r="I51" s="2018"/>
      <c r="J51" s="2018" t="s">
        <v>2340</v>
      </c>
      <c r="K51" s="2018"/>
      <c r="L51" s="2018"/>
      <c r="M51" s="2018"/>
      <c r="N51" s="2018"/>
      <c r="O51" s="2018"/>
      <c r="P51" s="2018"/>
      <c r="Q51" s="2018"/>
      <c r="R51" s="2019" t="s">
        <v>2339</v>
      </c>
      <c r="S51" s="2019"/>
      <c r="T51" s="2019"/>
      <c r="U51" s="2019"/>
      <c r="V51" s="2019"/>
      <c r="W51" s="2019"/>
      <c r="X51" s="2019"/>
      <c r="Y51" s="2019"/>
      <c r="Z51" s="2019" t="s">
        <v>2338</v>
      </c>
      <c r="AA51" s="2019"/>
      <c r="AB51" s="2019"/>
      <c r="AC51" s="2019"/>
      <c r="AD51" s="2019"/>
      <c r="AE51" s="2019"/>
      <c r="AF51" s="2019"/>
      <c r="AG51" s="2019"/>
      <c r="AH51" s="2019" t="s">
        <v>2337</v>
      </c>
      <c r="AI51" s="2019"/>
      <c r="AJ51" s="2019"/>
      <c r="AK51" s="2019"/>
      <c r="AL51" s="2019"/>
      <c r="AM51" s="2019"/>
      <c r="AN51" s="2019"/>
      <c r="AO51" s="2020"/>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2" t="s">
        <v>2336</v>
      </c>
      <c r="C52" s="2003"/>
      <c r="D52" s="2003"/>
      <c r="E52" s="2003"/>
      <c r="F52" s="2003"/>
      <c r="G52" s="2003"/>
      <c r="H52" s="2003"/>
      <c r="I52" s="2003"/>
      <c r="J52" s="2021">
        <v>0</v>
      </c>
      <c r="K52" s="2021"/>
      <c r="L52" s="2021"/>
      <c r="M52" s="2021"/>
      <c r="N52" s="2021"/>
      <c r="O52" s="2021"/>
      <c r="P52" s="2021"/>
      <c r="Q52" s="2021"/>
      <c r="R52" s="2022">
        <v>0</v>
      </c>
      <c r="S52" s="2022"/>
      <c r="T52" s="2022"/>
      <c r="U52" s="2022"/>
      <c r="V52" s="2022"/>
      <c r="W52" s="2022"/>
      <c r="X52" s="2022"/>
      <c r="Y52" s="2022"/>
      <c r="Z52" s="2023">
        <v>0</v>
      </c>
      <c r="AA52" s="2023"/>
      <c r="AB52" s="2023"/>
      <c r="AC52" s="2023"/>
      <c r="AD52" s="2023"/>
      <c r="AE52" s="2023"/>
      <c r="AF52" s="2023"/>
      <c r="AG52" s="2023"/>
      <c r="AH52" s="2024"/>
      <c r="AI52" s="2024"/>
      <c r="AJ52" s="2024"/>
      <c r="AK52" s="2024"/>
      <c r="AL52" s="2024"/>
      <c r="AM52" s="2024"/>
      <c r="AN52" s="2024"/>
      <c r="AO52" s="2025"/>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2" t="s">
        <v>2335</v>
      </c>
      <c r="C53" s="2003"/>
      <c r="D53" s="2003"/>
      <c r="E53" s="2003"/>
      <c r="F53" s="2003"/>
      <c r="G53" s="2003"/>
      <c r="H53" s="2003"/>
      <c r="I53" s="2003"/>
      <c r="J53" s="2021">
        <v>0</v>
      </c>
      <c r="K53" s="2021"/>
      <c r="L53" s="2021"/>
      <c r="M53" s="2021"/>
      <c r="N53" s="2021"/>
      <c r="O53" s="2021"/>
      <c r="P53" s="2021"/>
      <c r="Q53" s="2021"/>
      <c r="R53" s="2022">
        <v>0</v>
      </c>
      <c r="S53" s="2022"/>
      <c r="T53" s="2022"/>
      <c r="U53" s="2022"/>
      <c r="V53" s="2022"/>
      <c r="W53" s="2022"/>
      <c r="X53" s="2022"/>
      <c r="Y53" s="2022"/>
      <c r="Z53" s="2023">
        <v>0</v>
      </c>
      <c r="AA53" s="2023"/>
      <c r="AB53" s="2023"/>
      <c r="AC53" s="2023"/>
      <c r="AD53" s="2023"/>
      <c r="AE53" s="2023"/>
      <c r="AF53" s="2023"/>
      <c r="AG53" s="2023"/>
      <c r="AH53" s="2024"/>
      <c r="AI53" s="2024"/>
      <c r="AJ53" s="2024"/>
      <c r="AK53" s="2024"/>
      <c r="AL53" s="2024"/>
      <c r="AM53" s="2024"/>
      <c r="AN53" s="2024"/>
      <c r="AO53" s="2025"/>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2"/>
      <c r="C54" s="2003"/>
      <c r="D54" s="2003"/>
      <c r="E54" s="2003"/>
      <c r="F54" s="2003"/>
      <c r="G54" s="2003"/>
      <c r="H54" s="2003"/>
      <c r="I54" s="2003"/>
      <c r="J54" s="2021"/>
      <c r="K54" s="2021"/>
      <c r="L54" s="2021"/>
      <c r="M54" s="2021"/>
      <c r="N54" s="2021"/>
      <c r="O54" s="2021"/>
      <c r="P54" s="2021"/>
      <c r="Q54" s="2021"/>
      <c r="R54" s="2022"/>
      <c r="S54" s="2022"/>
      <c r="T54" s="2022"/>
      <c r="U54" s="2022"/>
      <c r="V54" s="2022"/>
      <c r="W54" s="2022"/>
      <c r="X54" s="2022"/>
      <c r="Y54" s="2022"/>
      <c r="Z54" s="2023"/>
      <c r="AA54" s="2023"/>
      <c r="AB54" s="2023"/>
      <c r="AC54" s="2023"/>
      <c r="AD54" s="2023"/>
      <c r="AE54" s="2023"/>
      <c r="AF54" s="2023"/>
      <c r="AG54" s="2023"/>
      <c r="AH54" s="2024"/>
      <c r="AI54" s="2024"/>
      <c r="AJ54" s="2024"/>
      <c r="AK54" s="2024"/>
      <c r="AL54" s="2024"/>
      <c r="AM54" s="2024"/>
      <c r="AN54" s="2024"/>
      <c r="AO54" s="2025"/>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2"/>
      <c r="C55" s="2003"/>
      <c r="D55" s="2003"/>
      <c r="E55" s="2003"/>
      <c r="F55" s="2003"/>
      <c r="G55" s="2003"/>
      <c r="H55" s="2003"/>
      <c r="I55" s="2003"/>
      <c r="J55" s="2021"/>
      <c r="K55" s="2021"/>
      <c r="L55" s="2021"/>
      <c r="M55" s="2021"/>
      <c r="N55" s="2021"/>
      <c r="O55" s="2021"/>
      <c r="P55" s="2021"/>
      <c r="Q55" s="2021"/>
      <c r="R55" s="2022"/>
      <c r="S55" s="2022"/>
      <c r="T55" s="2022"/>
      <c r="U55" s="2022"/>
      <c r="V55" s="2022"/>
      <c r="W55" s="2022"/>
      <c r="X55" s="2022"/>
      <c r="Y55" s="2022"/>
      <c r="Z55" s="2023"/>
      <c r="AA55" s="2023"/>
      <c r="AB55" s="2023"/>
      <c r="AC55" s="2023"/>
      <c r="AD55" s="2023"/>
      <c r="AE55" s="2023"/>
      <c r="AF55" s="2023"/>
      <c r="AG55" s="2023"/>
      <c r="AH55" s="2024"/>
      <c r="AI55" s="2024"/>
      <c r="AJ55" s="2024"/>
      <c r="AK55" s="2024"/>
      <c r="AL55" s="2024"/>
      <c r="AM55" s="2024"/>
      <c r="AN55" s="2024"/>
      <c r="AO55" s="2025"/>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02"/>
      <c r="C56" s="2003"/>
      <c r="D56" s="2003"/>
      <c r="E56" s="2003"/>
      <c r="F56" s="2003"/>
      <c r="G56" s="2003"/>
      <c r="H56" s="2003"/>
      <c r="I56" s="2003"/>
      <c r="J56" s="2021"/>
      <c r="K56" s="2021"/>
      <c r="L56" s="2021"/>
      <c r="M56" s="2021"/>
      <c r="N56" s="2021"/>
      <c r="O56" s="2021"/>
      <c r="P56" s="2021"/>
      <c r="Q56" s="2021"/>
      <c r="R56" s="2022"/>
      <c r="S56" s="2022"/>
      <c r="T56" s="2022"/>
      <c r="U56" s="2022"/>
      <c r="V56" s="2022"/>
      <c r="W56" s="2022"/>
      <c r="X56" s="2022"/>
      <c r="Y56" s="2022"/>
      <c r="Z56" s="2023"/>
      <c r="AA56" s="2023"/>
      <c r="AB56" s="2023"/>
      <c r="AC56" s="2023"/>
      <c r="AD56" s="2023"/>
      <c r="AE56" s="2023"/>
      <c r="AF56" s="2023"/>
      <c r="AG56" s="2023"/>
      <c r="AH56" s="2024"/>
      <c r="AI56" s="2024"/>
      <c r="AJ56" s="2024"/>
      <c r="AK56" s="2024"/>
      <c r="AL56" s="2024"/>
      <c r="AM56" s="2024"/>
      <c r="AN56" s="2024"/>
      <c r="AO56" s="2025"/>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5" t="s">
        <v>1574</v>
      </c>
      <c r="C57" s="2036"/>
      <c r="D57" s="2036"/>
      <c r="E57" s="2036"/>
      <c r="F57" s="2036"/>
      <c r="G57" s="2036"/>
      <c r="H57" s="2036"/>
      <c r="I57" s="2036"/>
      <c r="J57" s="2036"/>
      <c r="K57" s="2036"/>
      <c r="L57" s="2036"/>
      <c r="M57" s="2036"/>
      <c r="N57" s="2036"/>
      <c r="O57" s="2036"/>
      <c r="P57" s="2036"/>
      <c r="Q57" s="2036"/>
      <c r="R57" s="2037">
        <f>SUM(R52:Y56)</f>
        <v>0</v>
      </c>
      <c r="S57" s="2037"/>
      <c r="T57" s="2037"/>
      <c r="U57" s="2037"/>
      <c r="V57" s="2037"/>
      <c r="W57" s="2037"/>
      <c r="X57" s="2037"/>
      <c r="Y57" s="2037"/>
      <c r="Z57" s="2038">
        <f>SUM(Z52:AG56)</f>
        <v>0</v>
      </c>
      <c r="AA57" s="2038"/>
      <c r="AB57" s="2038"/>
      <c r="AC57" s="2038"/>
      <c r="AD57" s="2038"/>
      <c r="AE57" s="2038"/>
      <c r="AF57" s="2038"/>
      <c r="AG57" s="2038"/>
      <c r="AH57" s="2039"/>
      <c r="AI57" s="2039"/>
      <c r="AJ57" s="2039"/>
      <c r="AK57" s="2039"/>
      <c r="AL57" s="2039"/>
      <c r="AM57" s="2039"/>
      <c r="AN57" s="2039"/>
      <c r="AO57" s="2040"/>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6" t="s">
        <v>2334</v>
      </c>
      <c r="C59" s="2027"/>
      <c r="D59" s="2027"/>
      <c r="E59" s="2027"/>
      <c r="F59" s="2027"/>
      <c r="G59" s="2027"/>
      <c r="H59" s="2027"/>
      <c r="I59" s="2028"/>
      <c r="J59" s="1920" t="s">
        <v>2333</v>
      </c>
      <c r="K59" s="1920"/>
      <c r="L59" s="1920"/>
      <c r="M59" s="1920"/>
      <c r="N59" s="1920"/>
      <c r="O59" s="1920"/>
      <c r="P59" s="1920"/>
      <c r="Q59" s="1920"/>
      <c r="R59" s="1920"/>
      <c r="S59" s="1920"/>
      <c r="T59" s="1920"/>
      <c r="U59" s="1920"/>
      <c r="V59" s="1920"/>
      <c r="W59" s="1920"/>
      <c r="X59" s="1920"/>
      <c r="Y59" s="1920"/>
      <c r="Z59" s="1920"/>
      <c r="AA59" s="1920"/>
      <c r="AB59" s="1920"/>
      <c r="AC59" s="1920"/>
      <c r="AD59" s="1920"/>
      <c r="AE59" s="1920"/>
      <c r="AF59" s="1920"/>
      <c r="AG59" s="1920"/>
      <c r="AH59" s="1920"/>
      <c r="AI59" s="1920"/>
      <c r="AJ59" s="1920"/>
      <c r="AK59" s="1920"/>
      <c r="AL59" s="1920"/>
      <c r="AM59" s="1920"/>
      <c r="AN59" s="1920"/>
      <c r="AO59" s="1920"/>
      <c r="AP59" s="1920"/>
      <c r="AQ59" s="1920"/>
      <c r="AR59" s="1920"/>
      <c r="AS59" s="1920"/>
      <c r="AT59" s="1920"/>
      <c r="AU59" s="1920"/>
      <c r="AV59" s="1920"/>
      <c r="AW59" s="1921"/>
      <c r="AX59" s="1208"/>
      <c r="AY59" s="1208"/>
      <c r="AZ59" s="1208"/>
      <c r="BA59" s="1208"/>
      <c r="BB59" s="1208"/>
      <c r="BC59" s="1208"/>
      <c r="BD59" s="1208"/>
      <c r="BE59" s="1215"/>
    </row>
    <row r="60" spans="1:77" ht="15.75" customHeight="1">
      <c r="A60" s="1208"/>
      <c r="B60" s="2029" t="str">
        <f>IF(B52="", "", B52)</f>
        <v>Services Company 1</v>
      </c>
      <c r="C60" s="2030"/>
      <c r="D60" s="2030"/>
      <c r="E60" s="2030"/>
      <c r="F60" s="2030"/>
      <c r="G60" s="2030"/>
      <c r="H60" s="2030"/>
      <c r="I60" s="2031"/>
      <c r="J60" s="2032"/>
      <c r="K60" s="2033"/>
      <c r="L60" s="2033"/>
      <c r="M60" s="2033"/>
      <c r="N60" s="2033"/>
      <c r="O60" s="2033"/>
      <c r="P60" s="2033"/>
      <c r="Q60" s="2033"/>
      <c r="R60" s="2033"/>
      <c r="S60" s="2033"/>
      <c r="T60" s="2033"/>
      <c r="U60" s="2033"/>
      <c r="V60" s="2033"/>
      <c r="W60" s="2033"/>
      <c r="X60" s="2033"/>
      <c r="Y60" s="2033"/>
      <c r="Z60" s="2033"/>
      <c r="AA60" s="2033"/>
      <c r="AB60" s="2033"/>
      <c r="AC60" s="2033"/>
      <c r="AD60" s="2033"/>
      <c r="AE60" s="2033"/>
      <c r="AF60" s="2033"/>
      <c r="AG60" s="2033"/>
      <c r="AH60" s="2033"/>
      <c r="AI60" s="2033"/>
      <c r="AJ60" s="2033"/>
      <c r="AK60" s="2033"/>
      <c r="AL60" s="2033"/>
      <c r="AM60" s="2033"/>
      <c r="AN60" s="2033"/>
      <c r="AO60" s="2033"/>
      <c r="AP60" s="2033"/>
      <c r="AQ60" s="2033"/>
      <c r="AR60" s="2033"/>
      <c r="AS60" s="2033"/>
      <c r="AT60" s="2033"/>
      <c r="AU60" s="2033"/>
      <c r="AV60" s="2033"/>
      <c r="AW60" s="2034"/>
      <c r="AX60" s="1208"/>
      <c r="AY60" s="1208"/>
      <c r="AZ60" s="1208"/>
      <c r="BA60" s="1208"/>
      <c r="BB60" s="1208"/>
      <c r="BC60" s="1208"/>
      <c r="BD60" s="1208"/>
      <c r="BE60" s="1215"/>
    </row>
    <row r="61" spans="1:77" ht="15.75" customHeight="1">
      <c r="A61" s="1208"/>
      <c r="B61" s="2029" t="str">
        <f>IF(B53="", "", B53)</f>
        <v>Services Company 2</v>
      </c>
      <c r="C61" s="2030"/>
      <c r="D61" s="2030"/>
      <c r="E61" s="2030"/>
      <c r="F61" s="2030"/>
      <c r="G61" s="2030"/>
      <c r="H61" s="2030"/>
      <c r="I61" s="2031"/>
      <c r="J61" s="2032"/>
      <c r="K61" s="2033"/>
      <c r="L61" s="2033"/>
      <c r="M61" s="2033"/>
      <c r="N61" s="2033"/>
      <c r="O61" s="2033"/>
      <c r="P61" s="2033"/>
      <c r="Q61" s="2033"/>
      <c r="R61" s="2033"/>
      <c r="S61" s="2033"/>
      <c r="T61" s="2033"/>
      <c r="U61" s="2033"/>
      <c r="V61" s="2033"/>
      <c r="W61" s="2033"/>
      <c r="X61" s="2033"/>
      <c r="Y61" s="2033"/>
      <c r="Z61" s="2033"/>
      <c r="AA61" s="2033"/>
      <c r="AB61" s="2033"/>
      <c r="AC61" s="2033"/>
      <c r="AD61" s="2033"/>
      <c r="AE61" s="2033"/>
      <c r="AF61" s="2033"/>
      <c r="AG61" s="2033"/>
      <c r="AH61" s="2033"/>
      <c r="AI61" s="2033"/>
      <c r="AJ61" s="2033"/>
      <c r="AK61" s="2033"/>
      <c r="AL61" s="2033"/>
      <c r="AM61" s="2033"/>
      <c r="AN61" s="2033"/>
      <c r="AO61" s="2033"/>
      <c r="AP61" s="2033"/>
      <c r="AQ61" s="2033"/>
      <c r="AR61" s="2033"/>
      <c r="AS61" s="2033"/>
      <c r="AT61" s="2033"/>
      <c r="AU61" s="2033"/>
      <c r="AV61" s="2033"/>
      <c r="AW61" s="2034"/>
      <c r="AX61" s="1208"/>
      <c r="AY61" s="1208"/>
      <c r="AZ61" s="1208"/>
      <c r="BA61" s="1208"/>
      <c r="BB61" s="1208"/>
      <c r="BC61" s="1208"/>
      <c r="BD61" s="1208"/>
      <c r="BE61" s="1215"/>
    </row>
    <row r="62" spans="1:77" ht="15.75" customHeight="1">
      <c r="A62" s="1208"/>
      <c r="B62" s="2029" t="str">
        <f>IF(B54="", "", B54)</f>
        <v/>
      </c>
      <c r="C62" s="2030"/>
      <c r="D62" s="2030"/>
      <c r="E62" s="2030"/>
      <c r="F62" s="2030"/>
      <c r="G62" s="2030"/>
      <c r="H62" s="2030"/>
      <c r="I62" s="2031"/>
      <c r="J62" s="2032"/>
      <c r="K62" s="2033"/>
      <c r="L62" s="2033"/>
      <c r="M62" s="2033"/>
      <c r="N62" s="2033"/>
      <c r="O62" s="2033"/>
      <c r="P62" s="2033"/>
      <c r="Q62" s="2033"/>
      <c r="R62" s="2033"/>
      <c r="S62" s="2033"/>
      <c r="T62" s="2033"/>
      <c r="U62" s="2033"/>
      <c r="V62" s="2033"/>
      <c r="W62" s="2033"/>
      <c r="X62" s="2033"/>
      <c r="Y62" s="2033"/>
      <c r="Z62" s="2033"/>
      <c r="AA62" s="2033"/>
      <c r="AB62" s="2033"/>
      <c r="AC62" s="2033"/>
      <c r="AD62" s="2033"/>
      <c r="AE62" s="2033"/>
      <c r="AF62" s="2033"/>
      <c r="AG62" s="2033"/>
      <c r="AH62" s="2033"/>
      <c r="AI62" s="2033"/>
      <c r="AJ62" s="2033"/>
      <c r="AK62" s="2033"/>
      <c r="AL62" s="2033"/>
      <c r="AM62" s="2033"/>
      <c r="AN62" s="2033"/>
      <c r="AO62" s="2033"/>
      <c r="AP62" s="2033"/>
      <c r="AQ62" s="2033"/>
      <c r="AR62" s="2033"/>
      <c r="AS62" s="2033"/>
      <c r="AT62" s="2033"/>
      <c r="AU62" s="2033"/>
      <c r="AV62" s="2033"/>
      <c r="AW62" s="2034"/>
      <c r="AX62" s="1208"/>
      <c r="AY62" s="1208"/>
      <c r="AZ62" s="1208"/>
      <c r="BA62" s="1208"/>
      <c r="BB62" s="1208"/>
      <c r="BC62" s="1208"/>
      <c r="BD62" s="1208"/>
      <c r="BE62" s="1215"/>
    </row>
    <row r="63" spans="1:77" ht="15.75" customHeight="1">
      <c r="A63" s="1208"/>
      <c r="B63" s="2029" t="str">
        <f>IF(B55="", "", B55)</f>
        <v/>
      </c>
      <c r="C63" s="2030"/>
      <c r="D63" s="2030"/>
      <c r="E63" s="2030"/>
      <c r="F63" s="2030"/>
      <c r="G63" s="2030"/>
      <c r="H63" s="2030"/>
      <c r="I63" s="2031"/>
      <c r="J63" s="2032"/>
      <c r="K63" s="2033"/>
      <c r="L63" s="2033"/>
      <c r="M63" s="2033"/>
      <c r="N63" s="2033"/>
      <c r="O63" s="2033"/>
      <c r="P63" s="2033"/>
      <c r="Q63" s="2033"/>
      <c r="R63" s="2033"/>
      <c r="S63" s="2033"/>
      <c r="T63" s="2033"/>
      <c r="U63" s="2033"/>
      <c r="V63" s="2033"/>
      <c r="W63" s="2033"/>
      <c r="X63" s="2033"/>
      <c r="Y63" s="2033"/>
      <c r="Z63" s="2033"/>
      <c r="AA63" s="2033"/>
      <c r="AB63" s="2033"/>
      <c r="AC63" s="2033"/>
      <c r="AD63" s="2033"/>
      <c r="AE63" s="2033"/>
      <c r="AF63" s="2033"/>
      <c r="AG63" s="2033"/>
      <c r="AH63" s="2033"/>
      <c r="AI63" s="2033"/>
      <c r="AJ63" s="2033"/>
      <c r="AK63" s="2033"/>
      <c r="AL63" s="2033"/>
      <c r="AM63" s="2033"/>
      <c r="AN63" s="2033"/>
      <c r="AO63" s="2033"/>
      <c r="AP63" s="2033"/>
      <c r="AQ63" s="2033"/>
      <c r="AR63" s="2033"/>
      <c r="AS63" s="2033"/>
      <c r="AT63" s="2033"/>
      <c r="AU63" s="2033"/>
      <c r="AV63" s="2033"/>
      <c r="AW63" s="2034"/>
      <c r="AX63" s="1208"/>
      <c r="AY63" s="1208"/>
      <c r="AZ63" s="1208"/>
      <c r="BA63" s="1208"/>
      <c r="BB63" s="1208"/>
      <c r="BC63" s="1208"/>
      <c r="BD63" s="1208"/>
      <c r="BE63" s="1215"/>
    </row>
    <row r="64" spans="1:77" ht="15.75" customHeight="1" thickBot="1">
      <c r="A64" s="1208"/>
      <c r="B64" s="2049" t="str">
        <f>IF(B56="", "", B56)</f>
        <v/>
      </c>
      <c r="C64" s="2050"/>
      <c r="D64" s="2050"/>
      <c r="E64" s="2050"/>
      <c r="F64" s="2050"/>
      <c r="G64" s="2050"/>
      <c r="H64" s="2050"/>
      <c r="I64" s="2051"/>
      <c r="J64" s="2052"/>
      <c r="K64" s="2053"/>
      <c r="L64" s="2053"/>
      <c r="M64" s="2053"/>
      <c r="N64" s="2053"/>
      <c r="O64" s="2053"/>
      <c r="P64" s="2053"/>
      <c r="Q64" s="2053"/>
      <c r="R64" s="2053"/>
      <c r="S64" s="2053"/>
      <c r="T64" s="2053"/>
      <c r="U64" s="2053"/>
      <c r="V64" s="2053"/>
      <c r="W64" s="2053"/>
      <c r="X64" s="2053"/>
      <c r="Y64" s="2053"/>
      <c r="Z64" s="2053"/>
      <c r="AA64" s="2053"/>
      <c r="AB64" s="2053"/>
      <c r="AC64" s="2053"/>
      <c r="AD64" s="2053"/>
      <c r="AE64" s="2053"/>
      <c r="AF64" s="2053"/>
      <c r="AG64" s="2053"/>
      <c r="AH64" s="2053"/>
      <c r="AI64" s="2053"/>
      <c r="AJ64" s="2053"/>
      <c r="AK64" s="2053"/>
      <c r="AL64" s="2053"/>
      <c r="AM64" s="2053"/>
      <c r="AN64" s="2053"/>
      <c r="AO64" s="2053"/>
      <c r="AP64" s="2053"/>
      <c r="AQ64" s="2053"/>
      <c r="AR64" s="2053"/>
      <c r="AS64" s="2053"/>
      <c r="AT64" s="2053"/>
      <c r="AU64" s="2053"/>
      <c r="AV64" s="2053"/>
      <c r="AW64" s="2054"/>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19" t="s">
        <v>2331</v>
      </c>
      <c r="C68" s="1920"/>
      <c r="D68" s="1920"/>
      <c r="E68" s="1920"/>
      <c r="F68" s="1920"/>
      <c r="G68" s="1920"/>
      <c r="H68" s="1920"/>
      <c r="I68" s="1920"/>
      <c r="J68" s="1920"/>
      <c r="K68" s="1920"/>
      <c r="L68" s="1920"/>
      <c r="M68" s="1920"/>
      <c r="N68" s="1920"/>
      <c r="O68" s="1920"/>
      <c r="P68" s="1920"/>
      <c r="Q68" s="1920"/>
      <c r="R68" s="1920"/>
      <c r="S68" s="1920"/>
      <c r="T68" s="1920"/>
      <c r="U68" s="1920"/>
      <c r="V68" s="1920"/>
      <c r="W68" s="1920"/>
      <c r="X68" s="1920"/>
      <c r="Y68" s="1920"/>
      <c r="Z68" s="1920"/>
      <c r="AA68" s="1921"/>
      <c r="AB68" s="1208"/>
      <c r="AC68" s="2061" t="s">
        <v>2330</v>
      </c>
      <c r="AD68" s="2062"/>
      <c r="AE68" s="2062"/>
      <c r="AF68" s="2062"/>
      <c r="AG68" s="2062"/>
      <c r="AH68" s="2062"/>
      <c r="AI68" s="2062"/>
      <c r="AJ68" s="2062"/>
      <c r="AK68" s="2062"/>
      <c r="AL68" s="2062"/>
      <c r="AM68" s="2062"/>
      <c r="AN68" s="2062"/>
      <c r="AO68" s="2062"/>
      <c r="AP68" s="2062"/>
      <c r="AQ68" s="2062"/>
      <c r="AR68" s="2062"/>
      <c r="AS68" s="2062"/>
      <c r="AT68" s="2062"/>
      <c r="AU68" s="2062"/>
      <c r="AV68" s="2041" t="s">
        <v>668</v>
      </c>
      <c r="AW68" s="2042"/>
      <c r="AX68" s="2042"/>
      <c r="AY68" s="2042"/>
      <c r="AZ68" s="2042"/>
      <c r="BA68" s="2042"/>
      <c r="BB68" s="2042"/>
      <c r="BC68" s="2043"/>
      <c r="BD68" s="1208"/>
      <c r="BE68" s="1215"/>
      <c r="BM68" s="1221" t="s">
        <v>2329</v>
      </c>
    </row>
    <row r="69" spans="1:94" ht="15.75" customHeight="1" thickTop="1" thickBot="1">
      <c r="A69" s="1208"/>
      <c r="B69" s="2044" t="s">
        <v>2328</v>
      </c>
      <c r="C69" s="2045"/>
      <c r="D69" s="2045"/>
      <c r="E69" s="2045"/>
      <c r="F69" s="2045"/>
      <c r="G69" s="2045"/>
      <c r="H69" s="2045"/>
      <c r="I69" s="2045"/>
      <c r="J69" s="2045"/>
      <c r="K69" s="2045"/>
      <c r="L69" s="2045"/>
      <c r="M69" s="2045"/>
      <c r="N69" s="2045"/>
      <c r="O69" s="1892" t="s">
        <v>2327</v>
      </c>
      <c r="P69" s="1893"/>
      <c r="Q69" s="1893"/>
      <c r="R69" s="1893"/>
      <c r="S69" s="1893"/>
      <c r="T69" s="1893"/>
      <c r="U69" s="1893"/>
      <c r="V69" s="1893"/>
      <c r="W69" s="1893"/>
      <c r="X69" s="1893"/>
      <c r="Y69" s="1893"/>
      <c r="Z69" s="1893"/>
      <c r="AA69" s="2046"/>
      <c r="AB69" s="1208"/>
      <c r="AC69" s="2047" t="s">
        <v>2326</v>
      </c>
      <c r="AD69" s="2048"/>
      <c r="AE69" s="2048"/>
      <c r="AF69" s="2048"/>
      <c r="AG69" s="2048"/>
      <c r="AH69" s="2048"/>
      <c r="AI69" s="2048"/>
      <c r="AJ69" s="2048"/>
      <c r="AK69" s="2048"/>
      <c r="AL69" s="2048"/>
      <c r="AM69" s="2048"/>
      <c r="AN69" s="2048"/>
      <c r="AO69" s="2048"/>
      <c r="AP69" s="2048"/>
      <c r="AQ69" s="2048"/>
      <c r="AR69" s="2048"/>
      <c r="AS69" s="2048"/>
      <c r="AT69" s="2048"/>
      <c r="AU69" s="2048"/>
      <c r="AV69" s="2041" t="s">
        <v>668</v>
      </c>
      <c r="AW69" s="2042"/>
      <c r="AX69" s="2042"/>
      <c r="AY69" s="2042"/>
      <c r="AZ69" s="2042"/>
      <c r="BA69" s="2042"/>
      <c r="BB69" s="2042"/>
      <c r="BC69" s="2043"/>
      <c r="BD69" s="1208"/>
      <c r="BE69" s="1215"/>
      <c r="BM69" s="1222" t="s">
        <v>544</v>
      </c>
    </row>
    <row r="70" spans="1:94" ht="15.75" customHeight="1">
      <c r="A70" s="1208"/>
      <c r="B70" s="1998" t="s">
        <v>2325</v>
      </c>
      <c r="C70" s="1999"/>
      <c r="D70" s="1999"/>
      <c r="E70" s="1999"/>
      <c r="F70" s="1999"/>
      <c r="G70" s="1999"/>
      <c r="H70" s="1999"/>
      <c r="I70" s="1999"/>
      <c r="J70" s="1999"/>
      <c r="K70" s="1999"/>
      <c r="L70" s="1999"/>
      <c r="M70" s="1999"/>
      <c r="N70" s="1999"/>
      <c r="O70" s="2055">
        <v>0</v>
      </c>
      <c r="P70" s="2055"/>
      <c r="Q70" s="2055"/>
      <c r="R70" s="2055"/>
      <c r="S70" s="2055"/>
      <c r="T70" s="2055"/>
      <c r="U70" s="2055"/>
      <c r="V70" s="2055"/>
      <c r="W70" s="2055"/>
      <c r="X70" s="2055"/>
      <c r="Y70" s="2055"/>
      <c r="Z70" s="2055"/>
      <c r="AA70" s="2056"/>
      <c r="AB70" s="1208"/>
      <c r="AC70" s="2014" t="s">
        <v>2324</v>
      </c>
      <c r="AD70" s="2015"/>
      <c r="AE70" s="2015"/>
      <c r="AF70" s="2057"/>
      <c r="AG70" s="2057"/>
      <c r="AH70" s="2057"/>
      <c r="AI70" s="2057"/>
      <c r="AJ70" s="2057"/>
      <c r="AK70" s="2057"/>
      <c r="AL70" s="2057"/>
      <c r="AM70" s="2057"/>
      <c r="AN70" s="2057"/>
      <c r="AO70" s="2057"/>
      <c r="AP70" s="2057"/>
      <c r="AQ70" s="2057"/>
      <c r="AR70" s="2057"/>
      <c r="AS70" s="2057"/>
      <c r="AT70" s="2057"/>
      <c r="AU70" s="2058"/>
      <c r="AV70" s="1208"/>
      <c r="AW70" s="1208"/>
      <c r="AX70" s="1208"/>
      <c r="AY70" s="1208"/>
      <c r="AZ70" s="1208"/>
      <c r="BA70" s="1208"/>
      <c r="BB70" s="1208"/>
      <c r="BC70" s="1208"/>
      <c r="BD70" s="1208"/>
      <c r="BE70" s="1215"/>
      <c r="BM70" s="1223" t="s">
        <v>668</v>
      </c>
    </row>
    <row r="71" spans="1:94" ht="15.75" customHeight="1" thickBot="1">
      <c r="A71" s="1208"/>
      <c r="B71" s="1998" t="s">
        <v>2323</v>
      </c>
      <c r="C71" s="1999"/>
      <c r="D71" s="1999"/>
      <c r="E71" s="1999"/>
      <c r="F71" s="1999"/>
      <c r="G71" s="1999"/>
      <c r="H71" s="1999"/>
      <c r="I71" s="1999"/>
      <c r="J71" s="1999"/>
      <c r="K71" s="1999"/>
      <c r="L71" s="1999"/>
      <c r="M71" s="1999"/>
      <c r="N71" s="1999"/>
      <c r="O71" s="2055">
        <v>0</v>
      </c>
      <c r="P71" s="2055"/>
      <c r="Q71" s="2055"/>
      <c r="R71" s="2055"/>
      <c r="S71" s="2055"/>
      <c r="T71" s="2055"/>
      <c r="U71" s="2055"/>
      <c r="V71" s="2055"/>
      <c r="W71" s="2055"/>
      <c r="X71" s="2055"/>
      <c r="Y71" s="2055"/>
      <c r="Z71" s="2055"/>
      <c r="AA71" s="2056"/>
      <c r="AB71" s="1208"/>
      <c r="AC71" s="2059" t="s">
        <v>2322</v>
      </c>
      <c r="AD71" s="2060"/>
      <c r="AE71" s="2060"/>
      <c r="AF71" s="2053"/>
      <c r="AG71" s="2053"/>
      <c r="AH71" s="2053"/>
      <c r="AI71" s="2053"/>
      <c r="AJ71" s="2053"/>
      <c r="AK71" s="2053"/>
      <c r="AL71" s="2053"/>
      <c r="AM71" s="2053"/>
      <c r="AN71" s="2053"/>
      <c r="AO71" s="2053"/>
      <c r="AP71" s="2053"/>
      <c r="AQ71" s="2053"/>
      <c r="AR71" s="2053"/>
      <c r="AS71" s="2053"/>
      <c r="AT71" s="2053"/>
      <c r="AU71" s="2054"/>
      <c r="AV71" s="1208"/>
      <c r="AW71" s="1208"/>
      <c r="AX71" s="1208"/>
      <c r="AY71" s="1208"/>
      <c r="AZ71" s="1208"/>
      <c r="BA71" s="1208"/>
      <c r="BB71" s="1208"/>
      <c r="BC71" s="1208"/>
      <c r="BD71" s="1208"/>
      <c r="BE71" s="1215"/>
      <c r="BM71" s="1204" t="s">
        <v>2321</v>
      </c>
    </row>
    <row r="72" spans="1:94" ht="15.75" customHeight="1">
      <c r="A72" s="1208"/>
      <c r="B72" s="1998" t="s">
        <v>2320</v>
      </c>
      <c r="C72" s="1999"/>
      <c r="D72" s="1999"/>
      <c r="E72" s="1999"/>
      <c r="F72" s="1999"/>
      <c r="G72" s="1999"/>
      <c r="H72" s="1999"/>
      <c r="I72" s="1999"/>
      <c r="J72" s="1999"/>
      <c r="K72" s="1999"/>
      <c r="L72" s="1999"/>
      <c r="M72" s="1999"/>
      <c r="N72" s="1999"/>
      <c r="O72" s="2055">
        <v>0</v>
      </c>
      <c r="P72" s="2055"/>
      <c r="Q72" s="2055"/>
      <c r="R72" s="2055"/>
      <c r="S72" s="2055"/>
      <c r="T72" s="2055"/>
      <c r="U72" s="2055"/>
      <c r="V72" s="2055"/>
      <c r="W72" s="2055"/>
      <c r="X72" s="2055"/>
      <c r="Y72" s="2055"/>
      <c r="Z72" s="2055"/>
      <c r="AA72" s="2056"/>
      <c r="AB72" s="1208"/>
      <c r="AC72" s="2063" t="s">
        <v>2319</v>
      </c>
      <c r="AD72" s="2064"/>
      <c r="AE72" s="2064"/>
      <c r="AF72" s="2064"/>
      <c r="AG72" s="2064"/>
      <c r="AH72" s="2064"/>
      <c r="AI72" s="2064"/>
      <c r="AJ72" s="2064"/>
      <c r="AK72" s="2064"/>
      <c r="AL72" s="2064"/>
      <c r="AM72" s="2064"/>
      <c r="AN72" s="2064"/>
      <c r="AO72" s="2064"/>
      <c r="AP72" s="2064"/>
      <c r="AQ72" s="2064"/>
      <c r="AR72" s="2064"/>
      <c r="AS72" s="2064"/>
      <c r="AT72" s="2064"/>
      <c r="AU72" s="2064"/>
      <c r="AV72" s="2015"/>
      <c r="AW72" s="2015"/>
      <c r="AX72" s="2015"/>
      <c r="AY72" s="2015"/>
      <c r="AZ72" s="2015"/>
      <c r="BA72" s="2015"/>
      <c r="BB72" s="2015"/>
      <c r="BC72" s="2016"/>
      <c r="BD72" s="1208"/>
      <c r="BE72" s="1215"/>
    </row>
    <row r="73" spans="1:94" ht="15.75" customHeight="1">
      <c r="A73" s="1208"/>
      <c r="B73" s="2002" t="s">
        <v>2318</v>
      </c>
      <c r="C73" s="2003"/>
      <c r="D73" s="2003"/>
      <c r="E73" s="2003"/>
      <c r="F73" s="2003"/>
      <c r="G73" s="2003"/>
      <c r="H73" s="2003"/>
      <c r="I73" s="2003"/>
      <c r="J73" s="2003"/>
      <c r="K73" s="2003"/>
      <c r="L73" s="2003"/>
      <c r="M73" s="2003"/>
      <c r="N73" s="2003"/>
      <c r="O73" s="2055">
        <v>0</v>
      </c>
      <c r="P73" s="2055"/>
      <c r="Q73" s="2055"/>
      <c r="R73" s="2055"/>
      <c r="S73" s="2055"/>
      <c r="T73" s="2055"/>
      <c r="U73" s="2055"/>
      <c r="V73" s="2055"/>
      <c r="W73" s="2055"/>
      <c r="X73" s="2055"/>
      <c r="Y73" s="2055"/>
      <c r="Z73" s="2055"/>
      <c r="AA73" s="2056"/>
      <c r="AB73" s="1208"/>
      <c r="AC73" s="2065" t="s">
        <v>2271</v>
      </c>
      <c r="AD73" s="2066"/>
      <c r="AE73" s="2066"/>
      <c r="AF73" s="2066"/>
      <c r="AG73" s="2066"/>
      <c r="AH73" s="2066"/>
      <c r="AI73" s="2066"/>
      <c r="AJ73" s="2066"/>
      <c r="AK73" s="2066"/>
      <c r="AL73" s="2066"/>
      <c r="AM73" s="2066"/>
      <c r="AN73" s="2066"/>
      <c r="AO73" s="2066"/>
      <c r="AP73" s="2066"/>
      <c r="AQ73" s="2066"/>
      <c r="AR73" s="2066"/>
      <c r="AS73" s="2066"/>
      <c r="AT73" s="2066"/>
      <c r="AU73" s="2066"/>
      <c r="AV73" s="2066"/>
      <c r="AW73" s="2066"/>
      <c r="AX73" s="2066"/>
      <c r="AY73" s="2066"/>
      <c r="AZ73" s="2066"/>
      <c r="BA73" s="2066"/>
      <c r="BB73" s="2066"/>
      <c r="BC73" s="2067"/>
      <c r="BD73" s="1208"/>
      <c r="BE73" s="1215"/>
      <c r="CK73" s="1206"/>
      <c r="CL73" s="1206"/>
      <c r="CM73" s="1206"/>
      <c r="CN73" s="1206"/>
      <c r="CO73" s="1206"/>
      <c r="CP73" s="1206"/>
    </row>
    <row r="74" spans="1:94" ht="15.75" customHeight="1">
      <c r="A74" s="1208"/>
      <c r="B74" s="2071"/>
      <c r="C74" s="2021"/>
      <c r="D74" s="2021"/>
      <c r="E74" s="2021"/>
      <c r="F74" s="2021"/>
      <c r="G74" s="2021"/>
      <c r="H74" s="2021"/>
      <c r="I74" s="2021"/>
      <c r="J74" s="2021"/>
      <c r="K74" s="2021"/>
      <c r="L74" s="2021"/>
      <c r="M74" s="2021"/>
      <c r="N74" s="2021"/>
      <c r="O74" s="2055"/>
      <c r="P74" s="2055"/>
      <c r="Q74" s="2055"/>
      <c r="R74" s="2055"/>
      <c r="S74" s="2055"/>
      <c r="T74" s="2055"/>
      <c r="U74" s="2055"/>
      <c r="V74" s="2055"/>
      <c r="W74" s="2055"/>
      <c r="X74" s="2055"/>
      <c r="Y74" s="2055"/>
      <c r="Z74" s="2055"/>
      <c r="AA74" s="2056"/>
      <c r="AB74" s="1208"/>
      <c r="AC74" s="2065"/>
      <c r="AD74" s="2066"/>
      <c r="AE74" s="2066"/>
      <c r="AF74" s="2066"/>
      <c r="AG74" s="2066"/>
      <c r="AH74" s="2066"/>
      <c r="AI74" s="2066"/>
      <c r="AJ74" s="2066"/>
      <c r="AK74" s="2066"/>
      <c r="AL74" s="2066"/>
      <c r="AM74" s="2066"/>
      <c r="AN74" s="2066"/>
      <c r="AO74" s="2066"/>
      <c r="AP74" s="2066"/>
      <c r="AQ74" s="2066"/>
      <c r="AR74" s="2066"/>
      <c r="AS74" s="2066"/>
      <c r="AT74" s="2066"/>
      <c r="AU74" s="2066"/>
      <c r="AV74" s="2066"/>
      <c r="AW74" s="2066"/>
      <c r="AX74" s="2066"/>
      <c r="AY74" s="2066"/>
      <c r="AZ74" s="2066"/>
      <c r="BA74" s="2066"/>
      <c r="BB74" s="2066"/>
      <c r="BC74" s="2067"/>
      <c r="BD74" s="1208"/>
      <c r="BE74" s="1215"/>
      <c r="CK74" s="1206"/>
      <c r="CL74" s="1206"/>
      <c r="CM74" s="1206"/>
      <c r="CN74" s="1206"/>
      <c r="CO74" s="1206"/>
      <c r="CP74" s="1206"/>
    </row>
    <row r="75" spans="1:94" ht="15.75" customHeight="1" thickBot="1">
      <c r="A75" s="1208"/>
      <c r="B75" s="2072" t="s">
        <v>124</v>
      </c>
      <c r="C75" s="2073"/>
      <c r="D75" s="2073"/>
      <c r="E75" s="2073"/>
      <c r="F75" s="2073"/>
      <c r="G75" s="2073"/>
      <c r="H75" s="2073"/>
      <c r="I75" s="2073"/>
      <c r="J75" s="2073"/>
      <c r="K75" s="2073"/>
      <c r="L75" s="2073"/>
      <c r="M75" s="2073"/>
      <c r="N75" s="2073"/>
      <c r="O75" s="2074">
        <f>SUM(O70:AA74)</f>
        <v>0</v>
      </c>
      <c r="P75" s="2074"/>
      <c r="Q75" s="2074"/>
      <c r="R75" s="2074"/>
      <c r="S75" s="2074"/>
      <c r="T75" s="2074"/>
      <c r="U75" s="2074"/>
      <c r="V75" s="2074"/>
      <c r="W75" s="2074"/>
      <c r="X75" s="2074"/>
      <c r="Y75" s="2074"/>
      <c r="Z75" s="2074"/>
      <c r="AA75" s="2075"/>
      <c r="AB75" s="1208"/>
      <c r="AC75" s="2065"/>
      <c r="AD75" s="2066"/>
      <c r="AE75" s="2066"/>
      <c r="AF75" s="2066"/>
      <c r="AG75" s="2066"/>
      <c r="AH75" s="2066"/>
      <c r="AI75" s="2066"/>
      <c r="AJ75" s="2066"/>
      <c r="AK75" s="2066"/>
      <c r="AL75" s="2066"/>
      <c r="AM75" s="2066"/>
      <c r="AN75" s="2066"/>
      <c r="AO75" s="2066"/>
      <c r="AP75" s="2066"/>
      <c r="AQ75" s="2066"/>
      <c r="AR75" s="2066"/>
      <c r="AS75" s="2066"/>
      <c r="AT75" s="2066"/>
      <c r="AU75" s="2066"/>
      <c r="AV75" s="2066"/>
      <c r="AW75" s="2066"/>
      <c r="AX75" s="2066"/>
      <c r="AY75" s="2066"/>
      <c r="AZ75" s="2066"/>
      <c r="BA75" s="2066"/>
      <c r="BB75" s="2066"/>
      <c r="BC75" s="2067"/>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5"/>
      <c r="AD76" s="2066"/>
      <c r="AE76" s="2066"/>
      <c r="AF76" s="2066"/>
      <c r="AG76" s="2066"/>
      <c r="AH76" s="2066"/>
      <c r="AI76" s="2066"/>
      <c r="AJ76" s="2066"/>
      <c r="AK76" s="2066"/>
      <c r="AL76" s="2066"/>
      <c r="AM76" s="2066"/>
      <c r="AN76" s="2066"/>
      <c r="AO76" s="2066"/>
      <c r="AP76" s="2066"/>
      <c r="AQ76" s="2066"/>
      <c r="AR76" s="2066"/>
      <c r="AS76" s="2066"/>
      <c r="AT76" s="2066"/>
      <c r="AU76" s="2066"/>
      <c r="AV76" s="2066"/>
      <c r="AW76" s="2066"/>
      <c r="AX76" s="2066"/>
      <c r="AY76" s="2066"/>
      <c r="AZ76" s="2066"/>
      <c r="BA76" s="2066"/>
      <c r="BB76" s="2066"/>
      <c r="BC76" s="2067"/>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68"/>
      <c r="AD77" s="2069"/>
      <c r="AE77" s="2069"/>
      <c r="AF77" s="2069"/>
      <c r="AG77" s="2069"/>
      <c r="AH77" s="2069"/>
      <c r="AI77" s="2069"/>
      <c r="AJ77" s="2069"/>
      <c r="AK77" s="2069"/>
      <c r="AL77" s="2069"/>
      <c r="AM77" s="2069"/>
      <c r="AN77" s="2069"/>
      <c r="AO77" s="2069"/>
      <c r="AP77" s="2069"/>
      <c r="AQ77" s="2069"/>
      <c r="AR77" s="2069"/>
      <c r="AS77" s="2069"/>
      <c r="AT77" s="2069"/>
      <c r="AU77" s="2069"/>
      <c r="AV77" s="2069"/>
      <c r="AW77" s="2069"/>
      <c r="AX77" s="2069"/>
      <c r="AY77" s="2069"/>
      <c r="AZ77" s="2069"/>
      <c r="BA77" s="2069"/>
      <c r="BB77" s="2069"/>
      <c r="BC77" s="2070"/>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076"/>
      <c r="G79" s="2077"/>
      <c r="H79" s="2077"/>
      <c r="I79" s="2077"/>
      <c r="J79" s="2077"/>
      <c r="K79" s="2077"/>
      <c r="L79" s="2077"/>
      <c r="M79" s="2077"/>
      <c r="N79" s="2077"/>
      <c r="O79" s="2077"/>
      <c r="P79" s="2077"/>
      <c r="Q79" s="2077"/>
      <c r="R79" s="2077"/>
      <c r="S79" s="2077"/>
      <c r="T79" s="207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79" t="s">
        <v>2316</v>
      </c>
      <c r="C81" s="2080"/>
      <c r="D81" s="2080"/>
      <c r="E81" s="2080"/>
      <c r="F81" s="2080"/>
      <c r="G81" s="2080"/>
      <c r="H81" s="2080"/>
      <c r="I81" s="2080"/>
      <c r="J81" s="2080"/>
      <c r="K81" s="2080"/>
      <c r="L81" s="2080"/>
      <c r="M81" s="2080"/>
      <c r="N81" s="2080"/>
      <c r="O81" s="2080"/>
      <c r="P81" s="2080"/>
      <c r="Q81" s="2080"/>
      <c r="R81" s="2080"/>
      <c r="S81" s="2080"/>
      <c r="T81" s="2080"/>
      <c r="U81" s="2080"/>
      <c r="V81" s="2080"/>
      <c r="W81" s="2080"/>
      <c r="X81" s="2080"/>
      <c r="Y81" s="2080"/>
      <c r="Z81" s="2080"/>
      <c r="AA81" s="2080"/>
      <c r="AB81" s="2080"/>
      <c r="AC81" s="2080"/>
      <c r="AD81" s="2080"/>
      <c r="AE81" s="2080"/>
      <c r="AF81" s="2080"/>
      <c r="AG81" s="2080"/>
      <c r="AH81" s="2081"/>
      <c r="AI81" s="1208"/>
      <c r="AJ81" s="2082" t="s">
        <v>2622</v>
      </c>
      <c r="AK81" s="2083"/>
      <c r="AL81" s="2083"/>
      <c r="AM81" s="2083"/>
      <c r="AN81" s="2083"/>
      <c r="AO81" s="2083"/>
      <c r="AP81" s="2083"/>
      <c r="AQ81" s="2083"/>
      <c r="AR81" s="2083"/>
      <c r="AS81" s="2083"/>
      <c r="AT81" s="2083"/>
      <c r="AU81" s="2083"/>
      <c r="AV81" s="2083"/>
      <c r="AW81" s="2083"/>
      <c r="AX81" s="2083"/>
      <c r="AY81" s="2086" t="s">
        <v>544</v>
      </c>
      <c r="AZ81" s="2086"/>
      <c r="BA81" s="2086"/>
      <c r="BB81" s="2087"/>
      <c r="BC81" s="1208"/>
      <c r="BD81" s="1208"/>
      <c r="BE81" s="1215"/>
      <c r="CK81" s="1206"/>
      <c r="CL81" s="1206"/>
      <c r="CM81" s="1206"/>
      <c r="CN81" s="1206"/>
      <c r="CO81" s="1206"/>
      <c r="CP81" s="1206"/>
    </row>
    <row r="82" spans="1:94" ht="15.75" customHeight="1">
      <c r="A82" s="1208"/>
      <c r="B82" s="2017"/>
      <c r="C82" s="2018"/>
      <c r="D82" s="2018"/>
      <c r="E82" s="2018"/>
      <c r="F82" s="2018"/>
      <c r="G82" s="2018"/>
      <c r="H82" s="2018"/>
      <c r="I82" s="2018" t="s">
        <v>2310</v>
      </c>
      <c r="J82" s="2018"/>
      <c r="K82" s="2018"/>
      <c r="L82" s="2018"/>
      <c r="M82" s="2018"/>
      <c r="N82" s="2018"/>
      <c r="O82" s="2018" t="s">
        <v>2287</v>
      </c>
      <c r="P82" s="2018"/>
      <c r="Q82" s="2018"/>
      <c r="R82" s="2018"/>
      <c r="S82" s="2018"/>
      <c r="T82" s="2018"/>
      <c r="U82" s="2018"/>
      <c r="V82" s="2090" t="s">
        <v>2286</v>
      </c>
      <c r="W82" s="2090"/>
      <c r="X82" s="2090"/>
      <c r="Y82" s="2090"/>
      <c r="Z82" s="2090"/>
      <c r="AA82" s="2090"/>
      <c r="AB82" s="2091" t="s">
        <v>2309</v>
      </c>
      <c r="AC82" s="2091"/>
      <c r="AD82" s="2091"/>
      <c r="AE82" s="2091"/>
      <c r="AF82" s="2091"/>
      <c r="AG82" s="2091"/>
      <c r="AH82" s="2092"/>
      <c r="AI82" s="1208"/>
      <c r="AJ82" s="2084"/>
      <c r="AK82" s="2085"/>
      <c r="AL82" s="2085"/>
      <c r="AM82" s="2085"/>
      <c r="AN82" s="2085"/>
      <c r="AO82" s="2085"/>
      <c r="AP82" s="2085"/>
      <c r="AQ82" s="2085"/>
      <c r="AR82" s="2085"/>
      <c r="AS82" s="2085"/>
      <c r="AT82" s="2085"/>
      <c r="AU82" s="2085"/>
      <c r="AV82" s="2085"/>
      <c r="AW82" s="2085"/>
      <c r="AX82" s="2085"/>
      <c r="AY82" s="2088"/>
      <c r="AZ82" s="2088"/>
      <c r="BA82" s="2088"/>
      <c r="BB82" s="2089"/>
      <c r="BC82" s="1208"/>
      <c r="BD82" s="1208"/>
      <c r="BE82" s="1215"/>
      <c r="CK82" s="1206"/>
      <c r="CL82" s="1206"/>
      <c r="CM82" s="1206"/>
      <c r="CN82" s="1206"/>
      <c r="CO82" s="1206"/>
      <c r="CP82" s="1206"/>
    </row>
    <row r="83" spans="1:94" ht="15.75" customHeight="1">
      <c r="A83" s="1208"/>
      <c r="B83" s="2017"/>
      <c r="C83" s="2018"/>
      <c r="D83" s="2018"/>
      <c r="E83" s="2018"/>
      <c r="F83" s="2018"/>
      <c r="G83" s="2018"/>
      <c r="H83" s="2018"/>
      <c r="I83" s="2018"/>
      <c r="J83" s="2018"/>
      <c r="K83" s="2018"/>
      <c r="L83" s="2018"/>
      <c r="M83" s="2018"/>
      <c r="N83" s="2018"/>
      <c r="O83" s="2018"/>
      <c r="P83" s="2018"/>
      <c r="Q83" s="2018"/>
      <c r="R83" s="2018"/>
      <c r="S83" s="2018"/>
      <c r="T83" s="2018"/>
      <c r="U83" s="2018"/>
      <c r="V83" s="2090"/>
      <c r="W83" s="2090"/>
      <c r="X83" s="2090"/>
      <c r="Y83" s="2090"/>
      <c r="Z83" s="2090"/>
      <c r="AA83" s="2090"/>
      <c r="AB83" s="2091"/>
      <c r="AC83" s="2091"/>
      <c r="AD83" s="2091"/>
      <c r="AE83" s="2091"/>
      <c r="AF83" s="2091"/>
      <c r="AG83" s="2091"/>
      <c r="AH83" s="2092"/>
      <c r="AI83" s="1208"/>
      <c r="AJ83" s="2084"/>
      <c r="AK83" s="2085"/>
      <c r="AL83" s="2085"/>
      <c r="AM83" s="2085"/>
      <c r="AN83" s="2085"/>
      <c r="AO83" s="2085"/>
      <c r="AP83" s="2085"/>
      <c r="AQ83" s="2085"/>
      <c r="AR83" s="2085"/>
      <c r="AS83" s="2085"/>
      <c r="AT83" s="2085"/>
      <c r="AU83" s="2085"/>
      <c r="AV83" s="2085"/>
      <c r="AW83" s="2085"/>
      <c r="AX83" s="2085"/>
      <c r="AY83" s="2088"/>
      <c r="AZ83" s="2088"/>
      <c r="BA83" s="2088"/>
      <c r="BB83" s="2089"/>
      <c r="BC83" s="1208"/>
      <c r="BD83" s="1208"/>
      <c r="BE83" s="1215"/>
      <c r="CK83" s="1206"/>
      <c r="CL83" s="1206"/>
      <c r="CM83" s="1206"/>
      <c r="CN83" s="1206"/>
      <c r="CO83" s="1206"/>
      <c r="CP83" s="1206"/>
    </row>
    <row r="84" spans="1:94" ht="15.75" customHeight="1">
      <c r="A84" s="1208"/>
      <c r="B84" s="2017" t="s">
        <v>2308</v>
      </c>
      <c r="C84" s="2018"/>
      <c r="D84" s="2018"/>
      <c r="E84" s="2018"/>
      <c r="F84" s="2018"/>
      <c r="G84" s="2018"/>
      <c r="H84" s="2018"/>
      <c r="I84" s="2095">
        <v>0</v>
      </c>
      <c r="J84" s="2095"/>
      <c r="K84" s="2095"/>
      <c r="L84" s="2095"/>
      <c r="M84" s="2095"/>
      <c r="N84" s="2095"/>
      <c r="O84" s="2095">
        <v>0</v>
      </c>
      <c r="P84" s="2095"/>
      <c r="Q84" s="2095"/>
      <c r="R84" s="2095"/>
      <c r="S84" s="2095"/>
      <c r="T84" s="2095"/>
      <c r="U84" s="2095"/>
      <c r="V84" s="2095">
        <v>0</v>
      </c>
      <c r="W84" s="2095"/>
      <c r="X84" s="2095"/>
      <c r="Y84" s="2095"/>
      <c r="Z84" s="2095"/>
      <c r="AA84" s="2095"/>
      <c r="AB84" s="2095">
        <v>0</v>
      </c>
      <c r="AC84" s="2095"/>
      <c r="AD84" s="2095"/>
      <c r="AE84" s="2095"/>
      <c r="AF84" s="2095"/>
      <c r="AG84" s="2095"/>
      <c r="AH84" s="2096"/>
      <c r="AI84" s="1208"/>
      <c r="AJ84" s="2084"/>
      <c r="AK84" s="2085"/>
      <c r="AL84" s="2085"/>
      <c r="AM84" s="2085"/>
      <c r="AN84" s="2085"/>
      <c r="AO84" s="2085"/>
      <c r="AP84" s="2085"/>
      <c r="AQ84" s="2085"/>
      <c r="AR84" s="2085"/>
      <c r="AS84" s="2085"/>
      <c r="AT84" s="2085"/>
      <c r="AU84" s="2085"/>
      <c r="AV84" s="2085"/>
      <c r="AW84" s="2085"/>
      <c r="AX84" s="2085"/>
      <c r="AY84" s="2088"/>
      <c r="AZ84" s="2088"/>
      <c r="BA84" s="2088"/>
      <c r="BB84" s="2089"/>
      <c r="BC84" s="1208"/>
      <c r="BD84" s="1208"/>
      <c r="BE84" s="1215"/>
      <c r="CK84" s="1206"/>
      <c r="CL84" s="1206"/>
      <c r="CM84" s="1206"/>
      <c r="CN84" s="1206"/>
      <c r="CO84" s="1206"/>
      <c r="CP84" s="1206"/>
    </row>
    <row r="85" spans="1:94" ht="15.75" customHeight="1">
      <c r="A85" s="1208"/>
      <c r="B85" s="2017" t="s">
        <v>2307</v>
      </c>
      <c r="C85" s="2018"/>
      <c r="D85" s="2018"/>
      <c r="E85" s="2018"/>
      <c r="F85" s="2018"/>
      <c r="G85" s="2018"/>
      <c r="H85" s="2018"/>
      <c r="I85" s="2095">
        <v>0</v>
      </c>
      <c r="J85" s="2095"/>
      <c r="K85" s="2095"/>
      <c r="L85" s="2095"/>
      <c r="M85" s="2095"/>
      <c r="N85" s="2095"/>
      <c r="O85" s="2095">
        <v>0</v>
      </c>
      <c r="P85" s="2095"/>
      <c r="Q85" s="2095"/>
      <c r="R85" s="2095"/>
      <c r="S85" s="2095"/>
      <c r="T85" s="2095"/>
      <c r="U85" s="2095"/>
      <c r="V85" s="2095">
        <v>0</v>
      </c>
      <c r="W85" s="2095"/>
      <c r="X85" s="2095"/>
      <c r="Y85" s="2095"/>
      <c r="Z85" s="2095"/>
      <c r="AA85" s="2095"/>
      <c r="AB85" s="2095">
        <v>0</v>
      </c>
      <c r="AC85" s="2095"/>
      <c r="AD85" s="2095"/>
      <c r="AE85" s="2095"/>
      <c r="AF85" s="2095"/>
      <c r="AG85" s="2095"/>
      <c r="AH85" s="2096"/>
      <c r="AI85" s="1208"/>
      <c r="AJ85" s="2065" t="s">
        <v>2313</v>
      </c>
      <c r="AK85" s="2066"/>
      <c r="AL85" s="2066"/>
      <c r="AM85" s="2066"/>
      <c r="AN85" s="2066"/>
      <c r="AO85" s="2066"/>
      <c r="AP85" s="2066"/>
      <c r="AQ85" s="2066"/>
      <c r="AR85" s="2066"/>
      <c r="AS85" s="2066"/>
      <c r="AT85" s="2066"/>
      <c r="AU85" s="2066"/>
      <c r="AV85" s="2066"/>
      <c r="AW85" s="2066"/>
      <c r="AX85" s="2066"/>
      <c r="AY85" s="2066"/>
      <c r="AZ85" s="2066"/>
      <c r="BA85" s="2066"/>
      <c r="BB85" s="2067"/>
      <c r="BC85" s="1208"/>
      <c r="BD85" s="1208"/>
      <c r="BE85" s="1215"/>
      <c r="CK85" s="1206"/>
      <c r="CL85" s="1206"/>
      <c r="CM85" s="1206"/>
      <c r="CN85" s="1206"/>
      <c r="CO85" s="1206"/>
      <c r="CP85" s="1206"/>
    </row>
    <row r="86" spans="1:94" ht="15.75" customHeight="1" thickBot="1">
      <c r="A86" s="1208"/>
      <c r="B86" s="2035" t="s">
        <v>2306</v>
      </c>
      <c r="C86" s="2036"/>
      <c r="D86" s="2036"/>
      <c r="E86" s="2036"/>
      <c r="F86" s="2036"/>
      <c r="G86" s="2036"/>
      <c r="H86" s="2036"/>
      <c r="I86" s="2093">
        <v>0</v>
      </c>
      <c r="J86" s="2093"/>
      <c r="K86" s="2093"/>
      <c r="L86" s="2093"/>
      <c r="M86" s="2093"/>
      <c r="N86" s="2093"/>
      <c r="O86" s="2093">
        <v>0</v>
      </c>
      <c r="P86" s="2093"/>
      <c r="Q86" s="2093"/>
      <c r="R86" s="2093"/>
      <c r="S86" s="2093"/>
      <c r="T86" s="2093"/>
      <c r="U86" s="2093"/>
      <c r="V86" s="2093">
        <v>0</v>
      </c>
      <c r="W86" s="2093"/>
      <c r="X86" s="2093"/>
      <c r="Y86" s="2093"/>
      <c r="Z86" s="2093"/>
      <c r="AA86" s="2093"/>
      <c r="AB86" s="2093">
        <v>0</v>
      </c>
      <c r="AC86" s="2093"/>
      <c r="AD86" s="2093"/>
      <c r="AE86" s="2093"/>
      <c r="AF86" s="2093"/>
      <c r="AG86" s="2093"/>
      <c r="AH86" s="2094"/>
      <c r="AI86" s="1208"/>
      <c r="AJ86" s="2068"/>
      <c r="AK86" s="2069"/>
      <c r="AL86" s="2069"/>
      <c r="AM86" s="2069"/>
      <c r="AN86" s="2069"/>
      <c r="AO86" s="2069"/>
      <c r="AP86" s="2069"/>
      <c r="AQ86" s="2069"/>
      <c r="AR86" s="2069"/>
      <c r="AS86" s="2069"/>
      <c r="AT86" s="2069"/>
      <c r="AU86" s="2069"/>
      <c r="AV86" s="2069"/>
      <c r="AW86" s="2069"/>
      <c r="AX86" s="2069"/>
      <c r="AY86" s="2069"/>
      <c r="AZ86" s="2069"/>
      <c r="BA86" s="2069"/>
      <c r="BB86" s="2070"/>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076"/>
      <c r="G90" s="2077"/>
      <c r="H90" s="2077"/>
      <c r="I90" s="2077"/>
      <c r="J90" s="2077"/>
      <c r="K90" s="2077"/>
      <c r="L90" s="2077"/>
      <c r="M90" s="2077"/>
      <c r="N90" s="2077"/>
      <c r="O90" s="2077"/>
      <c r="P90" s="2077"/>
      <c r="Q90" s="2077"/>
      <c r="R90" s="2077"/>
      <c r="S90" s="2077"/>
      <c r="T90" s="207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79" t="s">
        <v>2314</v>
      </c>
      <c r="C92" s="2080"/>
      <c r="D92" s="2080"/>
      <c r="E92" s="2080"/>
      <c r="F92" s="2080"/>
      <c r="G92" s="2080"/>
      <c r="H92" s="2080"/>
      <c r="I92" s="2080"/>
      <c r="J92" s="2080"/>
      <c r="K92" s="2080"/>
      <c r="L92" s="2080"/>
      <c r="M92" s="2080"/>
      <c r="N92" s="2080"/>
      <c r="O92" s="2080"/>
      <c r="P92" s="2080"/>
      <c r="Q92" s="2080"/>
      <c r="R92" s="2080"/>
      <c r="S92" s="2080"/>
      <c r="T92" s="2080"/>
      <c r="U92" s="2080"/>
      <c r="V92" s="2080"/>
      <c r="W92" s="2080"/>
      <c r="X92" s="2080"/>
      <c r="Y92" s="2080"/>
      <c r="Z92" s="2080"/>
      <c r="AA92" s="2080"/>
      <c r="AB92" s="2080"/>
      <c r="AC92" s="2080"/>
      <c r="AD92" s="2080"/>
      <c r="AE92" s="2080"/>
      <c r="AF92" s="2080"/>
      <c r="AG92" s="2080"/>
      <c r="AH92" s="2081"/>
      <c r="AI92" s="1208"/>
      <c r="AJ92" s="2082" t="s">
        <v>2623</v>
      </c>
      <c r="AK92" s="2083"/>
      <c r="AL92" s="2083"/>
      <c r="AM92" s="2083"/>
      <c r="AN92" s="2083"/>
      <c r="AO92" s="2083"/>
      <c r="AP92" s="2083"/>
      <c r="AQ92" s="2083"/>
      <c r="AR92" s="2083"/>
      <c r="AS92" s="2083"/>
      <c r="AT92" s="2083"/>
      <c r="AU92" s="2083"/>
      <c r="AV92" s="2083"/>
      <c r="AW92" s="2083"/>
      <c r="AX92" s="2083"/>
      <c r="AY92" s="2086" t="s">
        <v>544</v>
      </c>
      <c r="AZ92" s="2086"/>
      <c r="BA92" s="2086"/>
      <c r="BB92" s="2087"/>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17"/>
      <c r="C93" s="2018"/>
      <c r="D93" s="2018"/>
      <c r="E93" s="2018"/>
      <c r="F93" s="2018"/>
      <c r="G93" s="2018"/>
      <c r="H93" s="2018"/>
      <c r="I93" s="2018" t="s">
        <v>2310</v>
      </c>
      <c r="J93" s="2018"/>
      <c r="K93" s="2018"/>
      <c r="L93" s="2018"/>
      <c r="M93" s="2018"/>
      <c r="N93" s="2018"/>
      <c r="O93" s="2018" t="s">
        <v>2287</v>
      </c>
      <c r="P93" s="2018"/>
      <c r="Q93" s="2018"/>
      <c r="R93" s="2018"/>
      <c r="S93" s="2018"/>
      <c r="T93" s="2018"/>
      <c r="U93" s="2018"/>
      <c r="V93" s="2090" t="s">
        <v>2286</v>
      </c>
      <c r="W93" s="2090"/>
      <c r="X93" s="2090"/>
      <c r="Y93" s="2090"/>
      <c r="Z93" s="2090"/>
      <c r="AA93" s="2090"/>
      <c r="AB93" s="2091" t="s">
        <v>2309</v>
      </c>
      <c r="AC93" s="2091"/>
      <c r="AD93" s="2091"/>
      <c r="AE93" s="2091"/>
      <c r="AF93" s="2091"/>
      <c r="AG93" s="2091"/>
      <c r="AH93" s="2092"/>
      <c r="AI93" s="1208"/>
      <c r="AJ93" s="2084"/>
      <c r="AK93" s="2085"/>
      <c r="AL93" s="2085"/>
      <c r="AM93" s="2085"/>
      <c r="AN93" s="2085"/>
      <c r="AO93" s="2085"/>
      <c r="AP93" s="2085"/>
      <c r="AQ93" s="2085"/>
      <c r="AR93" s="2085"/>
      <c r="AS93" s="2085"/>
      <c r="AT93" s="2085"/>
      <c r="AU93" s="2085"/>
      <c r="AV93" s="2085"/>
      <c r="AW93" s="2085"/>
      <c r="AX93" s="2085"/>
      <c r="AY93" s="2088"/>
      <c r="AZ93" s="2088"/>
      <c r="BA93" s="2088"/>
      <c r="BB93" s="2089"/>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17"/>
      <c r="C94" s="2018"/>
      <c r="D94" s="2018"/>
      <c r="E94" s="2018"/>
      <c r="F94" s="2018"/>
      <c r="G94" s="2018"/>
      <c r="H94" s="2018"/>
      <c r="I94" s="2018"/>
      <c r="J94" s="2018"/>
      <c r="K94" s="2018"/>
      <c r="L94" s="2018"/>
      <c r="M94" s="2018"/>
      <c r="N94" s="2018"/>
      <c r="O94" s="2018"/>
      <c r="P94" s="2018"/>
      <c r="Q94" s="2018"/>
      <c r="R94" s="2018"/>
      <c r="S94" s="2018"/>
      <c r="T94" s="2018"/>
      <c r="U94" s="2018"/>
      <c r="V94" s="2090"/>
      <c r="W94" s="2090"/>
      <c r="X94" s="2090"/>
      <c r="Y94" s="2090"/>
      <c r="Z94" s="2090"/>
      <c r="AA94" s="2090"/>
      <c r="AB94" s="2091"/>
      <c r="AC94" s="2091"/>
      <c r="AD94" s="2091"/>
      <c r="AE94" s="2091"/>
      <c r="AF94" s="2091"/>
      <c r="AG94" s="2091"/>
      <c r="AH94" s="2092"/>
      <c r="AI94" s="1208"/>
      <c r="AJ94" s="2084"/>
      <c r="AK94" s="2085"/>
      <c r="AL94" s="2085"/>
      <c r="AM94" s="2085"/>
      <c r="AN94" s="2085"/>
      <c r="AO94" s="2085"/>
      <c r="AP94" s="2085"/>
      <c r="AQ94" s="2085"/>
      <c r="AR94" s="2085"/>
      <c r="AS94" s="2085"/>
      <c r="AT94" s="2085"/>
      <c r="AU94" s="2085"/>
      <c r="AV94" s="2085"/>
      <c r="AW94" s="2085"/>
      <c r="AX94" s="2085"/>
      <c r="AY94" s="2088"/>
      <c r="AZ94" s="2088"/>
      <c r="BA94" s="2088"/>
      <c r="BB94" s="2089"/>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17" t="s">
        <v>2308</v>
      </c>
      <c r="C95" s="2018"/>
      <c r="D95" s="2018"/>
      <c r="E95" s="2018"/>
      <c r="F95" s="2018"/>
      <c r="G95" s="2018"/>
      <c r="H95" s="2018"/>
      <c r="I95" s="2095">
        <v>0</v>
      </c>
      <c r="J95" s="2095"/>
      <c r="K95" s="2095"/>
      <c r="L95" s="2095"/>
      <c r="M95" s="2095"/>
      <c r="N95" s="2095"/>
      <c r="O95" s="2095">
        <v>0</v>
      </c>
      <c r="P95" s="2095"/>
      <c r="Q95" s="2095"/>
      <c r="R95" s="2095"/>
      <c r="S95" s="2095"/>
      <c r="T95" s="2095"/>
      <c r="U95" s="2095"/>
      <c r="V95" s="2095">
        <v>0</v>
      </c>
      <c r="W95" s="2095"/>
      <c r="X95" s="2095"/>
      <c r="Y95" s="2095"/>
      <c r="Z95" s="2095"/>
      <c r="AA95" s="2095"/>
      <c r="AB95" s="2095">
        <v>0</v>
      </c>
      <c r="AC95" s="2095"/>
      <c r="AD95" s="2095"/>
      <c r="AE95" s="2095"/>
      <c r="AF95" s="2095"/>
      <c r="AG95" s="2095"/>
      <c r="AH95" s="2096"/>
      <c r="AI95" s="1208"/>
      <c r="AJ95" s="2084"/>
      <c r="AK95" s="2085"/>
      <c r="AL95" s="2085"/>
      <c r="AM95" s="2085"/>
      <c r="AN95" s="2085"/>
      <c r="AO95" s="2085"/>
      <c r="AP95" s="2085"/>
      <c r="AQ95" s="2085"/>
      <c r="AR95" s="2085"/>
      <c r="AS95" s="2085"/>
      <c r="AT95" s="2085"/>
      <c r="AU95" s="2085"/>
      <c r="AV95" s="2085"/>
      <c r="AW95" s="2085"/>
      <c r="AX95" s="2085"/>
      <c r="AY95" s="2088"/>
      <c r="AZ95" s="2088"/>
      <c r="BA95" s="2088"/>
      <c r="BB95" s="2089"/>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17" t="s">
        <v>2307</v>
      </c>
      <c r="C96" s="2018"/>
      <c r="D96" s="2018"/>
      <c r="E96" s="2018"/>
      <c r="F96" s="2018"/>
      <c r="G96" s="2018"/>
      <c r="H96" s="2018"/>
      <c r="I96" s="2095">
        <v>0</v>
      </c>
      <c r="J96" s="2095"/>
      <c r="K96" s="2095"/>
      <c r="L96" s="2095"/>
      <c r="M96" s="2095"/>
      <c r="N96" s="2095"/>
      <c r="O96" s="2095">
        <v>0</v>
      </c>
      <c r="P96" s="2095"/>
      <c r="Q96" s="2095"/>
      <c r="R96" s="2095"/>
      <c r="S96" s="2095"/>
      <c r="T96" s="2095"/>
      <c r="U96" s="2095"/>
      <c r="V96" s="2095">
        <v>0</v>
      </c>
      <c r="W96" s="2095"/>
      <c r="X96" s="2095"/>
      <c r="Y96" s="2095"/>
      <c r="Z96" s="2095"/>
      <c r="AA96" s="2095"/>
      <c r="AB96" s="2095">
        <v>0</v>
      </c>
      <c r="AC96" s="2095"/>
      <c r="AD96" s="2095"/>
      <c r="AE96" s="2095"/>
      <c r="AF96" s="2095"/>
      <c r="AG96" s="2095"/>
      <c r="AH96" s="2096"/>
      <c r="AI96" s="1208"/>
      <c r="AJ96" s="2065" t="s">
        <v>2313</v>
      </c>
      <c r="AK96" s="2066"/>
      <c r="AL96" s="2066"/>
      <c r="AM96" s="2066"/>
      <c r="AN96" s="2066"/>
      <c r="AO96" s="2066"/>
      <c r="AP96" s="2066"/>
      <c r="AQ96" s="2066"/>
      <c r="AR96" s="2066"/>
      <c r="AS96" s="2066"/>
      <c r="AT96" s="2066"/>
      <c r="AU96" s="2066"/>
      <c r="AV96" s="2066"/>
      <c r="AW96" s="2066"/>
      <c r="AX96" s="2066"/>
      <c r="AY96" s="2066"/>
      <c r="AZ96" s="2066"/>
      <c r="BA96" s="2066"/>
      <c r="BB96" s="2067"/>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5" t="s">
        <v>2306</v>
      </c>
      <c r="C97" s="2036"/>
      <c r="D97" s="2036"/>
      <c r="E97" s="2036"/>
      <c r="F97" s="2036"/>
      <c r="G97" s="2036"/>
      <c r="H97" s="2036"/>
      <c r="I97" s="2093">
        <v>0</v>
      </c>
      <c r="J97" s="2093"/>
      <c r="K97" s="2093"/>
      <c r="L97" s="2093"/>
      <c r="M97" s="2093"/>
      <c r="N97" s="2093"/>
      <c r="O97" s="2093">
        <v>0</v>
      </c>
      <c r="P97" s="2093"/>
      <c r="Q97" s="2093"/>
      <c r="R97" s="2093"/>
      <c r="S97" s="2093"/>
      <c r="T97" s="2093"/>
      <c r="U97" s="2093"/>
      <c r="V97" s="2093">
        <v>0</v>
      </c>
      <c r="W97" s="2093"/>
      <c r="X97" s="2093"/>
      <c r="Y97" s="2093"/>
      <c r="Z97" s="2093"/>
      <c r="AA97" s="2093"/>
      <c r="AB97" s="2093">
        <v>0</v>
      </c>
      <c r="AC97" s="2093"/>
      <c r="AD97" s="2093"/>
      <c r="AE97" s="2093"/>
      <c r="AF97" s="2093"/>
      <c r="AG97" s="2093"/>
      <c r="AH97" s="2094"/>
      <c r="AI97" s="1208"/>
      <c r="AJ97" s="2068"/>
      <c r="AK97" s="2069"/>
      <c r="AL97" s="2069"/>
      <c r="AM97" s="2069"/>
      <c r="AN97" s="2069"/>
      <c r="AO97" s="2069"/>
      <c r="AP97" s="2069"/>
      <c r="AQ97" s="2069"/>
      <c r="AR97" s="2069"/>
      <c r="AS97" s="2069"/>
      <c r="AT97" s="2069"/>
      <c r="AU97" s="2069"/>
      <c r="AV97" s="2069"/>
      <c r="AW97" s="2069"/>
      <c r="AX97" s="2069"/>
      <c r="AY97" s="2069"/>
      <c r="AZ97" s="2069"/>
      <c r="BA97" s="2069"/>
      <c r="BB97" s="2070"/>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097"/>
      <c r="G100" s="2098"/>
      <c r="H100" s="2098"/>
      <c r="I100" s="2098"/>
      <c r="J100" s="2098"/>
      <c r="K100" s="2098"/>
      <c r="L100" s="2098"/>
      <c r="M100" s="2098"/>
      <c r="N100" s="2098"/>
      <c r="O100" s="2098"/>
      <c r="P100" s="2098"/>
      <c r="Q100" s="2098"/>
      <c r="R100" s="2099"/>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1" t="s">
        <v>2311</v>
      </c>
      <c r="C102" s="2062"/>
      <c r="D102" s="2062"/>
      <c r="E102" s="2062"/>
      <c r="F102" s="2062"/>
      <c r="G102" s="2062"/>
      <c r="H102" s="2062"/>
      <c r="I102" s="2062"/>
      <c r="J102" s="2062"/>
      <c r="K102" s="2062"/>
      <c r="L102" s="2062"/>
      <c r="M102" s="2062"/>
      <c r="N102" s="2062"/>
      <c r="O102" s="2062"/>
      <c r="P102" s="2062"/>
      <c r="Q102" s="2062"/>
      <c r="R102" s="2062"/>
      <c r="S102" s="2062"/>
      <c r="T102" s="2062"/>
      <c r="U102" s="2062"/>
      <c r="V102" s="2062"/>
      <c r="W102" s="2062"/>
      <c r="X102" s="2062"/>
      <c r="Y102" s="2062"/>
      <c r="Z102" s="2062"/>
      <c r="AA102" s="2062"/>
      <c r="AB102" s="2062"/>
      <c r="AC102" s="2062"/>
      <c r="AD102" s="2062"/>
      <c r="AE102" s="2062"/>
      <c r="AF102" s="2062"/>
      <c r="AG102" s="2062"/>
      <c r="AH102" s="210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17"/>
      <c r="C103" s="2018"/>
      <c r="D103" s="2018"/>
      <c r="E103" s="2018"/>
      <c r="F103" s="2018"/>
      <c r="G103" s="2018"/>
      <c r="H103" s="2018"/>
      <c r="I103" s="2018" t="s">
        <v>2310</v>
      </c>
      <c r="J103" s="2018"/>
      <c r="K103" s="2018"/>
      <c r="L103" s="2018"/>
      <c r="M103" s="2018"/>
      <c r="N103" s="2018"/>
      <c r="O103" s="2018" t="s">
        <v>2287</v>
      </c>
      <c r="P103" s="2018"/>
      <c r="Q103" s="2018"/>
      <c r="R103" s="2018"/>
      <c r="S103" s="2018"/>
      <c r="T103" s="2018"/>
      <c r="U103" s="2018"/>
      <c r="V103" s="2090" t="s">
        <v>2286</v>
      </c>
      <c r="W103" s="2090"/>
      <c r="X103" s="2090"/>
      <c r="Y103" s="2090"/>
      <c r="Z103" s="2090"/>
      <c r="AA103" s="2090"/>
      <c r="AB103" s="2091" t="s">
        <v>2309</v>
      </c>
      <c r="AC103" s="2091"/>
      <c r="AD103" s="2091"/>
      <c r="AE103" s="2091"/>
      <c r="AF103" s="2091"/>
      <c r="AG103" s="2091"/>
      <c r="AH103" s="2092"/>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17"/>
      <c r="C104" s="2018"/>
      <c r="D104" s="2018"/>
      <c r="E104" s="2018"/>
      <c r="F104" s="2018"/>
      <c r="G104" s="2018"/>
      <c r="H104" s="2018"/>
      <c r="I104" s="2018"/>
      <c r="J104" s="2018"/>
      <c r="K104" s="2018"/>
      <c r="L104" s="2018"/>
      <c r="M104" s="2018"/>
      <c r="N104" s="2018"/>
      <c r="O104" s="2018"/>
      <c r="P104" s="2018"/>
      <c r="Q104" s="2018"/>
      <c r="R104" s="2018"/>
      <c r="S104" s="2018"/>
      <c r="T104" s="2018"/>
      <c r="U104" s="2018"/>
      <c r="V104" s="2090"/>
      <c r="W104" s="2090"/>
      <c r="X104" s="2090"/>
      <c r="Y104" s="2090"/>
      <c r="Z104" s="2090"/>
      <c r="AA104" s="2090"/>
      <c r="AB104" s="2091"/>
      <c r="AC104" s="2091"/>
      <c r="AD104" s="2091"/>
      <c r="AE104" s="2091"/>
      <c r="AF104" s="2091"/>
      <c r="AG104" s="2091"/>
      <c r="AH104" s="2092"/>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17" t="s">
        <v>2308</v>
      </c>
      <c r="C105" s="2018"/>
      <c r="D105" s="2018"/>
      <c r="E105" s="2018"/>
      <c r="F105" s="2018"/>
      <c r="G105" s="2018"/>
      <c r="H105" s="2018"/>
      <c r="I105" s="2095">
        <v>0</v>
      </c>
      <c r="J105" s="2095"/>
      <c r="K105" s="2095"/>
      <c r="L105" s="2095"/>
      <c r="M105" s="2095"/>
      <c r="N105" s="2095"/>
      <c r="O105" s="2095">
        <v>0</v>
      </c>
      <c r="P105" s="2095"/>
      <c r="Q105" s="2095"/>
      <c r="R105" s="2095"/>
      <c r="S105" s="2095"/>
      <c r="T105" s="2095"/>
      <c r="U105" s="2095"/>
      <c r="V105" s="2095">
        <v>0</v>
      </c>
      <c r="W105" s="2095"/>
      <c r="X105" s="2095"/>
      <c r="Y105" s="2095"/>
      <c r="Z105" s="2095"/>
      <c r="AA105" s="2095"/>
      <c r="AB105" s="2095">
        <v>0</v>
      </c>
      <c r="AC105" s="2095"/>
      <c r="AD105" s="2095"/>
      <c r="AE105" s="2095"/>
      <c r="AF105" s="2095"/>
      <c r="AG105" s="2095"/>
      <c r="AH105" s="2096"/>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17" t="s">
        <v>2307</v>
      </c>
      <c r="C106" s="2018"/>
      <c r="D106" s="2018"/>
      <c r="E106" s="2018"/>
      <c r="F106" s="2018"/>
      <c r="G106" s="2018"/>
      <c r="H106" s="2018"/>
      <c r="I106" s="2095">
        <v>0</v>
      </c>
      <c r="J106" s="2095"/>
      <c r="K106" s="2095"/>
      <c r="L106" s="2095"/>
      <c r="M106" s="2095"/>
      <c r="N106" s="2095"/>
      <c r="O106" s="2095">
        <v>0</v>
      </c>
      <c r="P106" s="2095"/>
      <c r="Q106" s="2095"/>
      <c r="R106" s="2095"/>
      <c r="S106" s="2095"/>
      <c r="T106" s="2095"/>
      <c r="U106" s="2095"/>
      <c r="V106" s="2095">
        <v>0</v>
      </c>
      <c r="W106" s="2095"/>
      <c r="X106" s="2095"/>
      <c r="Y106" s="2095"/>
      <c r="Z106" s="2095"/>
      <c r="AA106" s="2095"/>
      <c r="AB106" s="2095">
        <v>0</v>
      </c>
      <c r="AC106" s="2095"/>
      <c r="AD106" s="2095"/>
      <c r="AE106" s="2095"/>
      <c r="AF106" s="2095"/>
      <c r="AG106" s="2095"/>
      <c r="AH106" s="2096"/>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5" t="s">
        <v>2306</v>
      </c>
      <c r="C107" s="2036"/>
      <c r="D107" s="2036"/>
      <c r="E107" s="2036"/>
      <c r="F107" s="2036"/>
      <c r="G107" s="2036"/>
      <c r="H107" s="2036"/>
      <c r="I107" s="2093">
        <v>0</v>
      </c>
      <c r="J107" s="2093"/>
      <c r="K107" s="2093"/>
      <c r="L107" s="2093"/>
      <c r="M107" s="2093"/>
      <c r="N107" s="2093"/>
      <c r="O107" s="2093">
        <v>0</v>
      </c>
      <c r="P107" s="2093"/>
      <c r="Q107" s="2093"/>
      <c r="R107" s="2093"/>
      <c r="S107" s="2093"/>
      <c r="T107" s="2093"/>
      <c r="U107" s="2093"/>
      <c r="V107" s="2093">
        <v>0</v>
      </c>
      <c r="W107" s="2093"/>
      <c r="X107" s="2093"/>
      <c r="Y107" s="2093"/>
      <c r="Z107" s="2093"/>
      <c r="AA107" s="2093"/>
      <c r="AB107" s="2093">
        <v>0</v>
      </c>
      <c r="AC107" s="2093"/>
      <c r="AD107" s="2093"/>
      <c r="AE107" s="2093"/>
      <c r="AF107" s="2093"/>
      <c r="AG107" s="2093"/>
      <c r="AH107" s="2094"/>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097"/>
      <c r="G110" s="2098"/>
      <c r="H110" s="2098"/>
      <c r="I110" s="2098"/>
      <c r="J110" s="2098"/>
      <c r="K110" s="2098"/>
      <c r="L110" s="2098"/>
      <c r="M110" s="2098"/>
      <c r="N110" s="2098"/>
      <c r="O110" s="2098"/>
      <c r="P110" s="2098"/>
      <c r="Q110" s="2098"/>
      <c r="R110" s="2099"/>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1" t="s">
        <v>2624</v>
      </c>
      <c r="C112" s="2102"/>
      <c r="D112" s="2102"/>
      <c r="E112" s="2102"/>
      <c r="F112" s="2102"/>
      <c r="G112" s="2102"/>
      <c r="H112" s="2102"/>
      <c r="I112" s="2102"/>
      <c r="J112" s="2102"/>
      <c r="K112" s="2102"/>
      <c r="L112" s="2102"/>
      <c r="M112" s="2102"/>
      <c r="N112" s="2102"/>
      <c r="O112" s="2102"/>
      <c r="P112" s="2102"/>
      <c r="Q112" s="2102"/>
      <c r="R112" s="2102"/>
      <c r="S112" s="2102"/>
      <c r="T112" s="2102"/>
      <c r="U112" s="2105" t="s">
        <v>544</v>
      </c>
      <c r="V112" s="2105"/>
      <c r="W112" s="2105"/>
      <c r="X112" s="210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3"/>
      <c r="C113" s="2104"/>
      <c r="D113" s="2104"/>
      <c r="E113" s="2104"/>
      <c r="F113" s="2104"/>
      <c r="G113" s="2104"/>
      <c r="H113" s="2104"/>
      <c r="I113" s="2104"/>
      <c r="J113" s="2104"/>
      <c r="K113" s="2104"/>
      <c r="L113" s="2104"/>
      <c r="M113" s="2104"/>
      <c r="N113" s="2104"/>
      <c r="O113" s="2104"/>
      <c r="P113" s="2104"/>
      <c r="Q113" s="2104"/>
      <c r="R113" s="2104"/>
      <c r="S113" s="2104"/>
      <c r="T113" s="2104"/>
      <c r="U113" s="2107"/>
      <c r="V113" s="2107"/>
      <c r="W113" s="2107"/>
      <c r="X113" s="210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3"/>
      <c r="C114" s="2104"/>
      <c r="D114" s="2104"/>
      <c r="E114" s="2104"/>
      <c r="F114" s="2104"/>
      <c r="G114" s="2104"/>
      <c r="H114" s="2104"/>
      <c r="I114" s="2104"/>
      <c r="J114" s="2104"/>
      <c r="K114" s="2104"/>
      <c r="L114" s="2104"/>
      <c r="M114" s="2104"/>
      <c r="N114" s="2104"/>
      <c r="O114" s="2104"/>
      <c r="P114" s="2104"/>
      <c r="Q114" s="2104"/>
      <c r="R114" s="2104"/>
      <c r="S114" s="2104"/>
      <c r="T114" s="2104"/>
      <c r="U114" s="2107"/>
      <c r="V114" s="2107"/>
      <c r="W114" s="2107"/>
      <c r="X114" s="210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3"/>
      <c r="C115" s="2104"/>
      <c r="D115" s="2104"/>
      <c r="E115" s="2104"/>
      <c r="F115" s="2104"/>
      <c r="G115" s="2104"/>
      <c r="H115" s="2104"/>
      <c r="I115" s="2104"/>
      <c r="J115" s="2104"/>
      <c r="K115" s="2104"/>
      <c r="L115" s="2104"/>
      <c r="M115" s="2104"/>
      <c r="N115" s="2104"/>
      <c r="O115" s="2104"/>
      <c r="P115" s="2104"/>
      <c r="Q115" s="2104"/>
      <c r="R115" s="2104"/>
      <c r="S115" s="2104"/>
      <c r="T115" s="2104"/>
      <c r="U115" s="2107"/>
      <c r="V115" s="2107"/>
      <c r="W115" s="2107"/>
      <c r="X115" s="210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09" t="s">
        <v>2624</v>
      </c>
      <c r="C116" s="2110"/>
      <c r="D116" s="2110"/>
      <c r="E116" s="2110"/>
      <c r="F116" s="2110"/>
      <c r="G116" s="2110"/>
      <c r="H116" s="2110"/>
      <c r="I116" s="2110"/>
      <c r="J116" s="2110"/>
      <c r="K116" s="2110"/>
      <c r="L116" s="2110"/>
      <c r="M116" s="2110"/>
      <c r="N116" s="2110"/>
      <c r="O116" s="2110"/>
      <c r="P116" s="2110"/>
      <c r="Q116" s="2110"/>
      <c r="R116" s="2110"/>
      <c r="S116" s="2110"/>
      <c r="T116" s="2110"/>
      <c r="U116" s="2113" t="s">
        <v>544</v>
      </c>
      <c r="V116" s="2113"/>
      <c r="W116" s="2113"/>
      <c r="X116" s="211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1"/>
      <c r="C117" s="2112"/>
      <c r="D117" s="2112"/>
      <c r="E117" s="2112"/>
      <c r="F117" s="2112"/>
      <c r="G117" s="2112"/>
      <c r="H117" s="2112"/>
      <c r="I117" s="2112"/>
      <c r="J117" s="2112"/>
      <c r="K117" s="2112"/>
      <c r="L117" s="2112"/>
      <c r="M117" s="2112"/>
      <c r="N117" s="2112"/>
      <c r="O117" s="2112"/>
      <c r="P117" s="2112"/>
      <c r="Q117" s="2112"/>
      <c r="R117" s="2112"/>
      <c r="S117" s="2112"/>
      <c r="T117" s="2112"/>
      <c r="U117" s="2115"/>
      <c r="V117" s="2115"/>
      <c r="W117" s="2115"/>
      <c r="X117" s="211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2" t="s">
        <v>2303</v>
      </c>
      <c r="Y120" s="2083"/>
      <c r="Z120" s="2083"/>
      <c r="AA120" s="2083"/>
      <c r="AB120" s="2083"/>
      <c r="AC120" s="2083"/>
      <c r="AD120" s="2083"/>
      <c r="AE120" s="2083"/>
      <c r="AF120" s="2083"/>
      <c r="AG120" s="2083"/>
      <c r="AH120" s="2083"/>
      <c r="AI120" s="2083"/>
      <c r="AJ120" s="2083"/>
      <c r="AK120" s="2083"/>
      <c r="AL120" s="2083"/>
      <c r="AM120" s="2083"/>
      <c r="AN120" s="2083"/>
      <c r="AO120" s="2083"/>
      <c r="AP120" s="2083"/>
      <c r="AQ120" s="2083"/>
      <c r="AR120" s="2083"/>
      <c r="AS120" s="2083"/>
      <c r="AT120" s="2083"/>
      <c r="AU120" s="2083"/>
      <c r="AV120" s="2083"/>
      <c r="AW120" s="2083"/>
      <c r="AX120" s="2083"/>
      <c r="AY120" s="2083"/>
      <c r="AZ120" s="2083"/>
      <c r="BA120" s="2083"/>
      <c r="BB120" s="2083"/>
      <c r="BC120" s="2083"/>
      <c r="BD120" s="2123"/>
      <c r="BE120" s="1215"/>
    </row>
    <row r="121" spans="1:57" ht="15.75" customHeight="1">
      <c r="A121" s="1208"/>
      <c r="B121" s="2125" t="s">
        <v>1565</v>
      </c>
      <c r="C121" s="2126"/>
      <c r="D121" s="2126"/>
      <c r="E121" s="2126"/>
      <c r="F121" s="2126"/>
      <c r="G121" s="2126"/>
      <c r="H121" s="2126"/>
      <c r="I121" s="2126"/>
      <c r="J121" s="2126"/>
      <c r="K121" s="2126"/>
      <c r="L121" s="2126"/>
      <c r="M121" s="2126"/>
      <c r="N121" s="2126"/>
      <c r="O121" s="2126"/>
      <c r="P121" s="2126"/>
      <c r="Q121" s="2126"/>
      <c r="R121" s="2126"/>
      <c r="S121" s="2126"/>
      <c r="T121" s="2126"/>
      <c r="U121" s="2127"/>
      <c r="V121" s="1208"/>
      <c r="W121" s="1208"/>
      <c r="X121" s="2084"/>
      <c r="Y121" s="2085"/>
      <c r="Z121" s="2085"/>
      <c r="AA121" s="2085"/>
      <c r="AB121" s="2085"/>
      <c r="AC121" s="2085"/>
      <c r="AD121" s="2085"/>
      <c r="AE121" s="2085"/>
      <c r="AF121" s="2085"/>
      <c r="AG121" s="2085"/>
      <c r="AH121" s="2085"/>
      <c r="AI121" s="2085"/>
      <c r="AJ121" s="2085"/>
      <c r="AK121" s="2085"/>
      <c r="AL121" s="2085"/>
      <c r="AM121" s="2085"/>
      <c r="AN121" s="2085"/>
      <c r="AO121" s="2085"/>
      <c r="AP121" s="2085"/>
      <c r="AQ121" s="2085"/>
      <c r="AR121" s="2085"/>
      <c r="AS121" s="2085"/>
      <c r="AT121" s="2085"/>
      <c r="AU121" s="2085"/>
      <c r="AV121" s="2085"/>
      <c r="AW121" s="2085"/>
      <c r="AX121" s="2085"/>
      <c r="AY121" s="2085"/>
      <c r="AZ121" s="2085"/>
      <c r="BA121" s="2085"/>
      <c r="BB121" s="2085"/>
      <c r="BC121" s="2085"/>
      <c r="BD121" s="2124"/>
      <c r="BE121" s="1215"/>
    </row>
    <row r="122" spans="1:57" ht="15.75" customHeight="1">
      <c r="A122" s="1208"/>
      <c r="B122" s="2143"/>
      <c r="C122" s="2144"/>
      <c r="D122" s="2144"/>
      <c r="E122" s="2144"/>
      <c r="F122" s="2144"/>
      <c r="G122" s="2144"/>
      <c r="H122" s="2144"/>
      <c r="I122" s="2018" t="s">
        <v>2302</v>
      </c>
      <c r="J122" s="2018"/>
      <c r="K122" s="2018"/>
      <c r="L122" s="2018"/>
      <c r="M122" s="2018"/>
      <c r="N122" s="2018"/>
      <c r="O122" s="2147" t="s">
        <v>2301</v>
      </c>
      <c r="P122" s="2147"/>
      <c r="Q122" s="2147"/>
      <c r="R122" s="2147"/>
      <c r="S122" s="2147"/>
      <c r="T122" s="2147"/>
      <c r="U122" s="2148"/>
      <c r="V122" s="1208"/>
      <c r="W122" s="1208"/>
      <c r="X122" s="2065" t="s">
        <v>2271</v>
      </c>
      <c r="Y122" s="2066"/>
      <c r="Z122" s="2066"/>
      <c r="AA122" s="2066"/>
      <c r="AB122" s="2066"/>
      <c r="AC122" s="2066"/>
      <c r="AD122" s="2066"/>
      <c r="AE122" s="2066"/>
      <c r="AF122" s="2066"/>
      <c r="AG122" s="2066"/>
      <c r="AH122" s="2066"/>
      <c r="AI122" s="2066"/>
      <c r="AJ122" s="2066"/>
      <c r="AK122" s="2066"/>
      <c r="AL122" s="2066"/>
      <c r="AM122" s="2066"/>
      <c r="AN122" s="2066"/>
      <c r="AO122" s="2066"/>
      <c r="AP122" s="2066"/>
      <c r="AQ122" s="2066"/>
      <c r="AR122" s="2066"/>
      <c r="AS122" s="2066"/>
      <c r="AT122" s="2066"/>
      <c r="AU122" s="2066"/>
      <c r="AV122" s="2066"/>
      <c r="AW122" s="2066"/>
      <c r="AX122" s="2066"/>
      <c r="AY122" s="2066"/>
      <c r="AZ122" s="2066"/>
      <c r="BA122" s="2066"/>
      <c r="BB122" s="2066"/>
      <c r="BC122" s="2066"/>
      <c r="BD122" s="2067"/>
      <c r="BE122" s="1215"/>
    </row>
    <row r="123" spans="1:57" ht="15.75" customHeight="1">
      <c r="A123" s="1208"/>
      <c r="B123" s="2117" t="s">
        <v>2285</v>
      </c>
      <c r="C123" s="2118"/>
      <c r="D123" s="2118"/>
      <c r="E123" s="2118"/>
      <c r="F123" s="2118"/>
      <c r="G123" s="2118"/>
      <c r="H123" s="2118"/>
      <c r="I123" s="2095">
        <v>0</v>
      </c>
      <c r="J123" s="2095"/>
      <c r="K123" s="2095"/>
      <c r="L123" s="2095"/>
      <c r="M123" s="2095"/>
      <c r="N123" s="2095"/>
      <c r="O123" s="2095">
        <v>0</v>
      </c>
      <c r="P123" s="2095"/>
      <c r="Q123" s="2095"/>
      <c r="R123" s="2095"/>
      <c r="S123" s="2095"/>
      <c r="T123" s="2095"/>
      <c r="U123" s="2096"/>
      <c r="V123" s="1208"/>
      <c r="W123" s="1208"/>
      <c r="X123" s="2065"/>
      <c r="Y123" s="2066"/>
      <c r="Z123" s="2066"/>
      <c r="AA123" s="2066"/>
      <c r="AB123" s="2066"/>
      <c r="AC123" s="2066"/>
      <c r="AD123" s="2066"/>
      <c r="AE123" s="2066"/>
      <c r="AF123" s="2066"/>
      <c r="AG123" s="2066"/>
      <c r="AH123" s="2066"/>
      <c r="AI123" s="2066"/>
      <c r="AJ123" s="2066"/>
      <c r="AK123" s="2066"/>
      <c r="AL123" s="2066"/>
      <c r="AM123" s="2066"/>
      <c r="AN123" s="2066"/>
      <c r="AO123" s="2066"/>
      <c r="AP123" s="2066"/>
      <c r="AQ123" s="2066"/>
      <c r="AR123" s="2066"/>
      <c r="AS123" s="2066"/>
      <c r="AT123" s="2066"/>
      <c r="AU123" s="2066"/>
      <c r="AV123" s="2066"/>
      <c r="AW123" s="2066"/>
      <c r="AX123" s="2066"/>
      <c r="AY123" s="2066"/>
      <c r="AZ123" s="2066"/>
      <c r="BA123" s="2066"/>
      <c r="BB123" s="2066"/>
      <c r="BC123" s="2066"/>
      <c r="BD123" s="2067"/>
      <c r="BE123" s="1215"/>
    </row>
    <row r="124" spans="1:57" ht="15.75" customHeight="1" thickBot="1">
      <c r="A124" s="1208"/>
      <c r="B124" s="2119" t="s">
        <v>2284</v>
      </c>
      <c r="C124" s="2120"/>
      <c r="D124" s="2120"/>
      <c r="E124" s="2120"/>
      <c r="F124" s="2120"/>
      <c r="G124" s="2120"/>
      <c r="H124" s="2120"/>
      <c r="I124" s="2093">
        <v>0</v>
      </c>
      <c r="J124" s="2093"/>
      <c r="K124" s="2093"/>
      <c r="L124" s="2093"/>
      <c r="M124" s="2093"/>
      <c r="N124" s="2093"/>
      <c r="O124" s="2121"/>
      <c r="P124" s="2121"/>
      <c r="Q124" s="2121"/>
      <c r="R124" s="2121"/>
      <c r="S124" s="2121"/>
      <c r="T124" s="2121"/>
      <c r="U124" s="2122"/>
      <c r="V124" s="1208"/>
      <c r="W124" s="1208"/>
      <c r="X124" s="2065"/>
      <c r="Y124" s="2066"/>
      <c r="Z124" s="2066"/>
      <c r="AA124" s="2066"/>
      <c r="AB124" s="2066"/>
      <c r="AC124" s="2066"/>
      <c r="AD124" s="2066"/>
      <c r="AE124" s="2066"/>
      <c r="AF124" s="2066"/>
      <c r="AG124" s="2066"/>
      <c r="AH124" s="2066"/>
      <c r="AI124" s="2066"/>
      <c r="AJ124" s="2066"/>
      <c r="AK124" s="2066"/>
      <c r="AL124" s="2066"/>
      <c r="AM124" s="2066"/>
      <c r="AN124" s="2066"/>
      <c r="AO124" s="2066"/>
      <c r="AP124" s="2066"/>
      <c r="AQ124" s="2066"/>
      <c r="AR124" s="2066"/>
      <c r="AS124" s="2066"/>
      <c r="AT124" s="2066"/>
      <c r="AU124" s="2066"/>
      <c r="AV124" s="2066"/>
      <c r="AW124" s="2066"/>
      <c r="AX124" s="2066"/>
      <c r="AY124" s="2066"/>
      <c r="AZ124" s="2066"/>
      <c r="BA124" s="2066"/>
      <c r="BB124" s="2066"/>
      <c r="BC124" s="2066"/>
      <c r="BD124" s="2067"/>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5"/>
      <c r="Y125" s="2066"/>
      <c r="Z125" s="2066"/>
      <c r="AA125" s="2066"/>
      <c r="AB125" s="2066"/>
      <c r="AC125" s="2066"/>
      <c r="AD125" s="2066"/>
      <c r="AE125" s="2066"/>
      <c r="AF125" s="2066"/>
      <c r="AG125" s="2066"/>
      <c r="AH125" s="2066"/>
      <c r="AI125" s="2066"/>
      <c r="AJ125" s="2066"/>
      <c r="AK125" s="2066"/>
      <c r="AL125" s="2066"/>
      <c r="AM125" s="2066"/>
      <c r="AN125" s="2066"/>
      <c r="AO125" s="2066"/>
      <c r="AP125" s="2066"/>
      <c r="AQ125" s="2066"/>
      <c r="AR125" s="2066"/>
      <c r="AS125" s="2066"/>
      <c r="AT125" s="2066"/>
      <c r="AU125" s="2066"/>
      <c r="AV125" s="2066"/>
      <c r="AW125" s="2066"/>
      <c r="AX125" s="2066"/>
      <c r="AY125" s="2066"/>
      <c r="AZ125" s="2066"/>
      <c r="BA125" s="2066"/>
      <c r="BB125" s="2066"/>
      <c r="BC125" s="2066"/>
      <c r="BD125" s="2067"/>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65"/>
      <c r="Y126" s="2066"/>
      <c r="Z126" s="2066"/>
      <c r="AA126" s="2066"/>
      <c r="AB126" s="2066"/>
      <c r="AC126" s="2066"/>
      <c r="AD126" s="2066"/>
      <c r="AE126" s="2066"/>
      <c r="AF126" s="2066"/>
      <c r="AG126" s="2066"/>
      <c r="AH126" s="2066"/>
      <c r="AI126" s="2066"/>
      <c r="AJ126" s="2066"/>
      <c r="AK126" s="2066"/>
      <c r="AL126" s="2066"/>
      <c r="AM126" s="2066"/>
      <c r="AN126" s="2066"/>
      <c r="AO126" s="2066"/>
      <c r="AP126" s="2066"/>
      <c r="AQ126" s="2066"/>
      <c r="AR126" s="2066"/>
      <c r="AS126" s="2066"/>
      <c r="AT126" s="2066"/>
      <c r="AU126" s="2066"/>
      <c r="AV126" s="2066"/>
      <c r="AW126" s="2066"/>
      <c r="AX126" s="2066"/>
      <c r="AY126" s="2066"/>
      <c r="AZ126" s="2066"/>
      <c r="BA126" s="2066"/>
      <c r="BB126" s="2066"/>
      <c r="BC126" s="2066"/>
      <c r="BD126" s="2067"/>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5"/>
      <c r="Y127" s="2066"/>
      <c r="Z127" s="2066"/>
      <c r="AA127" s="2066"/>
      <c r="AB127" s="2066"/>
      <c r="AC127" s="2066"/>
      <c r="AD127" s="2066"/>
      <c r="AE127" s="2066"/>
      <c r="AF127" s="2066"/>
      <c r="AG127" s="2066"/>
      <c r="AH127" s="2066"/>
      <c r="AI127" s="2066"/>
      <c r="AJ127" s="2066"/>
      <c r="AK127" s="2066"/>
      <c r="AL127" s="2066"/>
      <c r="AM127" s="2066"/>
      <c r="AN127" s="2066"/>
      <c r="AO127" s="2066"/>
      <c r="AP127" s="2066"/>
      <c r="AQ127" s="2066"/>
      <c r="AR127" s="2066"/>
      <c r="AS127" s="2066"/>
      <c r="AT127" s="2066"/>
      <c r="AU127" s="2066"/>
      <c r="AV127" s="2066"/>
      <c r="AW127" s="2066"/>
      <c r="AX127" s="2066"/>
      <c r="AY127" s="2066"/>
      <c r="AZ127" s="2066"/>
      <c r="BA127" s="2066"/>
      <c r="BB127" s="2066"/>
      <c r="BC127" s="2066"/>
      <c r="BD127" s="2067"/>
      <c r="BE127" s="1215"/>
    </row>
    <row r="128" spans="1:57" ht="15.75" customHeight="1">
      <c r="A128" s="1208"/>
      <c r="B128" s="1919" t="s">
        <v>2299</v>
      </c>
      <c r="C128" s="1920"/>
      <c r="D128" s="1920"/>
      <c r="E128" s="1920"/>
      <c r="F128" s="1920"/>
      <c r="G128" s="1920"/>
      <c r="H128" s="1920"/>
      <c r="I128" s="1920"/>
      <c r="J128" s="1920"/>
      <c r="K128" s="1920"/>
      <c r="L128" s="1920"/>
      <c r="M128" s="1920"/>
      <c r="N128" s="1920"/>
      <c r="O128" s="1920"/>
      <c r="P128" s="1920"/>
      <c r="Q128" s="1920"/>
      <c r="R128" s="1920"/>
      <c r="S128" s="1920"/>
      <c r="T128" s="1920"/>
      <c r="U128" s="1921"/>
      <c r="V128" s="1208"/>
      <c r="W128" s="1208"/>
      <c r="X128" s="2065"/>
      <c r="Y128" s="2066"/>
      <c r="Z128" s="2066"/>
      <c r="AA128" s="2066"/>
      <c r="AB128" s="2066"/>
      <c r="AC128" s="2066"/>
      <c r="AD128" s="2066"/>
      <c r="AE128" s="2066"/>
      <c r="AF128" s="2066"/>
      <c r="AG128" s="2066"/>
      <c r="AH128" s="2066"/>
      <c r="AI128" s="2066"/>
      <c r="AJ128" s="2066"/>
      <c r="AK128" s="2066"/>
      <c r="AL128" s="2066"/>
      <c r="AM128" s="2066"/>
      <c r="AN128" s="2066"/>
      <c r="AO128" s="2066"/>
      <c r="AP128" s="2066"/>
      <c r="AQ128" s="2066"/>
      <c r="AR128" s="2066"/>
      <c r="AS128" s="2066"/>
      <c r="AT128" s="2066"/>
      <c r="AU128" s="2066"/>
      <c r="AV128" s="2066"/>
      <c r="AW128" s="2066"/>
      <c r="AX128" s="2066"/>
      <c r="AY128" s="2066"/>
      <c r="AZ128" s="2066"/>
      <c r="BA128" s="2066"/>
      <c r="BB128" s="2066"/>
      <c r="BC128" s="2066"/>
      <c r="BD128" s="2067"/>
      <c r="BE128" s="1215"/>
    </row>
    <row r="129" spans="1:57" ht="15.75" customHeight="1">
      <c r="A129" s="1208"/>
      <c r="B129" s="2143"/>
      <c r="C129" s="2144"/>
      <c r="D129" s="2144"/>
      <c r="E129" s="2144"/>
      <c r="F129" s="2144"/>
      <c r="G129" s="2144"/>
      <c r="H129" s="2144"/>
      <c r="I129" s="2145" t="s">
        <v>2287</v>
      </c>
      <c r="J129" s="2145"/>
      <c r="K129" s="2145"/>
      <c r="L129" s="2145"/>
      <c r="M129" s="2145"/>
      <c r="N129" s="2145"/>
      <c r="O129" s="2145"/>
      <c r="P129" s="2145" t="s">
        <v>2286</v>
      </c>
      <c r="Q129" s="2145"/>
      <c r="R129" s="2145"/>
      <c r="S129" s="2145"/>
      <c r="T129" s="2145"/>
      <c r="U129" s="2146"/>
      <c r="V129" s="1208"/>
      <c r="W129" s="1208"/>
      <c r="X129" s="2065"/>
      <c r="Y129" s="2066"/>
      <c r="Z129" s="2066"/>
      <c r="AA129" s="2066"/>
      <c r="AB129" s="2066"/>
      <c r="AC129" s="2066"/>
      <c r="AD129" s="2066"/>
      <c r="AE129" s="2066"/>
      <c r="AF129" s="2066"/>
      <c r="AG129" s="2066"/>
      <c r="AH129" s="2066"/>
      <c r="AI129" s="2066"/>
      <c r="AJ129" s="2066"/>
      <c r="AK129" s="2066"/>
      <c r="AL129" s="2066"/>
      <c r="AM129" s="2066"/>
      <c r="AN129" s="2066"/>
      <c r="AO129" s="2066"/>
      <c r="AP129" s="2066"/>
      <c r="AQ129" s="2066"/>
      <c r="AR129" s="2066"/>
      <c r="AS129" s="2066"/>
      <c r="AT129" s="2066"/>
      <c r="AU129" s="2066"/>
      <c r="AV129" s="2066"/>
      <c r="AW129" s="2066"/>
      <c r="AX129" s="2066"/>
      <c r="AY129" s="2066"/>
      <c r="AZ129" s="2066"/>
      <c r="BA129" s="2066"/>
      <c r="BB129" s="2066"/>
      <c r="BC129" s="2066"/>
      <c r="BD129" s="2067"/>
      <c r="BE129" s="1215"/>
    </row>
    <row r="130" spans="1:57" ht="15.75" customHeight="1">
      <c r="A130" s="1208"/>
      <c r="B130" s="2143"/>
      <c r="C130" s="2144"/>
      <c r="D130" s="2144"/>
      <c r="E130" s="2144"/>
      <c r="F130" s="2144"/>
      <c r="G130" s="2144"/>
      <c r="H130" s="2144"/>
      <c r="I130" s="2145"/>
      <c r="J130" s="2145"/>
      <c r="K130" s="2145"/>
      <c r="L130" s="2145"/>
      <c r="M130" s="2145"/>
      <c r="N130" s="2145"/>
      <c r="O130" s="2145"/>
      <c r="P130" s="2145"/>
      <c r="Q130" s="2145"/>
      <c r="R130" s="2145"/>
      <c r="S130" s="2145"/>
      <c r="T130" s="2145"/>
      <c r="U130" s="2146"/>
      <c r="V130" s="1208"/>
      <c r="W130" s="1208"/>
      <c r="X130" s="2065"/>
      <c r="Y130" s="2066"/>
      <c r="Z130" s="2066"/>
      <c r="AA130" s="2066"/>
      <c r="AB130" s="2066"/>
      <c r="AC130" s="2066"/>
      <c r="AD130" s="2066"/>
      <c r="AE130" s="2066"/>
      <c r="AF130" s="2066"/>
      <c r="AG130" s="2066"/>
      <c r="AH130" s="2066"/>
      <c r="AI130" s="2066"/>
      <c r="AJ130" s="2066"/>
      <c r="AK130" s="2066"/>
      <c r="AL130" s="2066"/>
      <c r="AM130" s="2066"/>
      <c r="AN130" s="2066"/>
      <c r="AO130" s="2066"/>
      <c r="AP130" s="2066"/>
      <c r="AQ130" s="2066"/>
      <c r="AR130" s="2066"/>
      <c r="AS130" s="2066"/>
      <c r="AT130" s="2066"/>
      <c r="AU130" s="2066"/>
      <c r="AV130" s="2066"/>
      <c r="AW130" s="2066"/>
      <c r="AX130" s="2066"/>
      <c r="AY130" s="2066"/>
      <c r="AZ130" s="2066"/>
      <c r="BA130" s="2066"/>
      <c r="BB130" s="2066"/>
      <c r="BC130" s="2066"/>
      <c r="BD130" s="2067"/>
      <c r="BE130" s="1215"/>
    </row>
    <row r="131" spans="1:57" ht="15.75" customHeight="1">
      <c r="A131" s="1208"/>
      <c r="B131" s="2117" t="s">
        <v>2285</v>
      </c>
      <c r="C131" s="2118"/>
      <c r="D131" s="2118"/>
      <c r="E131" s="2118"/>
      <c r="F131" s="2118"/>
      <c r="G131" s="2118"/>
      <c r="H131" s="2118"/>
      <c r="I131" s="2095">
        <v>0</v>
      </c>
      <c r="J131" s="2095"/>
      <c r="K131" s="2095"/>
      <c r="L131" s="2095"/>
      <c r="M131" s="2095"/>
      <c r="N131" s="2095"/>
      <c r="O131" s="2095"/>
      <c r="P131" s="2095">
        <v>0</v>
      </c>
      <c r="Q131" s="2095"/>
      <c r="R131" s="2095"/>
      <c r="S131" s="2095"/>
      <c r="T131" s="2095"/>
      <c r="U131" s="2096"/>
      <c r="V131" s="1208"/>
      <c r="W131" s="1208"/>
      <c r="X131" s="2065"/>
      <c r="Y131" s="2066"/>
      <c r="Z131" s="2066"/>
      <c r="AA131" s="2066"/>
      <c r="AB131" s="2066"/>
      <c r="AC131" s="2066"/>
      <c r="AD131" s="2066"/>
      <c r="AE131" s="2066"/>
      <c r="AF131" s="2066"/>
      <c r="AG131" s="2066"/>
      <c r="AH131" s="2066"/>
      <c r="AI131" s="2066"/>
      <c r="AJ131" s="2066"/>
      <c r="AK131" s="2066"/>
      <c r="AL131" s="2066"/>
      <c r="AM131" s="2066"/>
      <c r="AN131" s="2066"/>
      <c r="AO131" s="2066"/>
      <c r="AP131" s="2066"/>
      <c r="AQ131" s="2066"/>
      <c r="AR131" s="2066"/>
      <c r="AS131" s="2066"/>
      <c r="AT131" s="2066"/>
      <c r="AU131" s="2066"/>
      <c r="AV131" s="2066"/>
      <c r="AW131" s="2066"/>
      <c r="AX131" s="2066"/>
      <c r="AY131" s="2066"/>
      <c r="AZ131" s="2066"/>
      <c r="BA131" s="2066"/>
      <c r="BB131" s="2066"/>
      <c r="BC131" s="2066"/>
      <c r="BD131" s="2067"/>
      <c r="BE131" s="1215"/>
    </row>
    <row r="132" spans="1:57" ht="15.75" customHeight="1" thickBot="1">
      <c r="A132" s="1208"/>
      <c r="B132" s="2119" t="s">
        <v>2284</v>
      </c>
      <c r="C132" s="2120"/>
      <c r="D132" s="2120"/>
      <c r="E132" s="2120"/>
      <c r="F132" s="2120"/>
      <c r="G132" s="2120"/>
      <c r="H132" s="2120"/>
      <c r="I132" s="2093">
        <v>0</v>
      </c>
      <c r="J132" s="2093"/>
      <c r="K132" s="2093"/>
      <c r="L132" s="2093"/>
      <c r="M132" s="2093"/>
      <c r="N132" s="2093"/>
      <c r="O132" s="2093"/>
      <c r="P132" s="2093">
        <v>0</v>
      </c>
      <c r="Q132" s="2093"/>
      <c r="R132" s="2093"/>
      <c r="S132" s="2093"/>
      <c r="T132" s="2093"/>
      <c r="U132" s="2094"/>
      <c r="V132" s="1208"/>
      <c r="W132" s="1208"/>
      <c r="X132" s="2068"/>
      <c r="Y132" s="2069"/>
      <c r="Z132" s="2069"/>
      <c r="AA132" s="2069"/>
      <c r="AB132" s="2069"/>
      <c r="AC132" s="2069"/>
      <c r="AD132" s="2069"/>
      <c r="AE132" s="2069"/>
      <c r="AF132" s="2069"/>
      <c r="AG132" s="2069"/>
      <c r="AH132" s="2069"/>
      <c r="AI132" s="2069"/>
      <c r="AJ132" s="2069"/>
      <c r="AK132" s="2069"/>
      <c r="AL132" s="2069"/>
      <c r="AM132" s="2069"/>
      <c r="AN132" s="2069"/>
      <c r="AO132" s="2069"/>
      <c r="AP132" s="2069"/>
      <c r="AQ132" s="2069"/>
      <c r="AR132" s="2069"/>
      <c r="AS132" s="2069"/>
      <c r="AT132" s="2069"/>
      <c r="AU132" s="2069"/>
      <c r="AV132" s="2069"/>
      <c r="AW132" s="2069"/>
      <c r="AX132" s="2069"/>
      <c r="AY132" s="2069"/>
      <c r="AZ132" s="2069"/>
      <c r="BA132" s="2069"/>
      <c r="BB132" s="2069"/>
      <c r="BC132" s="2069"/>
      <c r="BD132" s="2070"/>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1" t="s">
        <v>2298</v>
      </c>
      <c r="C134" s="2142"/>
      <c r="D134" s="2142"/>
      <c r="E134" s="2142"/>
      <c r="F134" s="2142"/>
      <c r="G134" s="2142"/>
      <c r="H134" s="2142"/>
      <c r="I134" s="2142"/>
      <c r="J134" s="2142"/>
      <c r="K134" s="2142"/>
      <c r="L134" s="2142"/>
      <c r="M134" s="2142"/>
      <c r="N134" s="2142"/>
      <c r="O134" s="2142"/>
      <c r="P134" s="2142"/>
      <c r="Q134" s="2142"/>
      <c r="R134" s="2142"/>
      <c r="S134" s="2142"/>
      <c r="T134" s="2142"/>
      <c r="U134" s="2142"/>
      <c r="V134" s="2142"/>
      <c r="W134" s="2142"/>
      <c r="X134" s="2142"/>
      <c r="Y134" s="2142"/>
      <c r="Z134" s="2142"/>
      <c r="AA134" s="2142"/>
      <c r="AB134" s="2142"/>
      <c r="AC134" s="2142"/>
      <c r="AD134" s="2142"/>
      <c r="AE134" s="2142"/>
      <c r="AF134" s="2142"/>
      <c r="AG134" s="2142"/>
      <c r="AH134" s="2042" t="s">
        <v>544</v>
      </c>
      <c r="AI134" s="2042"/>
      <c r="AJ134" s="2042"/>
      <c r="AK134" s="2042"/>
      <c r="AL134" s="2042"/>
      <c r="AM134" s="2042"/>
      <c r="AN134" s="2042"/>
      <c r="AO134" s="2042"/>
      <c r="AP134" s="2042"/>
      <c r="AQ134" s="2042"/>
      <c r="AR134" s="2042"/>
      <c r="AS134" s="2042"/>
      <c r="AT134" s="2042"/>
      <c r="AU134" s="2042"/>
      <c r="AV134" s="2042"/>
      <c r="AW134" s="2042"/>
      <c r="AX134" s="2043"/>
      <c r="AY134" s="1208"/>
      <c r="AZ134" s="1208"/>
      <c r="BA134" s="1208"/>
      <c r="BB134" s="1208"/>
      <c r="BC134" s="1208"/>
      <c r="BD134" s="1208"/>
      <c r="BE134" s="1215"/>
    </row>
    <row r="135" spans="1:57" ht="15.75" customHeight="1" thickBot="1">
      <c r="A135" s="1208"/>
      <c r="B135" s="2128" t="s">
        <v>2297</v>
      </c>
      <c r="C135" s="2129"/>
      <c r="D135" s="2129"/>
      <c r="E135" s="2129"/>
      <c r="F135" s="2129"/>
      <c r="G135" s="2129"/>
      <c r="H135" s="2129"/>
      <c r="I135" s="2129"/>
      <c r="J135" s="2129"/>
      <c r="K135" s="2129"/>
      <c r="L135" s="2129"/>
      <c r="M135" s="2129"/>
      <c r="N135" s="2129"/>
      <c r="O135" s="2129"/>
      <c r="P135" s="2129"/>
      <c r="Q135" s="2129"/>
      <c r="R135" s="2129"/>
      <c r="S135" s="2129"/>
      <c r="T135" s="2129"/>
      <c r="U135" s="2129"/>
      <c r="V135" s="2129"/>
      <c r="W135" s="2129"/>
      <c r="X135" s="2129"/>
      <c r="Y135" s="2129"/>
      <c r="Z135" s="2129"/>
      <c r="AA135" s="2129"/>
      <c r="AB135" s="2129"/>
      <c r="AC135" s="2129"/>
      <c r="AD135" s="2129"/>
      <c r="AE135" s="2129"/>
      <c r="AF135" s="2129"/>
      <c r="AG135" s="2130"/>
      <c r="AH135" s="2097"/>
      <c r="AI135" s="2098"/>
      <c r="AJ135" s="2098"/>
      <c r="AK135" s="2098"/>
      <c r="AL135" s="2098"/>
      <c r="AM135" s="2098"/>
      <c r="AN135" s="2098"/>
      <c r="AO135" s="2098"/>
      <c r="AP135" s="2098"/>
      <c r="AQ135" s="2098"/>
      <c r="AR135" s="2098"/>
      <c r="AS135" s="2098"/>
      <c r="AT135" s="2098"/>
      <c r="AU135" s="2098"/>
      <c r="AV135" s="2098"/>
      <c r="AW135" s="2098"/>
      <c r="AX135" s="2099"/>
      <c r="AY135" s="1208"/>
      <c r="AZ135" s="1208"/>
      <c r="BA135" s="1208"/>
      <c r="BB135" s="1208"/>
      <c r="BC135" s="1208"/>
      <c r="BD135" s="1208"/>
      <c r="BE135" s="1215"/>
    </row>
    <row r="136" spans="1:57" ht="15.75" customHeight="1">
      <c r="A136" s="1208"/>
      <c r="B136" s="2128" t="s">
        <v>2296</v>
      </c>
      <c r="C136" s="2129"/>
      <c r="D136" s="2129"/>
      <c r="E136" s="2129"/>
      <c r="F136" s="2129"/>
      <c r="G136" s="2129"/>
      <c r="H136" s="2129"/>
      <c r="I136" s="2129"/>
      <c r="J136" s="2129"/>
      <c r="K136" s="2129"/>
      <c r="L136" s="2129"/>
      <c r="M136" s="2129"/>
      <c r="N136" s="2129"/>
      <c r="O136" s="2129"/>
      <c r="P136" s="2129"/>
      <c r="Q136" s="2129"/>
      <c r="R136" s="2129"/>
      <c r="S136" s="2129"/>
      <c r="T136" s="2129"/>
      <c r="U136" s="2129"/>
      <c r="V136" s="2129"/>
      <c r="W136" s="2129"/>
      <c r="X136" s="2129"/>
      <c r="Y136" s="2129"/>
      <c r="Z136" s="2129"/>
      <c r="AA136" s="2129"/>
      <c r="AB136" s="2129"/>
      <c r="AC136" s="2129"/>
      <c r="AD136" s="2129"/>
      <c r="AE136" s="2129"/>
      <c r="AF136" s="2129"/>
      <c r="AG136" s="2130"/>
      <c r="AH136" s="2042" t="s">
        <v>544</v>
      </c>
      <c r="AI136" s="2042"/>
      <c r="AJ136" s="2042"/>
      <c r="AK136" s="2042"/>
      <c r="AL136" s="2042"/>
      <c r="AM136" s="2042"/>
      <c r="AN136" s="2042"/>
      <c r="AO136" s="2042"/>
      <c r="AP136" s="2042"/>
      <c r="AQ136" s="2042"/>
      <c r="AR136" s="2042"/>
      <c r="AS136" s="2042"/>
      <c r="AT136" s="2042"/>
      <c r="AU136" s="2042"/>
      <c r="AV136" s="2042"/>
      <c r="AW136" s="2042"/>
      <c r="AX136" s="2043"/>
      <c r="AY136" s="1208"/>
      <c r="AZ136" s="1208"/>
      <c r="BA136" s="1208"/>
      <c r="BB136" s="1208"/>
      <c r="BC136" s="1208"/>
      <c r="BD136" s="1208"/>
      <c r="BE136" s="1215"/>
    </row>
    <row r="137" spans="1:57" ht="15.75" customHeight="1">
      <c r="A137" s="1208"/>
      <c r="B137" s="2131" t="s">
        <v>2295</v>
      </c>
      <c r="C137" s="2132"/>
      <c r="D137" s="2132"/>
      <c r="E137" s="2132"/>
      <c r="F137" s="2132"/>
      <c r="G137" s="2132"/>
      <c r="H137" s="2132"/>
      <c r="I137" s="2132"/>
      <c r="J137" s="2132"/>
      <c r="K137" s="2132"/>
      <c r="L137" s="2132"/>
      <c r="M137" s="2132"/>
      <c r="N137" s="2132"/>
      <c r="O137" s="2132"/>
      <c r="P137" s="2132"/>
      <c r="Q137" s="2132"/>
      <c r="R137" s="2133" t="s">
        <v>2294</v>
      </c>
      <c r="S137" s="2133"/>
      <c r="T137" s="2133"/>
      <c r="U137" s="2133"/>
      <c r="V137" s="2133"/>
      <c r="W137" s="2133"/>
      <c r="X137" s="2133"/>
      <c r="Y137" s="2133"/>
      <c r="Z137" s="2133"/>
      <c r="AA137" s="2133"/>
      <c r="AB137" s="2133"/>
      <c r="AC137" s="2133"/>
      <c r="AD137" s="2133"/>
      <c r="AE137" s="2133"/>
      <c r="AF137" s="2133"/>
      <c r="AG137" s="2133"/>
      <c r="AH137" s="2133"/>
      <c r="AI137" s="2133"/>
      <c r="AJ137" s="2133"/>
      <c r="AK137" s="2133"/>
      <c r="AL137" s="2133"/>
      <c r="AM137" s="2133"/>
      <c r="AN137" s="2133"/>
      <c r="AO137" s="2133"/>
      <c r="AP137" s="2133"/>
      <c r="AQ137" s="2133"/>
      <c r="AR137" s="2133"/>
      <c r="AS137" s="2133"/>
      <c r="AT137" s="2133"/>
      <c r="AU137" s="2133"/>
      <c r="AV137" s="2133"/>
      <c r="AW137" s="2133"/>
      <c r="AX137" s="2134"/>
      <c r="AY137" s="1208"/>
      <c r="AZ137" s="1208"/>
      <c r="BA137" s="1208"/>
      <c r="BB137" s="1208"/>
      <c r="BC137" s="1208" t="s">
        <v>249</v>
      </c>
      <c r="BD137" s="1208"/>
      <c r="BE137" s="1215"/>
    </row>
    <row r="138" spans="1:57" ht="15.75" customHeight="1">
      <c r="A138" s="1208"/>
      <c r="B138" s="2135" t="s">
        <v>2293</v>
      </c>
      <c r="C138" s="2136"/>
      <c r="D138" s="2136"/>
      <c r="E138" s="2136"/>
      <c r="F138" s="2136"/>
      <c r="G138" s="2136"/>
      <c r="H138" s="2136"/>
      <c r="I138" s="2136"/>
      <c r="J138" s="2136"/>
      <c r="K138" s="2136"/>
      <c r="L138" s="2136"/>
      <c r="M138" s="2136"/>
      <c r="N138" s="2136"/>
      <c r="O138" s="2136"/>
      <c r="P138" s="2136"/>
      <c r="Q138" s="2136"/>
      <c r="R138" s="2136"/>
      <c r="S138" s="2136"/>
      <c r="T138" s="2136"/>
      <c r="U138" s="2136"/>
      <c r="V138" s="2136"/>
      <c r="W138" s="2136"/>
      <c r="X138" s="2136"/>
      <c r="Y138" s="2136"/>
      <c r="Z138" s="2136"/>
      <c r="AA138" s="2136"/>
      <c r="AB138" s="2136"/>
      <c r="AC138" s="2136"/>
      <c r="AD138" s="2136"/>
      <c r="AE138" s="2136"/>
      <c r="AF138" s="2136"/>
      <c r="AG138" s="2136"/>
      <c r="AH138" s="2136"/>
      <c r="AI138" s="2136"/>
      <c r="AJ138" s="2136"/>
      <c r="AK138" s="2136"/>
      <c r="AL138" s="2136"/>
      <c r="AM138" s="2136"/>
      <c r="AN138" s="2136"/>
      <c r="AO138" s="2136"/>
      <c r="AP138" s="2136"/>
      <c r="AQ138" s="2136"/>
      <c r="AR138" s="2136"/>
      <c r="AS138" s="2136"/>
      <c r="AT138" s="2136"/>
      <c r="AU138" s="2136"/>
      <c r="AV138" s="2136"/>
      <c r="AW138" s="2136"/>
      <c r="AX138" s="2137"/>
      <c r="AY138" s="1208"/>
      <c r="AZ138" s="1208"/>
      <c r="BA138" s="1208"/>
      <c r="BB138" s="1208"/>
      <c r="BC138" s="1208"/>
      <c r="BD138" s="1208"/>
      <c r="BE138" s="1215"/>
    </row>
    <row r="139" spans="1:57" ht="15.75" customHeight="1">
      <c r="A139" s="1208"/>
      <c r="B139" s="2135"/>
      <c r="C139" s="2136"/>
      <c r="D139" s="2136"/>
      <c r="E139" s="2136"/>
      <c r="F139" s="2136"/>
      <c r="G139" s="2136"/>
      <c r="H139" s="2136"/>
      <c r="I139" s="2136"/>
      <c r="J139" s="2136"/>
      <c r="K139" s="2136"/>
      <c r="L139" s="2136"/>
      <c r="M139" s="2136"/>
      <c r="N139" s="2136"/>
      <c r="O139" s="2136"/>
      <c r="P139" s="2136"/>
      <c r="Q139" s="2136"/>
      <c r="R139" s="2136"/>
      <c r="S139" s="2136"/>
      <c r="T139" s="2136"/>
      <c r="U139" s="2136"/>
      <c r="V139" s="2136"/>
      <c r="W139" s="2136"/>
      <c r="X139" s="2136"/>
      <c r="Y139" s="2136"/>
      <c r="Z139" s="2136"/>
      <c r="AA139" s="2136"/>
      <c r="AB139" s="2136"/>
      <c r="AC139" s="2136"/>
      <c r="AD139" s="2136"/>
      <c r="AE139" s="2136"/>
      <c r="AF139" s="2136"/>
      <c r="AG139" s="2136"/>
      <c r="AH139" s="2136"/>
      <c r="AI139" s="2136"/>
      <c r="AJ139" s="2136"/>
      <c r="AK139" s="2136"/>
      <c r="AL139" s="2136"/>
      <c r="AM139" s="2136"/>
      <c r="AN139" s="2136"/>
      <c r="AO139" s="2136"/>
      <c r="AP139" s="2136"/>
      <c r="AQ139" s="2136"/>
      <c r="AR139" s="2136"/>
      <c r="AS139" s="2136"/>
      <c r="AT139" s="2136"/>
      <c r="AU139" s="2136"/>
      <c r="AV139" s="2136"/>
      <c r="AW139" s="2136"/>
      <c r="AX139" s="2137"/>
      <c r="AY139" s="1208"/>
      <c r="AZ139" s="1208"/>
      <c r="BA139" s="1208"/>
      <c r="BB139" s="1208"/>
      <c r="BC139" s="1208"/>
      <c r="BD139" s="1208"/>
      <c r="BE139" s="1215"/>
    </row>
    <row r="140" spans="1:57" ht="15.75" customHeight="1">
      <c r="A140" s="1208"/>
      <c r="B140" s="2135"/>
      <c r="C140" s="2136"/>
      <c r="D140" s="2136"/>
      <c r="E140" s="2136"/>
      <c r="F140" s="2136"/>
      <c r="G140" s="2136"/>
      <c r="H140" s="2136"/>
      <c r="I140" s="2136"/>
      <c r="J140" s="2136"/>
      <c r="K140" s="2136"/>
      <c r="L140" s="2136"/>
      <c r="M140" s="2136"/>
      <c r="N140" s="2136"/>
      <c r="O140" s="2136"/>
      <c r="P140" s="2136"/>
      <c r="Q140" s="2136"/>
      <c r="R140" s="2136"/>
      <c r="S140" s="2136"/>
      <c r="T140" s="2136"/>
      <c r="U140" s="2136"/>
      <c r="V140" s="2136"/>
      <c r="W140" s="2136"/>
      <c r="X140" s="2136"/>
      <c r="Y140" s="2136"/>
      <c r="Z140" s="2136"/>
      <c r="AA140" s="2136"/>
      <c r="AB140" s="2136"/>
      <c r="AC140" s="2136"/>
      <c r="AD140" s="2136"/>
      <c r="AE140" s="2136"/>
      <c r="AF140" s="2136"/>
      <c r="AG140" s="2136"/>
      <c r="AH140" s="2136"/>
      <c r="AI140" s="2136"/>
      <c r="AJ140" s="2136"/>
      <c r="AK140" s="2136"/>
      <c r="AL140" s="2136"/>
      <c r="AM140" s="2136"/>
      <c r="AN140" s="2136"/>
      <c r="AO140" s="2136"/>
      <c r="AP140" s="2136"/>
      <c r="AQ140" s="2136"/>
      <c r="AR140" s="2136"/>
      <c r="AS140" s="2136"/>
      <c r="AT140" s="2136"/>
      <c r="AU140" s="2136"/>
      <c r="AV140" s="2136"/>
      <c r="AW140" s="2136"/>
      <c r="AX140" s="2137"/>
      <c r="AY140" s="1208"/>
      <c r="AZ140" s="1208"/>
      <c r="BA140" s="1208"/>
      <c r="BB140" s="1208"/>
      <c r="BC140" s="1208"/>
      <c r="BD140" s="1208"/>
      <c r="BE140" s="1215"/>
    </row>
    <row r="141" spans="1:57" ht="15.75" customHeight="1">
      <c r="A141" s="1208"/>
      <c r="B141" s="2135"/>
      <c r="C141" s="2136"/>
      <c r="D141" s="2136"/>
      <c r="E141" s="2136"/>
      <c r="F141" s="2136"/>
      <c r="G141" s="2136"/>
      <c r="H141" s="2136"/>
      <c r="I141" s="2136"/>
      <c r="J141" s="2136"/>
      <c r="K141" s="2136"/>
      <c r="L141" s="2136"/>
      <c r="M141" s="2136"/>
      <c r="N141" s="2136"/>
      <c r="O141" s="2136"/>
      <c r="P141" s="2136"/>
      <c r="Q141" s="2136"/>
      <c r="R141" s="2136"/>
      <c r="S141" s="2136"/>
      <c r="T141" s="2136"/>
      <c r="U141" s="2136"/>
      <c r="V141" s="2136"/>
      <c r="W141" s="2136"/>
      <c r="X141" s="2136"/>
      <c r="Y141" s="2136"/>
      <c r="Z141" s="2136"/>
      <c r="AA141" s="2136"/>
      <c r="AB141" s="2136"/>
      <c r="AC141" s="2136"/>
      <c r="AD141" s="2136"/>
      <c r="AE141" s="2136"/>
      <c r="AF141" s="2136"/>
      <c r="AG141" s="2136"/>
      <c r="AH141" s="2136"/>
      <c r="AI141" s="2136"/>
      <c r="AJ141" s="2136"/>
      <c r="AK141" s="2136"/>
      <c r="AL141" s="2136"/>
      <c r="AM141" s="2136"/>
      <c r="AN141" s="2136"/>
      <c r="AO141" s="2136"/>
      <c r="AP141" s="2136"/>
      <c r="AQ141" s="2136"/>
      <c r="AR141" s="2136"/>
      <c r="AS141" s="2136"/>
      <c r="AT141" s="2136"/>
      <c r="AU141" s="2136"/>
      <c r="AV141" s="2136"/>
      <c r="AW141" s="2136"/>
      <c r="AX141" s="2137"/>
      <c r="AY141" s="1208"/>
      <c r="AZ141" s="1208"/>
      <c r="BA141" s="1208"/>
      <c r="BB141" s="1208"/>
      <c r="BC141" s="1208"/>
      <c r="BD141" s="1208"/>
      <c r="BE141" s="1215"/>
    </row>
    <row r="142" spans="1:57" ht="15.75" customHeight="1">
      <c r="A142" s="1208"/>
      <c r="B142" s="2135"/>
      <c r="C142" s="2136"/>
      <c r="D142" s="2136"/>
      <c r="E142" s="2136"/>
      <c r="F142" s="2136"/>
      <c r="G142" s="2136"/>
      <c r="H142" s="2136"/>
      <c r="I142" s="2136"/>
      <c r="J142" s="2136"/>
      <c r="K142" s="2136"/>
      <c r="L142" s="2136"/>
      <c r="M142" s="2136"/>
      <c r="N142" s="2136"/>
      <c r="O142" s="2136"/>
      <c r="P142" s="2136"/>
      <c r="Q142" s="2136"/>
      <c r="R142" s="2136"/>
      <c r="S142" s="2136"/>
      <c r="T142" s="2136"/>
      <c r="U142" s="2136"/>
      <c r="V142" s="2136"/>
      <c r="W142" s="2136"/>
      <c r="X142" s="2136"/>
      <c r="Y142" s="2136"/>
      <c r="Z142" s="2136"/>
      <c r="AA142" s="2136"/>
      <c r="AB142" s="2136"/>
      <c r="AC142" s="2136"/>
      <c r="AD142" s="2136"/>
      <c r="AE142" s="2136"/>
      <c r="AF142" s="2136"/>
      <c r="AG142" s="2136"/>
      <c r="AH142" s="2136"/>
      <c r="AI142" s="2136"/>
      <c r="AJ142" s="2136"/>
      <c r="AK142" s="2136"/>
      <c r="AL142" s="2136"/>
      <c r="AM142" s="2136"/>
      <c r="AN142" s="2136"/>
      <c r="AO142" s="2136"/>
      <c r="AP142" s="2136"/>
      <c r="AQ142" s="2136"/>
      <c r="AR142" s="2136"/>
      <c r="AS142" s="2136"/>
      <c r="AT142" s="2136"/>
      <c r="AU142" s="2136"/>
      <c r="AV142" s="2136"/>
      <c r="AW142" s="2136"/>
      <c r="AX142" s="2137"/>
      <c r="AY142" s="1208"/>
      <c r="AZ142" s="1208"/>
      <c r="BA142" s="1208"/>
      <c r="BB142" s="1208"/>
      <c r="BC142" s="1208"/>
      <c r="BD142" s="1208"/>
      <c r="BE142" s="1215"/>
    </row>
    <row r="143" spans="1:57" ht="15.75" customHeight="1">
      <c r="A143" s="1208"/>
      <c r="B143" s="2135"/>
      <c r="C143" s="2136"/>
      <c r="D143" s="2136"/>
      <c r="E143" s="2136"/>
      <c r="F143" s="2136"/>
      <c r="G143" s="2136"/>
      <c r="H143" s="2136"/>
      <c r="I143" s="2136"/>
      <c r="J143" s="2136"/>
      <c r="K143" s="2136"/>
      <c r="L143" s="2136"/>
      <c r="M143" s="2136"/>
      <c r="N143" s="2136"/>
      <c r="O143" s="2136"/>
      <c r="P143" s="2136"/>
      <c r="Q143" s="2136"/>
      <c r="R143" s="2136"/>
      <c r="S143" s="2136"/>
      <c r="T143" s="2136"/>
      <c r="U143" s="2136"/>
      <c r="V143" s="2136"/>
      <c r="W143" s="2136"/>
      <c r="X143" s="2136"/>
      <c r="Y143" s="2136"/>
      <c r="Z143" s="2136"/>
      <c r="AA143" s="2136"/>
      <c r="AB143" s="2136"/>
      <c r="AC143" s="2136"/>
      <c r="AD143" s="2136"/>
      <c r="AE143" s="2136"/>
      <c r="AF143" s="2136"/>
      <c r="AG143" s="2136"/>
      <c r="AH143" s="2136"/>
      <c r="AI143" s="2136"/>
      <c r="AJ143" s="2136"/>
      <c r="AK143" s="2136"/>
      <c r="AL143" s="2136"/>
      <c r="AM143" s="2136"/>
      <c r="AN143" s="2136"/>
      <c r="AO143" s="2136"/>
      <c r="AP143" s="2136"/>
      <c r="AQ143" s="2136"/>
      <c r="AR143" s="2136"/>
      <c r="AS143" s="2136"/>
      <c r="AT143" s="2136"/>
      <c r="AU143" s="2136"/>
      <c r="AV143" s="2136"/>
      <c r="AW143" s="2136"/>
      <c r="AX143" s="2137"/>
      <c r="AY143" s="1208"/>
      <c r="AZ143" s="1208"/>
      <c r="BA143" s="1208"/>
      <c r="BB143" s="1208"/>
      <c r="BC143" s="1208"/>
      <c r="BD143" s="1208"/>
      <c r="BE143" s="1215"/>
    </row>
    <row r="144" spans="1:57" ht="15.75" customHeight="1">
      <c r="A144" s="1208"/>
      <c r="B144" s="2135"/>
      <c r="C144" s="2136"/>
      <c r="D144" s="2136"/>
      <c r="E144" s="2136"/>
      <c r="F144" s="2136"/>
      <c r="G144" s="2136"/>
      <c r="H144" s="2136"/>
      <c r="I144" s="2136"/>
      <c r="J144" s="2136"/>
      <c r="K144" s="2136"/>
      <c r="L144" s="2136"/>
      <c r="M144" s="2136"/>
      <c r="N144" s="2136"/>
      <c r="O144" s="2136"/>
      <c r="P144" s="2136"/>
      <c r="Q144" s="2136"/>
      <c r="R144" s="2136"/>
      <c r="S144" s="2136"/>
      <c r="T144" s="2136"/>
      <c r="U144" s="2136"/>
      <c r="V144" s="2136"/>
      <c r="W144" s="2136"/>
      <c r="X144" s="2136"/>
      <c r="Y144" s="2136"/>
      <c r="Z144" s="2136"/>
      <c r="AA144" s="2136"/>
      <c r="AB144" s="2136"/>
      <c r="AC144" s="2136"/>
      <c r="AD144" s="2136"/>
      <c r="AE144" s="2136"/>
      <c r="AF144" s="2136"/>
      <c r="AG144" s="2136"/>
      <c r="AH144" s="2136"/>
      <c r="AI144" s="2136"/>
      <c r="AJ144" s="2136"/>
      <c r="AK144" s="2136"/>
      <c r="AL144" s="2136"/>
      <c r="AM144" s="2136"/>
      <c r="AN144" s="2136"/>
      <c r="AO144" s="2136"/>
      <c r="AP144" s="2136"/>
      <c r="AQ144" s="2136"/>
      <c r="AR144" s="2136"/>
      <c r="AS144" s="2136"/>
      <c r="AT144" s="2136"/>
      <c r="AU144" s="2136"/>
      <c r="AV144" s="2136"/>
      <c r="AW144" s="2136"/>
      <c r="AX144" s="2137"/>
      <c r="AY144" s="1208"/>
      <c r="AZ144" s="1208"/>
      <c r="BA144" s="1208"/>
      <c r="BB144" s="1208"/>
      <c r="BC144" s="1208"/>
      <c r="BD144" s="1208"/>
      <c r="BE144" s="1215"/>
    </row>
    <row r="145" spans="1:57" ht="15.75" customHeight="1">
      <c r="A145" s="1208"/>
      <c r="B145" s="2135"/>
      <c r="C145" s="2136"/>
      <c r="D145" s="2136"/>
      <c r="E145" s="2136"/>
      <c r="F145" s="2136"/>
      <c r="G145" s="2136"/>
      <c r="H145" s="2136"/>
      <c r="I145" s="2136"/>
      <c r="J145" s="2136"/>
      <c r="K145" s="2136"/>
      <c r="L145" s="2136"/>
      <c r="M145" s="2136"/>
      <c r="N145" s="2136"/>
      <c r="O145" s="2136"/>
      <c r="P145" s="2136"/>
      <c r="Q145" s="2136"/>
      <c r="R145" s="2136"/>
      <c r="S145" s="2136"/>
      <c r="T145" s="2136"/>
      <c r="U145" s="2136"/>
      <c r="V145" s="2136"/>
      <c r="W145" s="2136"/>
      <c r="X145" s="2136"/>
      <c r="Y145" s="2136"/>
      <c r="Z145" s="2136"/>
      <c r="AA145" s="2136"/>
      <c r="AB145" s="2136"/>
      <c r="AC145" s="2136"/>
      <c r="AD145" s="2136"/>
      <c r="AE145" s="2136"/>
      <c r="AF145" s="2136"/>
      <c r="AG145" s="2136"/>
      <c r="AH145" s="2136"/>
      <c r="AI145" s="2136"/>
      <c r="AJ145" s="2136"/>
      <c r="AK145" s="2136"/>
      <c r="AL145" s="2136"/>
      <c r="AM145" s="2136"/>
      <c r="AN145" s="2136"/>
      <c r="AO145" s="2136"/>
      <c r="AP145" s="2136"/>
      <c r="AQ145" s="2136"/>
      <c r="AR145" s="2136"/>
      <c r="AS145" s="2136"/>
      <c r="AT145" s="2136"/>
      <c r="AU145" s="2136"/>
      <c r="AV145" s="2136"/>
      <c r="AW145" s="2136"/>
      <c r="AX145" s="2137"/>
      <c r="AY145" s="1208"/>
      <c r="AZ145" s="1208"/>
      <c r="BA145" s="1208"/>
      <c r="BB145" s="1208"/>
      <c r="BC145" s="1208"/>
      <c r="BD145" s="1208"/>
      <c r="BE145" s="1215"/>
    </row>
    <row r="146" spans="1:57" ht="15.75" customHeight="1">
      <c r="A146" s="1208"/>
      <c r="B146" s="2135"/>
      <c r="C146" s="2136"/>
      <c r="D146" s="2136"/>
      <c r="E146" s="2136"/>
      <c r="F146" s="2136"/>
      <c r="G146" s="2136"/>
      <c r="H146" s="2136"/>
      <c r="I146" s="2136"/>
      <c r="J146" s="2136"/>
      <c r="K146" s="2136"/>
      <c r="L146" s="2136"/>
      <c r="M146" s="2136"/>
      <c r="N146" s="2136"/>
      <c r="O146" s="2136"/>
      <c r="P146" s="2136"/>
      <c r="Q146" s="2136"/>
      <c r="R146" s="2136"/>
      <c r="S146" s="2136"/>
      <c r="T146" s="2136"/>
      <c r="U146" s="2136"/>
      <c r="V146" s="2136"/>
      <c r="W146" s="2136"/>
      <c r="X146" s="2136"/>
      <c r="Y146" s="2136"/>
      <c r="Z146" s="2136"/>
      <c r="AA146" s="2136"/>
      <c r="AB146" s="2136"/>
      <c r="AC146" s="2136"/>
      <c r="AD146" s="2136"/>
      <c r="AE146" s="2136"/>
      <c r="AF146" s="2136"/>
      <c r="AG146" s="2136"/>
      <c r="AH146" s="2136"/>
      <c r="AI146" s="2136"/>
      <c r="AJ146" s="2136"/>
      <c r="AK146" s="2136"/>
      <c r="AL146" s="2136"/>
      <c r="AM146" s="2136"/>
      <c r="AN146" s="2136"/>
      <c r="AO146" s="2136"/>
      <c r="AP146" s="2136"/>
      <c r="AQ146" s="2136"/>
      <c r="AR146" s="2136"/>
      <c r="AS146" s="2136"/>
      <c r="AT146" s="2136"/>
      <c r="AU146" s="2136"/>
      <c r="AV146" s="2136"/>
      <c r="AW146" s="2136"/>
      <c r="AX146" s="2137"/>
      <c r="AY146" s="1208"/>
      <c r="AZ146" s="1208"/>
      <c r="BA146" s="1208"/>
      <c r="BB146" s="1208"/>
      <c r="BC146" s="1208"/>
      <c r="BD146" s="1208"/>
      <c r="BE146" s="1215"/>
    </row>
    <row r="147" spans="1:57" ht="15.75" customHeight="1" thickBot="1">
      <c r="A147" s="1208"/>
      <c r="B147" s="2138"/>
      <c r="C147" s="2139"/>
      <c r="D147" s="2139"/>
      <c r="E147" s="2139"/>
      <c r="F147" s="2139"/>
      <c r="G147" s="2139"/>
      <c r="H147" s="2139"/>
      <c r="I147" s="2139"/>
      <c r="J147" s="2139"/>
      <c r="K147" s="2139"/>
      <c r="L147" s="2139"/>
      <c r="M147" s="2139"/>
      <c r="N147" s="2139"/>
      <c r="O147" s="2139"/>
      <c r="P147" s="2139"/>
      <c r="Q147" s="2139"/>
      <c r="R147" s="2139"/>
      <c r="S147" s="2139"/>
      <c r="T147" s="2139"/>
      <c r="U147" s="2139"/>
      <c r="V147" s="2139"/>
      <c r="W147" s="2139"/>
      <c r="X147" s="2139"/>
      <c r="Y147" s="2139"/>
      <c r="Z147" s="2139"/>
      <c r="AA147" s="2139"/>
      <c r="AB147" s="2139"/>
      <c r="AC147" s="2139"/>
      <c r="AD147" s="2139"/>
      <c r="AE147" s="2139"/>
      <c r="AF147" s="2139"/>
      <c r="AG147" s="2139"/>
      <c r="AH147" s="2139"/>
      <c r="AI147" s="2139"/>
      <c r="AJ147" s="2139"/>
      <c r="AK147" s="2139"/>
      <c r="AL147" s="2139"/>
      <c r="AM147" s="2139"/>
      <c r="AN147" s="2139"/>
      <c r="AO147" s="2139"/>
      <c r="AP147" s="2139"/>
      <c r="AQ147" s="2139"/>
      <c r="AR147" s="2139"/>
      <c r="AS147" s="2139"/>
      <c r="AT147" s="2139"/>
      <c r="AU147" s="2139"/>
      <c r="AV147" s="2139"/>
      <c r="AW147" s="2139"/>
      <c r="AX147" s="2140"/>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4" t="s">
        <v>2290</v>
      </c>
      <c r="C151" s="2015"/>
      <c r="D151" s="2015"/>
      <c r="E151" s="2015"/>
      <c r="F151" s="2015"/>
      <c r="G151" s="2015"/>
      <c r="H151" s="2015"/>
      <c r="I151" s="2015"/>
      <c r="J151" s="2015"/>
      <c r="K151" s="2015"/>
      <c r="L151" s="2015"/>
      <c r="M151" s="2015"/>
      <c r="N151" s="2015"/>
      <c r="O151" s="2015"/>
      <c r="P151" s="2015"/>
      <c r="Q151" s="2015"/>
      <c r="R151" s="2015"/>
      <c r="S151" s="2015"/>
      <c r="T151" s="2015"/>
      <c r="U151" s="2016"/>
      <c r="V151" s="1208"/>
      <c r="W151" s="1209"/>
      <c r="X151" s="2014" t="s">
        <v>2289</v>
      </c>
      <c r="Y151" s="2015"/>
      <c r="Z151" s="2015"/>
      <c r="AA151" s="2015"/>
      <c r="AB151" s="2015"/>
      <c r="AC151" s="2015"/>
      <c r="AD151" s="2015"/>
      <c r="AE151" s="2015"/>
      <c r="AF151" s="2015"/>
      <c r="AG151" s="2015"/>
      <c r="AH151" s="2015"/>
      <c r="AI151" s="2015"/>
      <c r="AJ151" s="2015"/>
      <c r="AK151" s="2015"/>
      <c r="AL151" s="2015"/>
      <c r="AM151" s="2015"/>
      <c r="AN151" s="2015"/>
      <c r="AO151" s="2015"/>
      <c r="AP151" s="2015"/>
      <c r="AQ151" s="2016"/>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3"/>
      <c r="C152" s="2144"/>
      <c r="D152" s="2144"/>
      <c r="E152" s="2144"/>
      <c r="F152" s="2144"/>
      <c r="G152" s="2144"/>
      <c r="H152" s="2144"/>
      <c r="I152" s="2145" t="s">
        <v>2287</v>
      </c>
      <c r="J152" s="2145"/>
      <c r="K152" s="2145"/>
      <c r="L152" s="2145"/>
      <c r="M152" s="2145"/>
      <c r="N152" s="2145"/>
      <c r="O152" s="2145"/>
      <c r="P152" s="2145" t="s">
        <v>2288</v>
      </c>
      <c r="Q152" s="2145"/>
      <c r="R152" s="2145"/>
      <c r="S152" s="2145"/>
      <c r="T152" s="2145"/>
      <c r="U152" s="2146"/>
      <c r="V152" s="1208"/>
      <c r="W152" s="1208"/>
      <c r="X152" s="2143"/>
      <c r="Y152" s="2144"/>
      <c r="Z152" s="2144"/>
      <c r="AA152" s="2144"/>
      <c r="AB152" s="2144"/>
      <c r="AC152" s="2144"/>
      <c r="AD152" s="2144"/>
      <c r="AE152" s="2145" t="s">
        <v>2287</v>
      </c>
      <c r="AF152" s="2145"/>
      <c r="AG152" s="2145"/>
      <c r="AH152" s="2145"/>
      <c r="AI152" s="2145"/>
      <c r="AJ152" s="2145"/>
      <c r="AK152" s="2145"/>
      <c r="AL152" s="2145" t="s">
        <v>2286</v>
      </c>
      <c r="AM152" s="2145"/>
      <c r="AN152" s="2145"/>
      <c r="AO152" s="2145"/>
      <c r="AP152" s="2145"/>
      <c r="AQ152" s="2146"/>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3"/>
      <c r="C153" s="2144"/>
      <c r="D153" s="2144"/>
      <c r="E153" s="2144"/>
      <c r="F153" s="2144"/>
      <c r="G153" s="2144"/>
      <c r="H153" s="2144"/>
      <c r="I153" s="2145"/>
      <c r="J153" s="2145"/>
      <c r="K153" s="2145"/>
      <c r="L153" s="2145"/>
      <c r="M153" s="2145"/>
      <c r="N153" s="2145"/>
      <c r="O153" s="2145"/>
      <c r="P153" s="2145"/>
      <c r="Q153" s="2145"/>
      <c r="R153" s="2145"/>
      <c r="S153" s="2145"/>
      <c r="T153" s="2145"/>
      <c r="U153" s="2146"/>
      <c r="V153" s="1208"/>
      <c r="W153" s="1208"/>
      <c r="X153" s="2143"/>
      <c r="Y153" s="2144"/>
      <c r="Z153" s="2144"/>
      <c r="AA153" s="2144"/>
      <c r="AB153" s="2144"/>
      <c r="AC153" s="2144"/>
      <c r="AD153" s="2144"/>
      <c r="AE153" s="2145"/>
      <c r="AF153" s="2145"/>
      <c r="AG153" s="2145"/>
      <c r="AH153" s="2145"/>
      <c r="AI153" s="2145"/>
      <c r="AJ153" s="2145"/>
      <c r="AK153" s="2145"/>
      <c r="AL153" s="2145"/>
      <c r="AM153" s="2145"/>
      <c r="AN153" s="2145"/>
      <c r="AO153" s="2145"/>
      <c r="AP153" s="2145"/>
      <c r="AQ153" s="2146"/>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17" t="s">
        <v>2285</v>
      </c>
      <c r="C154" s="2118"/>
      <c r="D154" s="2118"/>
      <c r="E154" s="2118"/>
      <c r="F154" s="2118"/>
      <c r="G154" s="2118"/>
      <c r="H154" s="2118"/>
      <c r="I154" s="2095">
        <v>0</v>
      </c>
      <c r="J154" s="2095"/>
      <c r="K154" s="2095"/>
      <c r="L154" s="2095"/>
      <c r="M154" s="2095"/>
      <c r="N154" s="2095"/>
      <c r="O154" s="2095"/>
      <c r="P154" s="2095">
        <v>0</v>
      </c>
      <c r="Q154" s="2095"/>
      <c r="R154" s="2095"/>
      <c r="S154" s="2095"/>
      <c r="T154" s="2095"/>
      <c r="U154" s="2096"/>
      <c r="V154" s="1208"/>
      <c r="W154" s="1208"/>
      <c r="X154" s="2119" t="s">
        <v>2285</v>
      </c>
      <c r="Y154" s="2120"/>
      <c r="Z154" s="2120"/>
      <c r="AA154" s="2120"/>
      <c r="AB154" s="2120"/>
      <c r="AC154" s="2120"/>
      <c r="AD154" s="2120"/>
      <c r="AE154" s="2093">
        <v>0</v>
      </c>
      <c r="AF154" s="2093"/>
      <c r="AG154" s="2093"/>
      <c r="AH154" s="2093"/>
      <c r="AI154" s="2093"/>
      <c r="AJ154" s="2093"/>
      <c r="AK154" s="2093"/>
      <c r="AL154" s="2093">
        <v>0</v>
      </c>
      <c r="AM154" s="2093"/>
      <c r="AN154" s="2093"/>
      <c r="AO154" s="2093"/>
      <c r="AP154" s="2093"/>
      <c r="AQ154" s="2094"/>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19" t="s">
        <v>2284</v>
      </c>
      <c r="C155" s="2120"/>
      <c r="D155" s="2120"/>
      <c r="E155" s="2120"/>
      <c r="F155" s="2120"/>
      <c r="G155" s="2120"/>
      <c r="H155" s="2120"/>
      <c r="I155" s="2093">
        <v>0</v>
      </c>
      <c r="J155" s="2093"/>
      <c r="K155" s="2093"/>
      <c r="L155" s="2093"/>
      <c r="M155" s="2093"/>
      <c r="N155" s="2093"/>
      <c r="O155" s="2093"/>
      <c r="P155" s="2093">
        <v>0</v>
      </c>
      <c r="Q155" s="2093"/>
      <c r="R155" s="2093"/>
      <c r="S155" s="2093"/>
      <c r="T155" s="2093"/>
      <c r="U155" s="2094"/>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4" t="s">
        <v>2283</v>
      </c>
      <c r="D157" s="2015"/>
      <c r="E157" s="2015"/>
      <c r="F157" s="2015"/>
      <c r="G157" s="2015"/>
      <c r="H157" s="2015"/>
      <c r="I157" s="2015"/>
      <c r="J157" s="2015"/>
      <c r="K157" s="2015"/>
      <c r="L157" s="2015"/>
      <c r="M157" s="2015"/>
      <c r="N157" s="2015"/>
      <c r="O157" s="2015"/>
      <c r="P157" s="2015"/>
      <c r="Q157" s="2015"/>
      <c r="R157" s="2015"/>
      <c r="S157" s="2015"/>
      <c r="T157" s="2015"/>
      <c r="U157" s="2015"/>
      <c r="V157" s="2015"/>
      <c r="W157" s="2015"/>
      <c r="X157" s="2015"/>
      <c r="Y157" s="2015"/>
      <c r="Z157" s="2015"/>
      <c r="AA157" s="2015"/>
      <c r="AB157" s="2015"/>
      <c r="AC157" s="2015"/>
      <c r="AD157" s="2015"/>
      <c r="AE157" s="2015"/>
      <c r="AF157" s="2015"/>
      <c r="AG157" s="2016"/>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3" t="s">
        <v>2268</v>
      </c>
      <c r="D158" s="2144"/>
      <c r="E158" s="2144"/>
      <c r="F158" s="2144"/>
      <c r="G158" s="2144"/>
      <c r="H158" s="2144"/>
      <c r="I158" s="2144"/>
      <c r="J158" s="2144"/>
      <c r="K158" s="2144"/>
      <c r="L158" s="2144"/>
      <c r="M158" s="2144"/>
      <c r="N158" s="2144"/>
      <c r="O158" s="2144"/>
      <c r="P158" s="2144"/>
      <c r="Q158" s="2144" t="s">
        <v>2282</v>
      </c>
      <c r="R158" s="2144"/>
      <c r="S158" s="2144"/>
      <c r="T158" s="2091" t="s">
        <v>2281</v>
      </c>
      <c r="U158" s="2091"/>
      <c r="V158" s="2091"/>
      <c r="W158" s="2091"/>
      <c r="X158" s="2091"/>
      <c r="Y158" s="2091"/>
      <c r="Z158" s="2091"/>
      <c r="AA158" s="2091"/>
      <c r="AB158" s="2144" t="s">
        <v>2280</v>
      </c>
      <c r="AC158" s="2144"/>
      <c r="AD158" s="2144"/>
      <c r="AE158" s="2144"/>
      <c r="AF158" s="2144"/>
      <c r="AG158" s="2154"/>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49" t="s">
        <v>2279</v>
      </c>
      <c r="D159" s="2150"/>
      <c r="E159" s="2150"/>
      <c r="F159" s="2150"/>
      <c r="G159" s="2150"/>
      <c r="H159" s="2150"/>
      <c r="I159" s="2150"/>
      <c r="J159" s="2150"/>
      <c r="K159" s="2150"/>
      <c r="L159" s="2150"/>
      <c r="M159" s="2150"/>
      <c r="N159" s="2150"/>
      <c r="O159" s="2150"/>
      <c r="P159" s="2150"/>
      <c r="Q159" s="2151">
        <v>55</v>
      </c>
      <c r="R159" s="2151"/>
      <c r="S159" s="2151"/>
      <c r="T159" s="2152"/>
      <c r="U159" s="2152"/>
      <c r="V159" s="2152"/>
      <c r="W159" s="2152"/>
      <c r="X159" s="2152"/>
      <c r="Y159" s="2152"/>
      <c r="Z159" s="2152"/>
      <c r="AA159" s="2152"/>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49" t="s">
        <v>2278</v>
      </c>
      <c r="D160" s="2150"/>
      <c r="E160" s="2150"/>
      <c r="F160" s="2150"/>
      <c r="G160" s="2150"/>
      <c r="H160" s="2150"/>
      <c r="I160" s="2150"/>
      <c r="J160" s="2150"/>
      <c r="K160" s="2150"/>
      <c r="L160" s="2150"/>
      <c r="M160" s="2150"/>
      <c r="N160" s="2150"/>
      <c r="O160" s="2150"/>
      <c r="P160" s="2150"/>
      <c r="Q160" s="2151">
        <v>55</v>
      </c>
      <c r="R160" s="2151"/>
      <c r="S160" s="2151"/>
      <c r="T160" s="2153"/>
      <c r="U160" s="2153"/>
      <c r="V160" s="2153"/>
      <c r="W160" s="2153"/>
      <c r="X160" s="2153"/>
      <c r="Y160" s="2153"/>
      <c r="Z160" s="2153"/>
      <c r="AA160" s="2153"/>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49" t="s">
        <v>2277</v>
      </c>
      <c r="D161" s="2150"/>
      <c r="E161" s="2150"/>
      <c r="F161" s="2150"/>
      <c r="G161" s="2150"/>
      <c r="H161" s="2150"/>
      <c r="I161" s="2150"/>
      <c r="J161" s="2150"/>
      <c r="K161" s="2150"/>
      <c r="L161" s="2150"/>
      <c r="M161" s="2150"/>
      <c r="N161" s="2150"/>
      <c r="O161" s="2150"/>
      <c r="P161" s="2150"/>
      <c r="Q161" s="2151">
        <v>55</v>
      </c>
      <c r="R161" s="2151"/>
      <c r="S161" s="2151"/>
      <c r="T161" s="2152"/>
      <c r="U161" s="2152"/>
      <c r="V161" s="2152"/>
      <c r="W161" s="2152"/>
      <c r="X161" s="2152"/>
      <c r="Y161" s="2152"/>
      <c r="Z161" s="2152"/>
      <c r="AA161" s="2152"/>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49" t="s">
        <v>2276</v>
      </c>
      <c r="D162" s="2150"/>
      <c r="E162" s="2150"/>
      <c r="F162" s="2150"/>
      <c r="G162" s="2150"/>
      <c r="H162" s="2150"/>
      <c r="I162" s="2150"/>
      <c r="J162" s="2150"/>
      <c r="K162" s="2150"/>
      <c r="L162" s="2150"/>
      <c r="M162" s="2150"/>
      <c r="N162" s="2150"/>
      <c r="O162" s="2150"/>
      <c r="P162" s="2150"/>
      <c r="Q162" s="2151">
        <v>55</v>
      </c>
      <c r="R162" s="2151"/>
      <c r="S162" s="2151"/>
      <c r="T162" s="2152"/>
      <c r="U162" s="2152"/>
      <c r="V162" s="2152"/>
      <c r="W162" s="2152"/>
      <c r="X162" s="2152"/>
      <c r="Y162" s="2152"/>
      <c r="Z162" s="2152"/>
      <c r="AA162" s="2152"/>
      <c r="AB162" s="2155">
        <v>0</v>
      </c>
      <c r="AC162" s="2155"/>
      <c r="AD162" s="2155"/>
      <c r="AE162" s="2155"/>
      <c r="AF162" s="2155"/>
      <c r="AG162" s="2156"/>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49" t="s">
        <v>169</v>
      </c>
      <c r="D163" s="2150"/>
      <c r="E163" s="2150"/>
      <c r="F163" s="2157" t="s">
        <v>2257</v>
      </c>
      <c r="G163" s="2157"/>
      <c r="H163" s="2157"/>
      <c r="I163" s="2157"/>
      <c r="J163" s="2157"/>
      <c r="K163" s="2157"/>
      <c r="L163" s="2157"/>
      <c r="M163" s="2157"/>
      <c r="N163" s="2157"/>
      <c r="O163" s="2157"/>
      <c r="P163" s="2157"/>
      <c r="Q163" s="2151">
        <v>55</v>
      </c>
      <c r="R163" s="2151"/>
      <c r="S163" s="2151"/>
      <c r="T163" s="2153"/>
      <c r="U163" s="2153"/>
      <c r="V163" s="2153"/>
      <c r="W163" s="2153"/>
      <c r="X163" s="2153"/>
      <c r="Y163" s="2153"/>
      <c r="Z163" s="2153"/>
      <c r="AA163" s="2153"/>
      <c r="AB163" s="2155">
        <v>0</v>
      </c>
      <c r="AC163" s="2155"/>
      <c r="AD163" s="2155"/>
      <c r="AE163" s="2155"/>
      <c r="AF163" s="2155"/>
      <c r="AG163" s="2156"/>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49" t="s">
        <v>169</v>
      </c>
      <c r="D164" s="2150"/>
      <c r="E164" s="2150"/>
      <c r="F164" s="2157" t="s">
        <v>2257</v>
      </c>
      <c r="G164" s="2157"/>
      <c r="H164" s="2157"/>
      <c r="I164" s="2157"/>
      <c r="J164" s="2157"/>
      <c r="K164" s="2157"/>
      <c r="L164" s="2157"/>
      <c r="M164" s="2157"/>
      <c r="N164" s="2157"/>
      <c r="O164" s="2157"/>
      <c r="P164" s="2157"/>
      <c r="Q164" s="2151">
        <v>55</v>
      </c>
      <c r="R164" s="2151"/>
      <c r="S164" s="2151"/>
      <c r="T164" s="2153"/>
      <c r="U164" s="2153"/>
      <c r="V164" s="2153"/>
      <c r="W164" s="2153"/>
      <c r="X164" s="2153"/>
      <c r="Y164" s="2153"/>
      <c r="Z164" s="2153"/>
      <c r="AA164" s="2153"/>
      <c r="AB164" s="2155">
        <v>0</v>
      </c>
      <c r="AC164" s="2155"/>
      <c r="AD164" s="2155"/>
      <c r="AE164" s="2155"/>
      <c r="AF164" s="2155"/>
      <c r="AG164" s="2156"/>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58" t="s">
        <v>169</v>
      </c>
      <c r="D165" s="2159"/>
      <c r="E165" s="2159"/>
      <c r="F165" s="2160" t="s">
        <v>2257</v>
      </c>
      <c r="G165" s="2160"/>
      <c r="H165" s="2160"/>
      <c r="I165" s="2160"/>
      <c r="J165" s="2160"/>
      <c r="K165" s="2160"/>
      <c r="L165" s="2160"/>
      <c r="M165" s="2160"/>
      <c r="N165" s="2160"/>
      <c r="O165" s="2160"/>
      <c r="P165" s="2160"/>
      <c r="Q165" s="2161">
        <v>55</v>
      </c>
      <c r="R165" s="2161"/>
      <c r="S165" s="2161"/>
      <c r="T165" s="2162"/>
      <c r="U165" s="2162"/>
      <c r="V165" s="2162"/>
      <c r="W165" s="2162"/>
      <c r="X165" s="2162"/>
      <c r="Y165" s="2162"/>
      <c r="Z165" s="2162"/>
      <c r="AA165" s="2162"/>
      <c r="AB165" s="2163">
        <v>0</v>
      </c>
      <c r="AC165" s="2163"/>
      <c r="AD165" s="2163"/>
      <c r="AE165" s="2163"/>
      <c r="AF165" s="2163"/>
      <c r="AG165" s="2164"/>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1" t="s">
        <v>2275</v>
      </c>
      <c r="D167" s="2062"/>
      <c r="E167" s="2062"/>
      <c r="F167" s="2062"/>
      <c r="G167" s="2062"/>
      <c r="H167" s="2062"/>
      <c r="I167" s="2062"/>
      <c r="J167" s="2062"/>
      <c r="K167" s="2062"/>
      <c r="L167" s="2062"/>
      <c r="M167" s="2062"/>
      <c r="N167" s="2100"/>
      <c r="O167" s="1208"/>
      <c r="P167" s="2165" t="s">
        <v>2274</v>
      </c>
      <c r="Q167" s="2166"/>
      <c r="R167" s="2166"/>
      <c r="S167" s="2166"/>
      <c r="T167" s="2166"/>
      <c r="U167" s="2166"/>
      <c r="V167" s="2166"/>
      <c r="W167" s="2166"/>
      <c r="X167" s="2166"/>
      <c r="Y167" s="2166"/>
      <c r="Z167" s="2166"/>
      <c r="AA167" s="2166"/>
      <c r="AB167" s="2166"/>
      <c r="AC167" s="2166"/>
      <c r="AD167" s="2166"/>
      <c r="AE167" s="2166"/>
      <c r="AF167" s="2166"/>
      <c r="AG167" s="2166"/>
      <c r="AH167" s="2166"/>
      <c r="AI167" s="2166"/>
      <c r="AJ167" s="2166"/>
      <c r="AK167" s="2166"/>
      <c r="AL167" s="2166"/>
      <c r="AM167" s="2166"/>
      <c r="AN167" s="2166"/>
      <c r="AO167" s="2167"/>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3" t="s">
        <v>2273</v>
      </c>
      <c r="D168" s="2144"/>
      <c r="E168" s="2144"/>
      <c r="F168" s="2144"/>
      <c r="G168" s="2144"/>
      <c r="H168" s="2144"/>
      <c r="I168" s="2144" t="s">
        <v>2272</v>
      </c>
      <c r="J168" s="2144"/>
      <c r="K168" s="2144"/>
      <c r="L168" s="2144"/>
      <c r="M168" s="2144"/>
      <c r="N168" s="2154"/>
      <c r="O168" s="1208"/>
      <c r="P168" s="2065" t="s">
        <v>2271</v>
      </c>
      <c r="Q168" s="2066"/>
      <c r="R168" s="2066"/>
      <c r="S168" s="2066"/>
      <c r="T168" s="2066"/>
      <c r="U168" s="2066"/>
      <c r="V168" s="2066"/>
      <c r="W168" s="2066"/>
      <c r="X168" s="2066"/>
      <c r="Y168" s="2066"/>
      <c r="Z168" s="2066"/>
      <c r="AA168" s="2066"/>
      <c r="AB168" s="2066"/>
      <c r="AC168" s="2066"/>
      <c r="AD168" s="2066"/>
      <c r="AE168" s="2066"/>
      <c r="AF168" s="2066"/>
      <c r="AG168" s="2066"/>
      <c r="AH168" s="2066"/>
      <c r="AI168" s="2066"/>
      <c r="AJ168" s="2066"/>
      <c r="AK168" s="2066"/>
      <c r="AL168" s="2066"/>
      <c r="AM168" s="2066"/>
      <c r="AN168" s="2066"/>
      <c r="AO168" s="2067"/>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1"/>
      <c r="D169" s="2021"/>
      <c r="E169" s="2021"/>
      <c r="F169" s="2021"/>
      <c r="G169" s="2021"/>
      <c r="H169" s="2021"/>
      <c r="I169" s="2152"/>
      <c r="J169" s="2152"/>
      <c r="K169" s="2152"/>
      <c r="L169" s="2152"/>
      <c r="M169" s="2152"/>
      <c r="N169" s="2168"/>
      <c r="O169" s="1208"/>
      <c r="P169" s="2065"/>
      <c r="Q169" s="2066"/>
      <c r="R169" s="2066"/>
      <c r="S169" s="2066"/>
      <c r="T169" s="2066"/>
      <c r="U169" s="2066"/>
      <c r="V169" s="2066"/>
      <c r="W169" s="2066"/>
      <c r="X169" s="2066"/>
      <c r="Y169" s="2066"/>
      <c r="Z169" s="2066"/>
      <c r="AA169" s="2066"/>
      <c r="AB169" s="2066"/>
      <c r="AC169" s="2066"/>
      <c r="AD169" s="2066"/>
      <c r="AE169" s="2066"/>
      <c r="AF169" s="2066"/>
      <c r="AG169" s="2066"/>
      <c r="AH169" s="2066"/>
      <c r="AI169" s="2066"/>
      <c r="AJ169" s="2066"/>
      <c r="AK169" s="2066"/>
      <c r="AL169" s="2066"/>
      <c r="AM169" s="2066"/>
      <c r="AN169" s="2066"/>
      <c r="AO169" s="2067"/>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1"/>
      <c r="D170" s="2021"/>
      <c r="E170" s="2021"/>
      <c r="F170" s="2021"/>
      <c r="G170" s="2021"/>
      <c r="H170" s="2021"/>
      <c r="I170" s="2152"/>
      <c r="J170" s="2152"/>
      <c r="K170" s="2152"/>
      <c r="L170" s="2152"/>
      <c r="M170" s="2152"/>
      <c r="N170" s="2168"/>
      <c r="O170" s="1208"/>
      <c r="P170" s="2065"/>
      <c r="Q170" s="2066"/>
      <c r="R170" s="2066"/>
      <c r="S170" s="2066"/>
      <c r="T170" s="2066"/>
      <c r="U170" s="2066"/>
      <c r="V170" s="2066"/>
      <c r="W170" s="2066"/>
      <c r="X170" s="2066"/>
      <c r="Y170" s="2066"/>
      <c r="Z170" s="2066"/>
      <c r="AA170" s="2066"/>
      <c r="AB170" s="2066"/>
      <c r="AC170" s="2066"/>
      <c r="AD170" s="2066"/>
      <c r="AE170" s="2066"/>
      <c r="AF170" s="2066"/>
      <c r="AG170" s="2066"/>
      <c r="AH170" s="2066"/>
      <c r="AI170" s="2066"/>
      <c r="AJ170" s="2066"/>
      <c r="AK170" s="2066"/>
      <c r="AL170" s="2066"/>
      <c r="AM170" s="2066"/>
      <c r="AN170" s="2066"/>
      <c r="AO170" s="2067"/>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1"/>
      <c r="D171" s="2021"/>
      <c r="E171" s="2021"/>
      <c r="F171" s="2021"/>
      <c r="G171" s="2021"/>
      <c r="H171" s="2021"/>
      <c r="I171" s="2152"/>
      <c r="J171" s="2152"/>
      <c r="K171" s="2152"/>
      <c r="L171" s="2152"/>
      <c r="M171" s="2152"/>
      <c r="N171" s="2168"/>
      <c r="O171" s="1208"/>
      <c r="P171" s="2065"/>
      <c r="Q171" s="2066"/>
      <c r="R171" s="2066"/>
      <c r="S171" s="2066"/>
      <c r="T171" s="2066"/>
      <c r="U171" s="2066"/>
      <c r="V171" s="2066"/>
      <c r="W171" s="2066"/>
      <c r="X171" s="2066"/>
      <c r="Y171" s="2066"/>
      <c r="Z171" s="2066"/>
      <c r="AA171" s="2066"/>
      <c r="AB171" s="2066"/>
      <c r="AC171" s="2066"/>
      <c r="AD171" s="2066"/>
      <c r="AE171" s="2066"/>
      <c r="AF171" s="2066"/>
      <c r="AG171" s="2066"/>
      <c r="AH171" s="2066"/>
      <c r="AI171" s="2066"/>
      <c r="AJ171" s="2066"/>
      <c r="AK171" s="2066"/>
      <c r="AL171" s="2066"/>
      <c r="AM171" s="2066"/>
      <c r="AN171" s="2066"/>
      <c r="AO171" s="2067"/>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1"/>
      <c r="D172" s="2021"/>
      <c r="E172" s="2021"/>
      <c r="F172" s="2021"/>
      <c r="G172" s="2021"/>
      <c r="H172" s="2021"/>
      <c r="I172" s="2152"/>
      <c r="J172" s="2152"/>
      <c r="K172" s="2152"/>
      <c r="L172" s="2152"/>
      <c r="M172" s="2152"/>
      <c r="N172" s="2168"/>
      <c r="O172" s="1208"/>
      <c r="P172" s="2065"/>
      <c r="Q172" s="2066"/>
      <c r="R172" s="2066"/>
      <c r="S172" s="2066"/>
      <c r="T172" s="2066"/>
      <c r="U172" s="2066"/>
      <c r="V172" s="2066"/>
      <c r="W172" s="2066"/>
      <c r="X172" s="2066"/>
      <c r="Y172" s="2066"/>
      <c r="Z172" s="2066"/>
      <c r="AA172" s="2066"/>
      <c r="AB172" s="2066"/>
      <c r="AC172" s="2066"/>
      <c r="AD172" s="2066"/>
      <c r="AE172" s="2066"/>
      <c r="AF172" s="2066"/>
      <c r="AG172" s="2066"/>
      <c r="AH172" s="2066"/>
      <c r="AI172" s="2066"/>
      <c r="AJ172" s="2066"/>
      <c r="AK172" s="2066"/>
      <c r="AL172" s="2066"/>
      <c r="AM172" s="2066"/>
      <c r="AN172" s="2066"/>
      <c r="AO172" s="2067"/>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1"/>
      <c r="D173" s="2021"/>
      <c r="E173" s="2021"/>
      <c r="F173" s="2021"/>
      <c r="G173" s="2021"/>
      <c r="H173" s="2021"/>
      <c r="I173" s="2152"/>
      <c r="J173" s="2152"/>
      <c r="K173" s="2152"/>
      <c r="L173" s="2152"/>
      <c r="M173" s="2152"/>
      <c r="N173" s="2168"/>
      <c r="O173" s="1208"/>
      <c r="P173" s="2065"/>
      <c r="Q173" s="2066"/>
      <c r="R173" s="2066"/>
      <c r="S173" s="2066"/>
      <c r="T173" s="2066"/>
      <c r="U173" s="2066"/>
      <c r="V173" s="2066"/>
      <c r="W173" s="2066"/>
      <c r="X173" s="2066"/>
      <c r="Y173" s="2066"/>
      <c r="Z173" s="2066"/>
      <c r="AA173" s="2066"/>
      <c r="AB173" s="2066"/>
      <c r="AC173" s="2066"/>
      <c r="AD173" s="2066"/>
      <c r="AE173" s="2066"/>
      <c r="AF173" s="2066"/>
      <c r="AG173" s="2066"/>
      <c r="AH173" s="2066"/>
      <c r="AI173" s="2066"/>
      <c r="AJ173" s="2066"/>
      <c r="AK173" s="2066"/>
      <c r="AL173" s="2066"/>
      <c r="AM173" s="2066"/>
      <c r="AN173" s="2066"/>
      <c r="AO173" s="2067"/>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1"/>
      <c r="D174" s="2021"/>
      <c r="E174" s="2021"/>
      <c r="F174" s="2021"/>
      <c r="G174" s="2021"/>
      <c r="H174" s="2021"/>
      <c r="I174" s="2152"/>
      <c r="J174" s="2152"/>
      <c r="K174" s="2152"/>
      <c r="L174" s="2152"/>
      <c r="M174" s="2152"/>
      <c r="N174" s="2168"/>
      <c r="O174" s="1208"/>
      <c r="P174" s="2065"/>
      <c r="Q174" s="2066"/>
      <c r="R174" s="2066"/>
      <c r="S174" s="2066"/>
      <c r="T174" s="2066"/>
      <c r="U174" s="2066"/>
      <c r="V174" s="2066"/>
      <c r="W174" s="2066"/>
      <c r="X174" s="2066"/>
      <c r="Y174" s="2066"/>
      <c r="Z174" s="2066"/>
      <c r="AA174" s="2066"/>
      <c r="AB174" s="2066"/>
      <c r="AC174" s="2066"/>
      <c r="AD174" s="2066"/>
      <c r="AE174" s="2066"/>
      <c r="AF174" s="2066"/>
      <c r="AG174" s="2066"/>
      <c r="AH174" s="2066"/>
      <c r="AI174" s="2066"/>
      <c r="AJ174" s="2066"/>
      <c r="AK174" s="2066"/>
      <c r="AL174" s="2066"/>
      <c r="AM174" s="2066"/>
      <c r="AN174" s="2066"/>
      <c r="AO174" s="2067"/>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69"/>
      <c r="D175" s="2170"/>
      <c r="E175" s="2170"/>
      <c r="F175" s="2170"/>
      <c r="G175" s="2170"/>
      <c r="H175" s="2170"/>
      <c r="I175" s="2171"/>
      <c r="J175" s="2171"/>
      <c r="K175" s="2171"/>
      <c r="L175" s="2171"/>
      <c r="M175" s="2171"/>
      <c r="N175" s="2172"/>
      <c r="O175" s="1208"/>
      <c r="P175" s="2068"/>
      <c r="Q175" s="2069"/>
      <c r="R175" s="2069"/>
      <c r="S175" s="2069"/>
      <c r="T175" s="2069"/>
      <c r="U175" s="2069"/>
      <c r="V175" s="2069"/>
      <c r="W175" s="2069"/>
      <c r="X175" s="2069"/>
      <c r="Y175" s="2069"/>
      <c r="Z175" s="2069"/>
      <c r="AA175" s="2069"/>
      <c r="AB175" s="2069"/>
      <c r="AC175" s="2069"/>
      <c r="AD175" s="2069"/>
      <c r="AE175" s="2069"/>
      <c r="AF175" s="2069"/>
      <c r="AG175" s="2069"/>
      <c r="AH175" s="2069"/>
      <c r="AI175" s="2069"/>
      <c r="AJ175" s="2069"/>
      <c r="AK175" s="2069"/>
      <c r="AL175" s="2069"/>
      <c r="AM175" s="2069"/>
      <c r="AN175" s="2069"/>
      <c r="AO175" s="2070"/>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76" t="s">
        <v>2270</v>
      </c>
      <c r="D177" s="2177"/>
      <c r="E177" s="2177"/>
      <c r="F177" s="2177"/>
      <c r="G177" s="2177"/>
      <c r="H177" s="2177"/>
      <c r="I177" s="2177"/>
      <c r="J177" s="2177"/>
      <c r="K177" s="2177"/>
      <c r="L177" s="2177"/>
      <c r="M177" s="2177"/>
      <c r="N177" s="2177"/>
      <c r="O177" s="2177"/>
      <c r="P177" s="2177"/>
      <c r="Q177" s="2177"/>
      <c r="R177" s="2177"/>
      <c r="S177" s="2177"/>
      <c r="T177" s="2177"/>
      <c r="U177" s="2177"/>
      <c r="V177" s="2177"/>
      <c r="W177" s="2177"/>
      <c r="X177" s="2177"/>
      <c r="Y177" s="2177"/>
      <c r="Z177" s="2177"/>
      <c r="AA177" s="2177"/>
      <c r="AB177" s="2177"/>
      <c r="AC177" s="2177"/>
      <c r="AD177" s="2177"/>
      <c r="AE177" s="2178"/>
      <c r="AF177" s="1208"/>
      <c r="AG177" s="1208"/>
      <c r="AH177" s="2186"/>
      <c r="AI177" s="2186"/>
      <c r="AJ177" s="2186"/>
      <c r="AK177" s="2186"/>
      <c r="AL177" s="2186"/>
      <c r="AM177" s="2186"/>
      <c r="AN177" s="2186"/>
      <c r="AO177" s="2186"/>
      <c r="AP177" s="2186"/>
      <c r="AQ177" s="2186"/>
      <c r="AR177" s="2186"/>
      <c r="AS177" s="2186"/>
      <c r="AT177" s="2186"/>
      <c r="AU177" s="2186"/>
      <c r="AV177" s="2186"/>
      <c r="AW177" s="2186"/>
      <c r="AX177" s="2186"/>
      <c r="AY177" s="2186"/>
      <c r="AZ177" s="2186"/>
      <c r="BA177" s="2186"/>
      <c r="BB177" s="2186"/>
      <c r="BC177" s="2186"/>
      <c r="BD177" s="2186"/>
      <c r="BE177" s="2186"/>
    </row>
    <row r="178" spans="1:57" ht="15.75" customHeight="1" thickBot="1">
      <c r="A178" s="1208"/>
      <c r="B178" s="1208"/>
      <c r="C178" s="2179"/>
      <c r="D178" s="2180"/>
      <c r="E178" s="2180"/>
      <c r="F178" s="2180"/>
      <c r="G178" s="2180"/>
      <c r="H178" s="2180"/>
      <c r="I178" s="2180"/>
      <c r="J178" s="2180"/>
      <c r="K178" s="2180"/>
      <c r="L178" s="2180"/>
      <c r="M178" s="2180"/>
      <c r="N178" s="2180"/>
      <c r="O178" s="2180"/>
      <c r="P178" s="2180"/>
      <c r="Q178" s="2180"/>
      <c r="R178" s="2180"/>
      <c r="S178" s="2180"/>
      <c r="T178" s="2180"/>
      <c r="U178" s="2180"/>
      <c r="V178" s="2180"/>
      <c r="W178" s="2180"/>
      <c r="X178" s="2180"/>
      <c r="Y178" s="2180"/>
      <c r="Z178" s="2180"/>
      <c r="AA178" s="2180"/>
      <c r="AB178" s="2180"/>
      <c r="AC178" s="2180"/>
      <c r="AD178" s="2180"/>
      <c r="AE178" s="2181"/>
      <c r="AF178" s="1208"/>
      <c r="AG178" s="1208"/>
      <c r="AH178" s="2186"/>
      <c r="AI178" s="2186"/>
      <c r="AJ178" s="2186"/>
      <c r="AK178" s="2186"/>
      <c r="AL178" s="2186"/>
      <c r="AM178" s="2186"/>
      <c r="AN178" s="2186"/>
      <c r="AO178" s="2186"/>
      <c r="AP178" s="2186"/>
      <c r="AQ178" s="2186"/>
      <c r="AR178" s="2186"/>
      <c r="AS178" s="2186"/>
      <c r="AT178" s="2186"/>
      <c r="AU178" s="2186"/>
      <c r="AV178" s="2186"/>
      <c r="AW178" s="2186"/>
      <c r="AX178" s="2186"/>
      <c r="AY178" s="2186"/>
      <c r="AZ178" s="2186"/>
      <c r="BA178" s="2186"/>
      <c r="BB178" s="2186"/>
      <c r="BC178" s="2186"/>
      <c r="BD178" s="2186"/>
      <c r="BE178" s="2186"/>
    </row>
    <row r="179" spans="1:57" ht="15.75" customHeight="1">
      <c r="A179" s="1208"/>
      <c r="B179" s="1208"/>
      <c r="C179" s="2061" t="s">
        <v>2268</v>
      </c>
      <c r="D179" s="2062"/>
      <c r="E179" s="2062"/>
      <c r="F179" s="2062"/>
      <c r="G179" s="2062"/>
      <c r="H179" s="2062"/>
      <c r="I179" s="2062"/>
      <c r="J179" s="2062"/>
      <c r="K179" s="2062"/>
      <c r="L179" s="2062"/>
      <c r="M179" s="2062"/>
      <c r="N179" s="2062" t="s">
        <v>2269</v>
      </c>
      <c r="O179" s="2062"/>
      <c r="P179" s="2062"/>
      <c r="Q179" s="2062"/>
      <c r="R179" s="2062"/>
      <c r="S179" s="2062"/>
      <c r="T179" s="2062"/>
      <c r="U179" s="2015" t="s">
        <v>2268</v>
      </c>
      <c r="V179" s="2015"/>
      <c r="W179" s="2015"/>
      <c r="X179" s="2015"/>
      <c r="Y179" s="2015"/>
      <c r="Z179" s="2015"/>
      <c r="AA179" s="2015"/>
      <c r="AB179" s="2015"/>
      <c r="AC179" s="2015"/>
      <c r="AD179" s="2015"/>
      <c r="AE179" s="2016"/>
      <c r="AF179" s="1208"/>
      <c r="AG179" s="1208"/>
      <c r="AH179" s="2186"/>
      <c r="AI179" s="2186"/>
      <c r="AJ179" s="2186"/>
      <c r="AK179" s="2186"/>
      <c r="AL179" s="2186"/>
      <c r="AM179" s="2186"/>
      <c r="AN179" s="2186"/>
      <c r="AO179" s="2186"/>
      <c r="AP179" s="2186"/>
      <c r="AQ179" s="2186"/>
      <c r="AR179" s="2186"/>
      <c r="AS179" s="2186"/>
      <c r="AT179" s="2186"/>
      <c r="AU179" s="2186"/>
      <c r="AV179" s="2186"/>
      <c r="AW179" s="2186"/>
      <c r="AX179" s="2186"/>
      <c r="AY179" s="2186"/>
      <c r="AZ179" s="2186"/>
      <c r="BA179" s="2186"/>
      <c r="BB179" s="2186"/>
      <c r="BC179" s="2186"/>
      <c r="BD179" s="2186"/>
      <c r="BE179" s="2186"/>
    </row>
    <row r="180" spans="1:57" ht="15.75" customHeight="1">
      <c r="A180" s="1208"/>
      <c r="B180" s="1208"/>
      <c r="C180" s="2173" t="s">
        <v>2267</v>
      </c>
      <c r="D180" s="2174"/>
      <c r="E180" s="2174"/>
      <c r="F180" s="2174"/>
      <c r="G180" s="2174"/>
      <c r="H180" s="2174"/>
      <c r="I180" s="2174"/>
      <c r="J180" s="2174"/>
      <c r="K180" s="2174"/>
      <c r="L180" s="2174"/>
      <c r="M180" s="2174"/>
      <c r="N180" s="2175">
        <f>'Sources and Uses Budget'!B105</f>
        <v>35096325</v>
      </c>
      <c r="O180" s="2175"/>
      <c r="P180" s="2175"/>
      <c r="Q180" s="2175"/>
      <c r="R180" s="2175"/>
      <c r="S180" s="2175"/>
      <c r="T180" s="2175"/>
      <c r="U180" s="2187"/>
      <c r="V180" s="2187"/>
      <c r="W180" s="2187"/>
      <c r="X180" s="2187"/>
      <c r="Y180" s="2187"/>
      <c r="Z180" s="2187"/>
      <c r="AA180" s="2187"/>
      <c r="AB180" s="2187"/>
      <c r="AC180" s="2187"/>
      <c r="AD180" s="2187"/>
      <c r="AE180" s="2188"/>
      <c r="AF180" s="1208"/>
      <c r="AG180" s="1208"/>
      <c r="AH180" s="2186"/>
      <c r="AI180" s="2186"/>
      <c r="AJ180" s="2186"/>
      <c r="AK180" s="2186"/>
      <c r="AL180" s="2186"/>
      <c r="AM180" s="2186"/>
      <c r="AN180" s="2186"/>
      <c r="AO180" s="2186"/>
      <c r="AP180" s="2186"/>
      <c r="AQ180" s="2186"/>
      <c r="AR180" s="2186"/>
      <c r="AS180" s="2186"/>
      <c r="AT180" s="2186"/>
      <c r="AU180" s="2186"/>
      <c r="AV180" s="2186"/>
      <c r="AW180" s="2186"/>
      <c r="AX180" s="2186"/>
      <c r="AY180" s="2186"/>
      <c r="AZ180" s="2186"/>
      <c r="BA180" s="2186"/>
      <c r="BB180" s="2186"/>
      <c r="BC180" s="2186"/>
      <c r="BD180" s="2186"/>
      <c r="BE180" s="2186"/>
    </row>
    <row r="181" spans="1:57" ht="15.75" customHeight="1">
      <c r="A181" s="1208"/>
      <c r="B181" s="1208"/>
      <c r="C181" s="2173" t="s">
        <v>2266</v>
      </c>
      <c r="D181" s="2174"/>
      <c r="E181" s="2174"/>
      <c r="F181" s="2174"/>
      <c r="G181" s="2174"/>
      <c r="H181" s="2174"/>
      <c r="I181" s="2174"/>
      <c r="J181" s="2174"/>
      <c r="K181" s="2174"/>
      <c r="L181" s="2174"/>
      <c r="M181" s="2174"/>
      <c r="N181" s="2175">
        <f>N180/J29</f>
        <v>575349.59016393439</v>
      </c>
      <c r="O181" s="2175"/>
      <c r="P181" s="2175"/>
      <c r="Q181" s="2175"/>
      <c r="R181" s="2175"/>
      <c r="S181" s="2175"/>
      <c r="T181" s="2175"/>
      <c r="U181" s="1248"/>
      <c r="V181" s="1248"/>
      <c r="W181" s="1248"/>
      <c r="X181" s="1248"/>
      <c r="Y181" s="1248"/>
      <c r="Z181" s="1248"/>
      <c r="AA181" s="1248"/>
      <c r="AB181" s="1248"/>
      <c r="AC181" s="1248"/>
      <c r="AD181" s="1248"/>
      <c r="AE181" s="1249"/>
      <c r="AF181" s="1208"/>
      <c r="AG181" s="1208"/>
      <c r="AH181" s="2186"/>
      <c r="AI181" s="2186"/>
      <c r="AJ181" s="2186"/>
      <c r="AK181" s="2186"/>
      <c r="AL181" s="2186"/>
      <c r="AM181" s="2186"/>
      <c r="AN181" s="2186"/>
      <c r="AO181" s="2186"/>
      <c r="AP181" s="2186"/>
      <c r="AQ181" s="2186"/>
      <c r="AR181" s="2186"/>
      <c r="AS181" s="2186"/>
      <c r="AT181" s="2186"/>
      <c r="AU181" s="2186"/>
      <c r="AV181" s="2186"/>
      <c r="AW181" s="2186"/>
      <c r="AX181" s="2186"/>
      <c r="AY181" s="2186"/>
      <c r="AZ181" s="2186"/>
      <c r="BA181" s="2186"/>
      <c r="BB181" s="2186"/>
      <c r="BC181" s="2186"/>
      <c r="BD181" s="2186"/>
      <c r="BE181" s="2186"/>
    </row>
    <row r="182" spans="1:57" ht="15.75" customHeight="1">
      <c r="A182" s="1208"/>
      <c r="B182" s="1208"/>
      <c r="C182" s="2189" t="s">
        <v>2265</v>
      </c>
      <c r="D182" s="2190"/>
      <c r="E182" s="2190"/>
      <c r="F182" s="2190"/>
      <c r="G182" s="2190"/>
      <c r="H182" s="2190"/>
      <c r="I182" s="2190"/>
      <c r="J182" s="2190"/>
      <c r="K182" s="2190"/>
      <c r="L182" s="2190"/>
      <c r="M182" s="2190"/>
      <c r="N182" s="2055">
        <v>0</v>
      </c>
      <c r="O182" s="2055"/>
      <c r="P182" s="2055"/>
      <c r="Q182" s="2055"/>
      <c r="R182" s="2055"/>
      <c r="S182" s="2055"/>
      <c r="T182" s="2055"/>
      <c r="U182" s="2033"/>
      <c r="V182" s="2033"/>
      <c r="W182" s="2033"/>
      <c r="X182" s="2033"/>
      <c r="Y182" s="2033"/>
      <c r="Z182" s="2033"/>
      <c r="AA182" s="2033"/>
      <c r="AB182" s="2033"/>
      <c r="AC182" s="2033"/>
      <c r="AD182" s="2033"/>
      <c r="AE182" s="2034"/>
      <c r="AF182" s="1208"/>
      <c r="AG182" s="1208"/>
      <c r="AH182" s="2186"/>
      <c r="AI182" s="2186"/>
      <c r="AJ182" s="2186"/>
      <c r="AK182" s="2186"/>
      <c r="AL182" s="2186"/>
      <c r="AM182" s="2186"/>
      <c r="AN182" s="2186"/>
      <c r="AO182" s="2186"/>
      <c r="AP182" s="2186"/>
      <c r="AQ182" s="2186"/>
      <c r="AR182" s="2186"/>
      <c r="AS182" s="2186"/>
      <c r="AT182" s="2186"/>
      <c r="AU182" s="2186"/>
      <c r="AV182" s="2186"/>
      <c r="AW182" s="2186"/>
      <c r="AX182" s="2186"/>
      <c r="AY182" s="2186"/>
      <c r="AZ182" s="2186"/>
      <c r="BA182" s="2186"/>
      <c r="BB182" s="2186"/>
      <c r="BC182" s="2186"/>
      <c r="BD182" s="2186"/>
      <c r="BE182" s="2186"/>
    </row>
    <row r="183" spans="1:57" ht="15.75" customHeight="1" thickBot="1">
      <c r="A183" s="1208"/>
      <c r="B183" s="1208"/>
      <c r="C183" s="2173" t="s">
        <v>2264</v>
      </c>
      <c r="D183" s="2174"/>
      <c r="E183" s="2174"/>
      <c r="F183" s="2174"/>
      <c r="G183" s="2174"/>
      <c r="H183" s="2174"/>
      <c r="I183" s="2174"/>
      <c r="J183" s="2174"/>
      <c r="K183" s="2174"/>
      <c r="L183" s="2174"/>
      <c r="M183" s="2174"/>
      <c r="N183" s="2191">
        <f>SUM('Sources and Uses Budget'!B85:B86)</f>
        <v>100000</v>
      </c>
      <c r="O183" s="2191"/>
      <c r="P183" s="2191"/>
      <c r="Q183" s="2191"/>
      <c r="R183" s="2191"/>
      <c r="S183" s="2191"/>
      <c r="T183" s="2191"/>
      <c r="U183" s="2033"/>
      <c r="V183" s="2033"/>
      <c r="W183" s="2033"/>
      <c r="X183" s="2033"/>
      <c r="Y183" s="2033"/>
      <c r="Z183" s="2033"/>
      <c r="AA183" s="2033"/>
      <c r="AB183" s="2033"/>
      <c r="AC183" s="2033"/>
      <c r="AD183" s="2033"/>
      <c r="AE183" s="2034"/>
      <c r="AF183" s="1208"/>
      <c r="AG183" s="1208"/>
      <c r="AH183" s="2186"/>
      <c r="AI183" s="2186"/>
      <c r="AJ183" s="2186"/>
      <c r="AK183" s="2186"/>
      <c r="AL183" s="2186"/>
      <c r="AM183" s="2186"/>
      <c r="AN183" s="2186"/>
      <c r="AO183" s="2186"/>
      <c r="AP183" s="2186"/>
      <c r="AQ183" s="2186"/>
      <c r="AR183" s="2186"/>
      <c r="AS183" s="2186"/>
      <c r="AT183" s="2186"/>
      <c r="AU183" s="2186"/>
      <c r="AV183" s="2186"/>
      <c r="AW183" s="2186"/>
      <c r="AX183" s="2186"/>
      <c r="AY183" s="2186"/>
      <c r="AZ183" s="2186"/>
      <c r="BA183" s="2186"/>
      <c r="BB183" s="2186"/>
      <c r="BC183" s="2186"/>
      <c r="BD183" s="2186"/>
      <c r="BE183" s="2186"/>
    </row>
    <row r="184" spans="1:57" ht="15.75" customHeight="1" thickBot="1">
      <c r="A184" s="1208"/>
      <c r="B184" s="1208"/>
      <c r="C184" s="2173" t="s">
        <v>2263</v>
      </c>
      <c r="D184" s="2174"/>
      <c r="E184" s="2174"/>
      <c r="F184" s="2174"/>
      <c r="G184" s="2174"/>
      <c r="H184" s="2174"/>
      <c r="I184" s="2174"/>
      <c r="J184" s="2174"/>
      <c r="K184" s="2174"/>
      <c r="L184" s="2174"/>
      <c r="M184" s="2174"/>
      <c r="N184" s="2191">
        <f>'Sources and Uses Budget'!B8</f>
        <v>4600000</v>
      </c>
      <c r="O184" s="2191"/>
      <c r="P184" s="2191"/>
      <c r="Q184" s="2191"/>
      <c r="R184" s="2191"/>
      <c r="S184" s="2191"/>
      <c r="T184" s="2191"/>
      <c r="U184" s="2033"/>
      <c r="V184" s="2033"/>
      <c r="W184" s="2033"/>
      <c r="X184" s="2033"/>
      <c r="Y184" s="2033"/>
      <c r="Z184" s="2033"/>
      <c r="AA184" s="2033"/>
      <c r="AB184" s="2033"/>
      <c r="AC184" s="2033"/>
      <c r="AD184" s="2033"/>
      <c r="AE184" s="2034"/>
      <c r="AF184" s="1208"/>
      <c r="AG184" s="1208"/>
      <c r="AH184" s="2195" t="s">
        <v>2261</v>
      </c>
      <c r="AI184" s="2196"/>
      <c r="AJ184" s="2196"/>
      <c r="AK184" s="2196"/>
      <c r="AL184" s="2196"/>
      <c r="AM184" s="2196"/>
      <c r="AN184" s="2196"/>
      <c r="AO184" s="2196"/>
      <c r="AP184" s="2196"/>
      <c r="AQ184" s="2196"/>
      <c r="AR184" s="2196"/>
      <c r="AS184" s="2196"/>
      <c r="AT184" s="2196"/>
      <c r="AU184" s="2196"/>
      <c r="AV184" s="2196"/>
      <c r="AW184" s="2196"/>
      <c r="AX184" s="2196"/>
      <c r="AY184" s="2196"/>
      <c r="AZ184" s="2196"/>
      <c r="BA184" s="2196"/>
      <c r="BB184" s="2196"/>
      <c r="BC184" s="2196"/>
      <c r="BD184" s="2196"/>
      <c r="BE184" s="2197"/>
    </row>
    <row r="185" spans="1:57" ht="15.75" customHeight="1">
      <c r="A185" s="1208"/>
      <c r="B185" s="1208"/>
      <c r="C185" s="2173" t="s">
        <v>2262</v>
      </c>
      <c r="D185" s="2174"/>
      <c r="E185" s="2174"/>
      <c r="F185" s="2174"/>
      <c r="G185" s="2174"/>
      <c r="H185" s="2174"/>
      <c r="I185" s="2174"/>
      <c r="J185" s="2174"/>
      <c r="K185" s="2174"/>
      <c r="L185" s="2174"/>
      <c r="M185" s="2174"/>
      <c r="N185" s="2182">
        <v>0</v>
      </c>
      <c r="O185" s="2182"/>
      <c r="P185" s="2182"/>
      <c r="Q185" s="2182"/>
      <c r="R185" s="2182"/>
      <c r="S185" s="2182"/>
      <c r="T185" s="2182"/>
      <c r="U185" s="2033"/>
      <c r="V185" s="2033"/>
      <c r="W185" s="2033"/>
      <c r="X185" s="2033"/>
      <c r="Y185" s="2033"/>
      <c r="Z185" s="2033"/>
      <c r="AA185" s="2033"/>
      <c r="AB185" s="2033"/>
      <c r="AC185" s="2033"/>
      <c r="AD185" s="2033"/>
      <c r="AE185" s="2034"/>
      <c r="AF185" s="1208"/>
      <c r="AG185" s="1208"/>
      <c r="AH185" s="2198" t="s">
        <v>2261</v>
      </c>
      <c r="AI185" s="2199"/>
      <c r="AJ185" s="2199"/>
      <c r="AK185" s="2199"/>
      <c r="AL185" s="2199"/>
      <c r="AM185" s="2199"/>
      <c r="AN185" s="2199"/>
      <c r="AO185" s="2199"/>
      <c r="AP185" s="2199"/>
      <c r="AQ185" s="2199"/>
      <c r="AR185" s="2199"/>
      <c r="AS185" s="2199"/>
      <c r="AT185" s="2199"/>
      <c r="AU185" s="2200">
        <v>0</v>
      </c>
      <c r="AV185" s="2200"/>
      <c r="AW185" s="2200"/>
      <c r="AX185" s="2200"/>
      <c r="AY185" s="2200"/>
      <c r="AZ185" s="2200"/>
      <c r="BA185" s="2200"/>
      <c r="BB185" s="2200"/>
      <c r="BC185" s="2201"/>
      <c r="BD185" s="2202"/>
      <c r="BE185" s="2203"/>
    </row>
    <row r="186" spans="1:57" ht="15.75" customHeight="1">
      <c r="A186" s="1208"/>
      <c r="B186" s="1208"/>
      <c r="C186" s="2173" t="s">
        <v>2260</v>
      </c>
      <c r="D186" s="2174"/>
      <c r="E186" s="2174"/>
      <c r="F186" s="2174"/>
      <c r="G186" s="2174"/>
      <c r="H186" s="2174"/>
      <c r="I186" s="2174"/>
      <c r="J186" s="2174"/>
      <c r="K186" s="2174"/>
      <c r="L186" s="2174"/>
      <c r="M186" s="2174"/>
      <c r="N186" s="2182">
        <v>0</v>
      </c>
      <c r="O186" s="2182"/>
      <c r="P186" s="2182"/>
      <c r="Q186" s="2182"/>
      <c r="R186" s="2182"/>
      <c r="S186" s="2182"/>
      <c r="T186" s="2182"/>
      <c r="U186" s="2033"/>
      <c r="V186" s="2033"/>
      <c r="W186" s="2033"/>
      <c r="X186" s="2033"/>
      <c r="Y186" s="2033"/>
      <c r="Z186" s="2033"/>
      <c r="AA186" s="2033"/>
      <c r="AB186" s="2033"/>
      <c r="AC186" s="2033"/>
      <c r="AD186" s="2033"/>
      <c r="AE186" s="2034"/>
      <c r="AF186" s="1208"/>
      <c r="AG186" s="1208"/>
      <c r="AH186" s="2183" t="s">
        <v>2259</v>
      </c>
      <c r="AI186" s="2184"/>
      <c r="AJ186" s="2184"/>
      <c r="AK186" s="2184"/>
      <c r="AL186" s="2184"/>
      <c r="AM186" s="2184"/>
      <c r="AN186" s="2184"/>
      <c r="AO186" s="2184"/>
      <c r="AP186" s="2184"/>
      <c r="AQ186" s="2184"/>
      <c r="AR186" s="2184"/>
      <c r="AS186" s="2184"/>
      <c r="AT186" s="2184"/>
      <c r="AU186" s="2185"/>
      <c r="AV186" s="2185"/>
      <c r="AW186" s="2185"/>
      <c r="AX186" s="2185"/>
      <c r="AY186" s="2185"/>
      <c r="AZ186" s="2185"/>
      <c r="BA186" s="2185"/>
      <c r="BB186" s="2185"/>
      <c r="BC186" s="2192"/>
      <c r="BD186" s="2193"/>
      <c r="BE186" s="2194"/>
    </row>
    <row r="187" spans="1:57" ht="15.75" customHeight="1">
      <c r="A187" s="1208"/>
      <c r="B187" s="1208"/>
      <c r="C187" s="2208" t="s">
        <v>299</v>
      </c>
      <c r="D187" s="2151"/>
      <c r="E187" s="2204" t="s">
        <v>2257</v>
      </c>
      <c r="F187" s="2204"/>
      <c r="G187" s="2204"/>
      <c r="H187" s="2204"/>
      <c r="I187" s="2204"/>
      <c r="J187" s="2204"/>
      <c r="K187" s="2204"/>
      <c r="L187" s="2204"/>
      <c r="M187" s="2204"/>
      <c r="N187" s="2182">
        <v>0</v>
      </c>
      <c r="O187" s="2182"/>
      <c r="P187" s="2182"/>
      <c r="Q187" s="2182"/>
      <c r="R187" s="2182"/>
      <c r="S187" s="2182"/>
      <c r="T187" s="2182"/>
      <c r="U187" s="2033"/>
      <c r="V187" s="2033"/>
      <c r="W187" s="2033"/>
      <c r="X187" s="2033"/>
      <c r="Y187" s="2033"/>
      <c r="Z187" s="2033"/>
      <c r="AA187" s="2033"/>
      <c r="AB187" s="2033"/>
      <c r="AC187" s="2033"/>
      <c r="AD187" s="2033"/>
      <c r="AE187" s="2034"/>
      <c r="AF187" s="1208"/>
      <c r="AG187" s="1208"/>
      <c r="AH187" s="2209" t="s">
        <v>2258</v>
      </c>
      <c r="AI187" s="2210"/>
      <c r="AJ187" s="2210"/>
      <c r="AK187" s="2210"/>
      <c r="AL187" s="2210"/>
      <c r="AM187" s="2210"/>
      <c r="AN187" s="2210"/>
      <c r="AO187" s="2210"/>
      <c r="AP187" s="2210"/>
      <c r="AQ187" s="2210"/>
      <c r="AR187" s="2210"/>
      <c r="AS187" s="2210"/>
      <c r="AT187" s="2210"/>
      <c r="AU187" s="2211">
        <f>SUM(AU185:BB186)</f>
        <v>0</v>
      </c>
      <c r="AV187" s="2211"/>
      <c r="AW187" s="2211"/>
      <c r="AX187" s="2211"/>
      <c r="AY187" s="2211"/>
      <c r="AZ187" s="2211"/>
      <c r="BA187" s="2211"/>
      <c r="BB187" s="2211"/>
      <c r="BC187" s="2192"/>
      <c r="BD187" s="2193"/>
      <c r="BE187" s="2194"/>
    </row>
    <row r="188" spans="1:57" ht="15.75" customHeight="1" thickBot="1">
      <c r="A188" s="1208"/>
      <c r="B188" s="1208"/>
      <c r="C188" s="2071" t="s">
        <v>299</v>
      </c>
      <c r="D188" s="2021"/>
      <c r="E188" s="2204" t="s">
        <v>2257</v>
      </c>
      <c r="F188" s="2204"/>
      <c r="G188" s="2204"/>
      <c r="H188" s="2204"/>
      <c r="I188" s="2204"/>
      <c r="J188" s="2204"/>
      <c r="K188" s="2204"/>
      <c r="L188" s="2204"/>
      <c r="M188" s="2204"/>
      <c r="N188" s="2182">
        <v>0</v>
      </c>
      <c r="O188" s="2182"/>
      <c r="P188" s="2182"/>
      <c r="Q188" s="2182"/>
      <c r="R188" s="2182"/>
      <c r="S188" s="2182"/>
      <c r="T188" s="2182"/>
      <c r="U188" s="2033"/>
      <c r="V188" s="2033"/>
      <c r="W188" s="2033"/>
      <c r="X188" s="2033"/>
      <c r="Y188" s="2033"/>
      <c r="Z188" s="2033"/>
      <c r="AA188" s="2033"/>
      <c r="AB188" s="2033"/>
      <c r="AC188" s="2033"/>
      <c r="AD188" s="2033"/>
      <c r="AE188" s="2034"/>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5"/>
      <c r="BD188" s="2206"/>
      <c r="BE188" s="2207"/>
    </row>
    <row r="189" spans="1:57" ht="15.75" customHeight="1" thickBot="1">
      <c r="A189" s="1208"/>
      <c r="B189" s="1208"/>
      <c r="C189" s="2229" t="s">
        <v>299</v>
      </c>
      <c r="D189" s="2230"/>
      <c r="E189" s="2231" t="s">
        <v>2257</v>
      </c>
      <c r="F189" s="2231"/>
      <c r="G189" s="2231"/>
      <c r="H189" s="2231"/>
      <c r="I189" s="2231"/>
      <c r="J189" s="2231"/>
      <c r="K189" s="2231"/>
      <c r="L189" s="2231"/>
      <c r="M189" s="2232"/>
      <c r="N189" s="2233">
        <v>0</v>
      </c>
      <c r="O189" s="2233"/>
      <c r="P189" s="2233"/>
      <c r="Q189" s="2233"/>
      <c r="R189" s="2233"/>
      <c r="S189" s="2233"/>
      <c r="T189" s="2234"/>
      <c r="U189" s="2235"/>
      <c r="V189" s="2236"/>
      <c r="W189" s="2236"/>
      <c r="X189" s="2236"/>
      <c r="Y189" s="2236"/>
      <c r="Z189" s="2236"/>
      <c r="AA189" s="2236"/>
      <c r="AB189" s="2236"/>
      <c r="AC189" s="2236"/>
      <c r="AD189" s="2236"/>
      <c r="AE189" s="2237"/>
      <c r="AF189" s="1208"/>
      <c r="AG189" s="1208"/>
      <c r="AH189" s="2238" t="s">
        <v>2256</v>
      </c>
      <c r="AI189" s="2239"/>
      <c r="AJ189" s="2239"/>
      <c r="AK189" s="2239"/>
      <c r="AL189" s="2239"/>
      <c r="AM189" s="2239"/>
      <c r="AN189" s="2239"/>
      <c r="AO189" s="2239"/>
      <c r="AP189" s="2239"/>
      <c r="AQ189" s="2239"/>
      <c r="AR189" s="2239"/>
      <c r="AS189" s="2239"/>
      <c r="AT189" s="2239"/>
      <c r="AU189" s="2240"/>
      <c r="AV189" s="2240"/>
      <c r="AW189" s="2240"/>
      <c r="AX189" s="2240"/>
      <c r="AY189" s="2240"/>
      <c r="AZ189" s="2240"/>
      <c r="BA189" s="2240"/>
      <c r="BB189" s="2240"/>
      <c r="BC189" s="1164"/>
      <c r="BD189" s="1164"/>
      <c r="BE189" s="1252"/>
    </row>
    <row r="190" spans="1:57" ht="15.75" customHeight="1">
      <c r="A190" s="1208"/>
      <c r="B190" s="1208"/>
      <c r="C190" s="2212" t="s">
        <v>2255</v>
      </c>
      <c r="D190" s="2213"/>
      <c r="E190" s="2213"/>
      <c r="F190" s="2213"/>
      <c r="G190" s="2213"/>
      <c r="H190" s="2213"/>
      <c r="I190" s="2213"/>
      <c r="J190" s="2213"/>
      <c r="K190" s="2213"/>
      <c r="L190" s="2213"/>
      <c r="M190" s="2213"/>
      <c r="N190" s="2214">
        <f>SUM(N182:T189)</f>
        <v>4700000</v>
      </c>
      <c r="O190" s="2214"/>
      <c r="P190" s="2214"/>
      <c r="Q190" s="2214"/>
      <c r="R190" s="2214"/>
      <c r="S190" s="2214"/>
      <c r="T190" s="2215"/>
      <c r="U190" s="1208"/>
      <c r="V190" s="1208"/>
      <c r="W190" s="1208"/>
      <c r="X190" s="1208"/>
      <c r="Y190" s="1208"/>
      <c r="Z190" s="1208"/>
      <c r="AA190" s="1208"/>
      <c r="AB190" s="1208"/>
      <c r="AC190" s="1208"/>
      <c r="AD190" s="1208"/>
      <c r="AE190" s="1208"/>
      <c r="AF190" s="1208"/>
      <c r="AG190" s="1208"/>
      <c r="AH190" s="2216" t="s">
        <v>2254</v>
      </c>
      <c r="AI190" s="2217"/>
      <c r="AJ190" s="2217"/>
      <c r="AK190" s="2217"/>
      <c r="AL190" s="2217"/>
      <c r="AM190" s="2217"/>
      <c r="AN190" s="2217"/>
      <c r="AO190" s="2217"/>
      <c r="AP190" s="2217"/>
      <c r="AQ190" s="2217"/>
      <c r="AR190" s="2217"/>
      <c r="AS190" s="2217"/>
      <c r="AT190" s="2217"/>
      <c r="AU190" s="2217"/>
      <c r="AV190" s="2217"/>
      <c r="AW190" s="2217"/>
      <c r="AX190" s="2217"/>
      <c r="AY190" s="2217"/>
      <c r="AZ190" s="2217"/>
      <c r="BA190" s="2217"/>
      <c r="BB190" s="2217"/>
      <c r="BC190" s="2217"/>
      <c r="BD190" s="2217"/>
      <c r="BE190" s="2218"/>
    </row>
    <row r="191" spans="1:57" ht="15.75" customHeight="1" thickBot="1">
      <c r="A191" s="1208"/>
      <c r="B191" s="1208"/>
      <c r="C191" s="2222" t="s">
        <v>2253</v>
      </c>
      <c r="D191" s="2223"/>
      <c r="E191" s="2223"/>
      <c r="F191" s="2223"/>
      <c r="G191" s="2223"/>
      <c r="H191" s="2223"/>
      <c r="I191" s="2223"/>
      <c r="J191" s="2223"/>
      <c r="K191" s="2223"/>
      <c r="L191" s="2223"/>
      <c r="M191" s="2223"/>
      <c r="N191" s="2224">
        <f>(N180-N190)/J29</f>
        <v>498300.40983606555</v>
      </c>
      <c r="O191" s="2225"/>
      <c r="P191" s="2225"/>
      <c r="Q191" s="2225"/>
      <c r="R191" s="2225"/>
      <c r="S191" s="2225"/>
      <c r="T191" s="2226"/>
      <c r="U191" s="1216"/>
      <c r="V191" s="1208"/>
      <c r="W191" s="1208"/>
      <c r="X191" s="1208"/>
      <c r="Y191" s="1208"/>
      <c r="Z191" s="1208"/>
      <c r="AA191" s="1208"/>
      <c r="AB191" s="1208"/>
      <c r="AC191" s="1208"/>
      <c r="AD191" s="1208"/>
      <c r="AE191" s="1208"/>
      <c r="AF191" s="1208"/>
      <c r="AG191" s="1208"/>
      <c r="AH191" s="2219"/>
      <c r="AI191" s="2220"/>
      <c r="AJ191" s="2220"/>
      <c r="AK191" s="2220"/>
      <c r="AL191" s="2220"/>
      <c r="AM191" s="2220"/>
      <c r="AN191" s="2220"/>
      <c r="AO191" s="2220"/>
      <c r="AP191" s="2220"/>
      <c r="AQ191" s="2220"/>
      <c r="AR191" s="2220"/>
      <c r="AS191" s="2220"/>
      <c r="AT191" s="2220"/>
      <c r="AU191" s="2220"/>
      <c r="AV191" s="2220"/>
      <c r="AW191" s="2220"/>
      <c r="AX191" s="2220"/>
      <c r="AY191" s="2220"/>
      <c r="AZ191" s="2220"/>
      <c r="BA191" s="2220"/>
      <c r="BB191" s="2220"/>
      <c r="BC191" s="2220"/>
      <c r="BD191" s="2220"/>
      <c r="BE191" s="2221"/>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27"/>
      <c r="AI192" s="2227"/>
      <c r="AJ192" s="2227"/>
      <c r="AK192" s="2227"/>
      <c r="AL192" s="2227"/>
      <c r="AM192" s="2227"/>
      <c r="AN192" s="2227"/>
      <c r="AO192" s="2227"/>
      <c r="AP192" s="2227"/>
      <c r="AQ192" s="2227"/>
      <c r="AR192" s="2227"/>
      <c r="AS192" s="2228"/>
      <c r="AT192" s="2228"/>
      <c r="AU192" s="2228"/>
      <c r="AV192" s="2228"/>
      <c r="AW192" s="2228"/>
      <c r="AX192" s="2228"/>
      <c r="AY192" s="2228"/>
      <c r="AZ192" s="2228"/>
      <c r="BA192" s="2228"/>
      <c r="BB192" s="2228"/>
      <c r="BC192" s="2228"/>
      <c r="BD192" s="2228"/>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46" t="s">
        <v>2252</v>
      </c>
      <c r="D194" s="2247"/>
      <c r="E194" s="2247"/>
      <c r="F194" s="2247"/>
      <c r="G194" s="2247"/>
      <c r="H194" s="2247"/>
      <c r="I194" s="2247"/>
      <c r="J194" s="2247"/>
      <c r="K194" s="2247"/>
      <c r="L194" s="2247"/>
      <c r="M194" s="2247"/>
      <c r="N194" s="2247"/>
      <c r="O194" s="2247"/>
      <c r="P194" s="2247"/>
      <c r="Q194" s="2247"/>
      <c r="R194" s="2247"/>
      <c r="S194" s="2247"/>
      <c r="T194" s="2247"/>
      <c r="U194" s="2247"/>
      <c r="V194" s="2247"/>
      <c r="W194" s="2247"/>
      <c r="X194" s="2247"/>
      <c r="Y194" s="2247"/>
      <c r="Z194" s="2247"/>
      <c r="AA194" s="2247"/>
      <c r="AB194" s="2247"/>
      <c r="AC194" s="2247"/>
      <c r="AD194" s="2247"/>
      <c r="AE194" s="2248"/>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49" t="s">
        <v>2251</v>
      </c>
      <c r="D195" s="2249"/>
      <c r="E195" s="2249"/>
      <c r="F195" s="2249"/>
      <c r="G195" s="2249"/>
      <c r="H195" s="2249"/>
      <c r="I195" s="2249"/>
      <c r="J195" s="2249"/>
      <c r="K195" s="2249"/>
      <c r="L195" s="2249"/>
      <c r="M195" s="2249"/>
      <c r="N195" s="2249"/>
      <c r="O195" s="2250" t="s">
        <v>2250</v>
      </c>
      <c r="P195" s="2250"/>
      <c r="Q195" s="2250"/>
      <c r="R195" s="2250"/>
      <c r="S195" s="2250"/>
      <c r="T195" s="2250"/>
      <c r="U195" s="2250"/>
      <c r="V195" s="2250"/>
      <c r="W195" s="2250"/>
      <c r="X195" s="2250" t="s">
        <v>2249</v>
      </c>
      <c r="Y195" s="2250"/>
      <c r="Z195" s="2250"/>
      <c r="AA195" s="2250"/>
      <c r="AB195" s="2250"/>
      <c r="AC195" s="2250"/>
      <c r="AD195" s="2250"/>
      <c r="AE195" s="2250"/>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1" t="s">
        <v>2248</v>
      </c>
      <c r="D196" s="2241"/>
      <c r="E196" s="2241"/>
      <c r="F196" s="2241"/>
      <c r="G196" s="2241"/>
      <c r="H196" s="2241"/>
      <c r="I196" s="2241"/>
      <c r="J196" s="2241"/>
      <c r="K196" s="2241"/>
      <c r="L196" s="2241"/>
      <c r="M196" s="2241"/>
      <c r="N196" s="2241"/>
      <c r="O196" s="2242" t="s">
        <v>2247</v>
      </c>
      <c r="P196" s="2242"/>
      <c r="Q196" s="2242"/>
      <c r="R196" s="2242"/>
      <c r="S196" s="2242"/>
      <c r="T196" s="2242"/>
      <c r="U196" s="2242"/>
      <c r="V196" s="2242"/>
      <c r="W196" s="2242"/>
      <c r="X196" s="2243">
        <v>0.03</v>
      </c>
      <c r="Y196" s="2243"/>
      <c r="Z196" s="2243"/>
      <c r="AA196" s="2243"/>
      <c r="AB196" s="2243"/>
      <c r="AC196" s="2243"/>
      <c r="AD196" s="2243"/>
      <c r="AE196" s="2243"/>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1" t="s">
        <v>853</v>
      </c>
      <c r="D197" s="2241"/>
      <c r="E197" s="2241"/>
      <c r="F197" s="2241"/>
      <c r="G197" s="2241"/>
      <c r="H197" s="2241"/>
      <c r="I197" s="2241"/>
      <c r="J197" s="2241"/>
      <c r="K197" s="2241"/>
      <c r="L197" s="2241"/>
      <c r="M197" s="2241"/>
      <c r="N197" s="2241"/>
      <c r="O197" s="2242" t="s">
        <v>2247</v>
      </c>
      <c r="P197" s="2242"/>
      <c r="Q197" s="2242"/>
      <c r="R197" s="2242"/>
      <c r="S197" s="2242"/>
      <c r="T197" s="2242"/>
      <c r="U197" s="2242"/>
      <c r="V197" s="2242"/>
      <c r="W197" s="2242"/>
      <c r="X197" s="2243">
        <v>0.03</v>
      </c>
      <c r="Y197" s="2243"/>
      <c r="Z197" s="2243"/>
      <c r="AA197" s="2243"/>
      <c r="AB197" s="2243"/>
      <c r="AC197" s="2243"/>
      <c r="AD197" s="2243"/>
      <c r="AE197" s="2243"/>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1" t="s">
        <v>2246</v>
      </c>
      <c r="D198" s="2241"/>
      <c r="E198" s="2241"/>
      <c r="F198" s="2241"/>
      <c r="G198" s="2241"/>
      <c r="H198" s="2241"/>
      <c r="I198" s="2241"/>
      <c r="J198" s="2241"/>
      <c r="K198" s="2241"/>
      <c r="L198" s="2241"/>
      <c r="M198" s="2241"/>
      <c r="N198" s="2241"/>
      <c r="O198" s="2244">
        <f>SUM(O196:W197)</f>
        <v>0</v>
      </c>
      <c r="P198" s="2245"/>
      <c r="Q198" s="2245"/>
      <c r="R198" s="2245"/>
      <c r="S198" s="2245"/>
      <c r="T198" s="2245"/>
      <c r="U198" s="2245"/>
      <c r="V198" s="2245"/>
      <c r="W198" s="2245"/>
      <c r="X198" s="2245" t="s">
        <v>2245</v>
      </c>
      <c r="Y198" s="2245"/>
      <c r="Z198" s="2245"/>
      <c r="AA198" s="2245"/>
      <c r="AB198" s="2245"/>
      <c r="AC198" s="2245"/>
      <c r="AD198" s="2245"/>
      <c r="AE198" s="2245"/>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1" t="s">
        <v>2244</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1"/>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2" t="s">
        <v>2243</v>
      </c>
      <c r="D201" s="2253"/>
      <c r="E201" s="2253"/>
      <c r="F201" s="2253"/>
      <c r="G201" s="2253"/>
      <c r="H201" s="2253"/>
      <c r="I201" s="2253"/>
      <c r="J201" s="2253"/>
      <c r="K201" s="2253"/>
      <c r="L201" s="2253"/>
      <c r="M201" s="2253"/>
      <c r="N201" s="2253"/>
      <c r="O201" s="2253"/>
      <c r="P201" s="2253"/>
      <c r="Q201" s="2253"/>
      <c r="R201" s="2253"/>
      <c r="S201" s="2253"/>
      <c r="T201" s="2253"/>
      <c r="U201" s="2253"/>
      <c r="V201" s="2253"/>
      <c r="W201" s="2253"/>
      <c r="X201" s="2253"/>
      <c r="Y201" s="2253"/>
      <c r="Z201" s="2253"/>
      <c r="AA201" s="2253"/>
      <c r="AB201" s="2253"/>
      <c r="AC201" s="2253"/>
      <c r="AD201" s="2253"/>
      <c r="AE201" s="2253"/>
      <c r="AF201" s="2253"/>
      <c r="AG201" s="2253"/>
      <c r="AH201" s="2253"/>
      <c r="AI201" s="2253"/>
      <c r="AJ201" s="2253"/>
      <c r="AK201" s="2254"/>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5" t="s">
        <v>2242</v>
      </c>
      <c r="D202" s="2256"/>
      <c r="E202" s="2256"/>
      <c r="F202" s="2257"/>
      <c r="G202" s="2261" t="s">
        <v>2241</v>
      </c>
      <c r="H202" s="2256"/>
      <c r="I202" s="2256"/>
      <c r="J202" s="2256"/>
      <c r="K202" s="2256"/>
      <c r="L202" s="2256"/>
      <c r="M202" s="2256"/>
      <c r="N202" s="2256"/>
      <c r="O202" s="2257"/>
      <c r="P202" s="2263" t="s">
        <v>2240</v>
      </c>
      <c r="Q202" s="2264"/>
      <c r="R202" s="2264"/>
      <c r="S202" s="2264"/>
      <c r="T202" s="2265"/>
      <c r="U202" s="2269" t="s">
        <v>2239</v>
      </c>
      <c r="V202" s="2270"/>
      <c r="W202" s="2270"/>
      <c r="X202" s="2271"/>
      <c r="Y202" s="2269" t="s">
        <v>2238</v>
      </c>
      <c r="Z202" s="2270"/>
      <c r="AA202" s="2270"/>
      <c r="AB202" s="2271"/>
      <c r="AC202" s="2269" t="s">
        <v>2237</v>
      </c>
      <c r="AD202" s="2270"/>
      <c r="AE202" s="2270"/>
      <c r="AF202" s="2271"/>
      <c r="AG202" s="2261" t="s">
        <v>2236</v>
      </c>
      <c r="AH202" s="2256"/>
      <c r="AI202" s="2256"/>
      <c r="AJ202" s="2256"/>
      <c r="AK202" s="2275"/>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58"/>
      <c r="D203" s="2259"/>
      <c r="E203" s="2259"/>
      <c r="F203" s="2260"/>
      <c r="G203" s="2262"/>
      <c r="H203" s="2259"/>
      <c r="I203" s="2259"/>
      <c r="J203" s="2259"/>
      <c r="K203" s="2259"/>
      <c r="L203" s="2259"/>
      <c r="M203" s="2259"/>
      <c r="N203" s="2259"/>
      <c r="O203" s="2260"/>
      <c r="P203" s="2266"/>
      <c r="Q203" s="2267"/>
      <c r="R203" s="2267"/>
      <c r="S203" s="2267"/>
      <c r="T203" s="2268"/>
      <c r="U203" s="2272"/>
      <c r="V203" s="2273"/>
      <c r="W203" s="2273"/>
      <c r="X203" s="2274"/>
      <c r="Y203" s="2272"/>
      <c r="Z203" s="2273"/>
      <c r="AA203" s="2273"/>
      <c r="AB203" s="2274"/>
      <c r="AC203" s="2272"/>
      <c r="AD203" s="2273"/>
      <c r="AE203" s="2273"/>
      <c r="AF203" s="2274"/>
      <c r="AG203" s="2262"/>
      <c r="AH203" s="2259"/>
      <c r="AI203" s="2259"/>
      <c r="AJ203" s="2259"/>
      <c r="AK203" s="2276"/>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0">
        <v>1</v>
      </c>
      <c r="D204" s="2281"/>
      <c r="E204" s="2281"/>
      <c r="F204" s="2281"/>
      <c r="G204" s="2282" t="s">
        <v>1858</v>
      </c>
      <c r="H204" s="2282"/>
      <c r="I204" s="2282"/>
      <c r="J204" s="2282"/>
      <c r="K204" s="2282"/>
      <c r="L204" s="2282"/>
      <c r="M204" s="2282"/>
      <c r="N204" s="2282"/>
      <c r="O204" s="2282"/>
      <c r="P204" s="2283"/>
      <c r="Q204" s="2286"/>
      <c r="R204" s="2286"/>
      <c r="S204" s="2286"/>
      <c r="T204" s="2286"/>
      <c r="U204" s="2284" t="s">
        <v>1858</v>
      </c>
      <c r="V204" s="2284"/>
      <c r="W204" s="2284"/>
      <c r="X204" s="2284"/>
      <c r="Y204" s="2284" t="s">
        <v>1858</v>
      </c>
      <c r="Z204" s="2284"/>
      <c r="AA204" s="2284"/>
      <c r="AB204" s="2284"/>
      <c r="AC204" s="2285" t="s">
        <v>1858</v>
      </c>
      <c r="AD204" s="2285"/>
      <c r="AE204" s="2285"/>
      <c r="AF204" s="2285"/>
      <c r="AG204" s="2277"/>
      <c r="AH204" s="2278"/>
      <c r="AI204" s="2278"/>
      <c r="AJ204" s="2278"/>
      <c r="AK204" s="2279"/>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0">
        <v>2</v>
      </c>
      <c r="D205" s="2281"/>
      <c r="E205" s="2281"/>
      <c r="F205" s="2281"/>
      <c r="G205" s="2282" t="s">
        <v>1858</v>
      </c>
      <c r="H205" s="2282"/>
      <c r="I205" s="2282"/>
      <c r="J205" s="2282"/>
      <c r="K205" s="2282"/>
      <c r="L205" s="2282"/>
      <c r="M205" s="2282"/>
      <c r="N205" s="2282"/>
      <c r="O205" s="2282"/>
      <c r="P205" s="2283"/>
      <c r="Q205" s="2283"/>
      <c r="R205" s="2283"/>
      <c r="S205" s="2283"/>
      <c r="T205" s="2283"/>
      <c r="U205" s="2284" t="s">
        <v>1858</v>
      </c>
      <c r="V205" s="2284"/>
      <c r="W205" s="2284"/>
      <c r="X205" s="2284"/>
      <c r="Y205" s="2284" t="s">
        <v>1858</v>
      </c>
      <c r="Z205" s="2284"/>
      <c r="AA205" s="2284"/>
      <c r="AB205" s="2284"/>
      <c r="AC205" s="2285" t="s">
        <v>1858</v>
      </c>
      <c r="AD205" s="2285"/>
      <c r="AE205" s="2285"/>
      <c r="AF205" s="2285"/>
      <c r="AG205" s="2277"/>
      <c r="AH205" s="2278"/>
      <c r="AI205" s="2278"/>
      <c r="AJ205" s="2278"/>
      <c r="AK205" s="2279"/>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0">
        <v>3</v>
      </c>
      <c r="D206" s="2281"/>
      <c r="E206" s="2281"/>
      <c r="F206" s="2281"/>
      <c r="G206" s="2282" t="s">
        <v>1858</v>
      </c>
      <c r="H206" s="2282"/>
      <c r="I206" s="2282"/>
      <c r="J206" s="2282"/>
      <c r="K206" s="2282"/>
      <c r="L206" s="2282"/>
      <c r="M206" s="2282"/>
      <c r="N206" s="2282"/>
      <c r="O206" s="2282"/>
      <c r="P206" s="2283"/>
      <c r="Q206" s="2283"/>
      <c r="R206" s="2283"/>
      <c r="S206" s="2283"/>
      <c r="T206" s="2283"/>
      <c r="U206" s="2284" t="s">
        <v>1858</v>
      </c>
      <c r="V206" s="2284"/>
      <c r="W206" s="2284"/>
      <c r="X206" s="2284"/>
      <c r="Y206" s="2284" t="s">
        <v>1858</v>
      </c>
      <c r="Z206" s="2284"/>
      <c r="AA206" s="2284"/>
      <c r="AB206" s="2284"/>
      <c r="AC206" s="2285" t="s">
        <v>1858</v>
      </c>
      <c r="AD206" s="2285"/>
      <c r="AE206" s="2285"/>
      <c r="AF206" s="2285"/>
      <c r="AG206" s="2277"/>
      <c r="AH206" s="2278"/>
      <c r="AI206" s="2278"/>
      <c r="AJ206" s="2278"/>
      <c r="AK206" s="2279"/>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0">
        <v>4</v>
      </c>
      <c r="D207" s="2281"/>
      <c r="E207" s="2281"/>
      <c r="F207" s="2281"/>
      <c r="G207" s="2282" t="s">
        <v>1858</v>
      </c>
      <c r="H207" s="2282"/>
      <c r="I207" s="2282"/>
      <c r="J207" s="2282"/>
      <c r="K207" s="2282"/>
      <c r="L207" s="2282"/>
      <c r="M207" s="2282"/>
      <c r="N207" s="2282"/>
      <c r="O207" s="2282"/>
      <c r="P207" s="2283"/>
      <c r="Q207" s="2283"/>
      <c r="R207" s="2283"/>
      <c r="S207" s="2283"/>
      <c r="T207" s="2283"/>
      <c r="U207" s="2284" t="s">
        <v>1858</v>
      </c>
      <c r="V207" s="2284"/>
      <c r="W207" s="2284"/>
      <c r="X207" s="2284"/>
      <c r="Y207" s="2284" t="s">
        <v>1858</v>
      </c>
      <c r="Z207" s="2284"/>
      <c r="AA207" s="2284"/>
      <c r="AB207" s="2284"/>
      <c r="AC207" s="2285" t="s">
        <v>1858</v>
      </c>
      <c r="AD207" s="2285"/>
      <c r="AE207" s="2285"/>
      <c r="AF207" s="2285"/>
      <c r="AG207" s="2277"/>
      <c r="AH207" s="2278"/>
      <c r="AI207" s="2278"/>
      <c r="AJ207" s="2278"/>
      <c r="AK207" s="2279"/>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0">
        <v>5</v>
      </c>
      <c r="D208" s="2281"/>
      <c r="E208" s="2281"/>
      <c r="F208" s="2281"/>
      <c r="G208" s="2282" t="s">
        <v>1858</v>
      </c>
      <c r="H208" s="2282"/>
      <c r="I208" s="2282"/>
      <c r="J208" s="2282"/>
      <c r="K208" s="2282"/>
      <c r="L208" s="2282"/>
      <c r="M208" s="2282"/>
      <c r="N208" s="2282"/>
      <c r="O208" s="2282"/>
      <c r="P208" s="2283"/>
      <c r="Q208" s="2283"/>
      <c r="R208" s="2283"/>
      <c r="S208" s="2283"/>
      <c r="T208" s="2283"/>
      <c r="U208" s="2284" t="s">
        <v>1858</v>
      </c>
      <c r="V208" s="2284"/>
      <c r="W208" s="2284"/>
      <c r="X208" s="2284"/>
      <c r="Y208" s="2284" t="s">
        <v>1858</v>
      </c>
      <c r="Z208" s="2284"/>
      <c r="AA208" s="2284"/>
      <c r="AB208" s="2284"/>
      <c r="AC208" s="2285" t="s">
        <v>1858</v>
      </c>
      <c r="AD208" s="2285"/>
      <c r="AE208" s="2285"/>
      <c r="AF208" s="2285"/>
      <c r="AG208" s="2277"/>
      <c r="AH208" s="2278"/>
      <c r="AI208" s="2278"/>
      <c r="AJ208" s="2278"/>
      <c r="AK208" s="2279"/>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0">
        <v>6</v>
      </c>
      <c r="D209" s="2281"/>
      <c r="E209" s="2281"/>
      <c r="F209" s="2281"/>
      <c r="G209" s="2282" t="s">
        <v>1858</v>
      </c>
      <c r="H209" s="2282"/>
      <c r="I209" s="2282"/>
      <c r="J209" s="2282"/>
      <c r="K209" s="2282"/>
      <c r="L209" s="2282"/>
      <c r="M209" s="2282"/>
      <c r="N209" s="2282"/>
      <c r="O209" s="2282"/>
      <c r="P209" s="2283"/>
      <c r="Q209" s="2283"/>
      <c r="R209" s="2283"/>
      <c r="S209" s="2283"/>
      <c r="T209" s="2283"/>
      <c r="U209" s="2284"/>
      <c r="V209" s="2284"/>
      <c r="W209" s="2284"/>
      <c r="X209" s="2284"/>
      <c r="Y209" s="2284"/>
      <c r="Z209" s="2284"/>
      <c r="AA209" s="2284"/>
      <c r="AB209" s="2284"/>
      <c r="AC209" s="2285" t="s">
        <v>1858</v>
      </c>
      <c r="AD209" s="2285"/>
      <c r="AE209" s="2285"/>
      <c r="AF209" s="2285"/>
      <c r="AG209" s="2277"/>
      <c r="AH209" s="2278"/>
      <c r="AI209" s="2278"/>
      <c r="AJ209" s="2278"/>
      <c r="AK209" s="2279"/>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0">
        <v>7</v>
      </c>
      <c r="D210" s="2281"/>
      <c r="E210" s="2281"/>
      <c r="F210" s="2281"/>
      <c r="G210" s="2282"/>
      <c r="H210" s="2282"/>
      <c r="I210" s="2282"/>
      <c r="J210" s="2282"/>
      <c r="K210" s="2282"/>
      <c r="L210" s="2282"/>
      <c r="M210" s="2282"/>
      <c r="N210" s="2282"/>
      <c r="O210" s="2282"/>
      <c r="P210" s="2283"/>
      <c r="Q210" s="2283"/>
      <c r="R210" s="2283"/>
      <c r="S210" s="2283"/>
      <c r="T210" s="2283"/>
      <c r="U210" s="2284"/>
      <c r="V210" s="2284"/>
      <c r="W210" s="2284"/>
      <c r="X210" s="2284"/>
      <c r="Y210" s="2284"/>
      <c r="Z210" s="2284"/>
      <c r="AA210" s="2284"/>
      <c r="AB210" s="2284"/>
      <c r="AC210" s="2285" t="s">
        <v>1858</v>
      </c>
      <c r="AD210" s="2285"/>
      <c r="AE210" s="2285"/>
      <c r="AF210" s="2285"/>
      <c r="AG210" s="2277"/>
      <c r="AH210" s="2278"/>
      <c r="AI210" s="2278"/>
      <c r="AJ210" s="2278"/>
      <c r="AK210" s="2279"/>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299" t="s">
        <v>2235</v>
      </c>
      <c r="D211" s="2300"/>
      <c r="E211" s="2300"/>
      <c r="F211" s="2300"/>
      <c r="G211" s="2300"/>
      <c r="H211" s="2300"/>
      <c r="I211" s="2300"/>
      <c r="J211" s="2300"/>
      <c r="K211" s="2300"/>
      <c r="L211" s="2300"/>
      <c r="M211" s="2300"/>
      <c r="N211" s="2300"/>
      <c r="O211" s="2300"/>
      <c r="P211" s="2301"/>
      <c r="Q211" s="2301"/>
      <c r="R211" s="2301"/>
      <c r="S211" s="2301"/>
      <c r="T211" s="2301"/>
      <c r="U211" s="2302">
        <f>-SUM(U204:U210)</f>
        <v>0</v>
      </c>
      <c r="V211" s="2302"/>
      <c r="W211" s="2302"/>
      <c r="X211" s="2302"/>
      <c r="Y211" s="2302">
        <f>-SUM(Y204:Y210)</f>
        <v>0</v>
      </c>
      <c r="Z211" s="2302"/>
      <c r="AA211" s="2302"/>
      <c r="AB211" s="2302"/>
      <c r="AC211" s="2303">
        <f>-SUM(AC204:AC210)</f>
        <v>0</v>
      </c>
      <c r="AD211" s="2303"/>
      <c r="AE211" s="2303"/>
      <c r="AF211" s="2303"/>
      <c r="AG211" s="2304"/>
      <c r="AH211" s="2305"/>
      <c r="AI211" s="2305"/>
      <c r="AJ211" s="2305"/>
      <c r="AK211" s="2306"/>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87" t="s">
        <v>2233</v>
      </c>
      <c r="C216" s="2288"/>
      <c r="D216" s="2288"/>
      <c r="E216" s="2288"/>
      <c r="F216" s="2288"/>
      <c r="G216" s="2288"/>
      <c r="H216" s="2288"/>
      <c r="I216" s="2288"/>
      <c r="J216" s="2288"/>
      <c r="K216" s="2288"/>
      <c r="L216" s="2288"/>
      <c r="M216" s="2288"/>
      <c r="N216" s="2288"/>
      <c r="O216" s="2288"/>
      <c r="P216" s="2288"/>
      <c r="Q216" s="2288"/>
      <c r="R216" s="2288"/>
      <c r="S216" s="2288"/>
      <c r="T216" s="2288"/>
      <c r="U216" s="2288"/>
      <c r="V216" s="2288"/>
      <c r="W216" s="2288"/>
      <c r="X216" s="2288"/>
      <c r="Y216" s="2288"/>
      <c r="Z216" s="2288"/>
      <c r="AA216" s="2288"/>
      <c r="AB216" s="2288"/>
      <c r="AC216" s="2288"/>
      <c r="AD216" s="2288"/>
      <c r="AE216" s="2288"/>
      <c r="AF216" s="2288"/>
      <c r="AG216" s="2288"/>
      <c r="AH216" s="2288"/>
      <c r="AI216" s="2288"/>
      <c r="AJ216" s="2288"/>
      <c r="AK216" s="2288"/>
      <c r="AL216" s="2288"/>
      <c r="AM216" s="2288"/>
      <c r="AN216" s="2288"/>
      <c r="AO216" s="2288"/>
      <c r="AP216" s="2288"/>
      <c r="AQ216" s="2288"/>
      <c r="AR216" s="2288"/>
      <c r="AS216" s="2288"/>
      <c r="AT216" s="2288"/>
      <c r="AU216" s="2288"/>
      <c r="AV216" s="2288"/>
      <c r="AW216" s="2288"/>
      <c r="AX216" s="2288"/>
      <c r="AY216" s="2288"/>
      <c r="AZ216" s="2288"/>
      <c r="BA216" s="2288"/>
      <c r="BB216" s="2288"/>
      <c r="BC216" s="2288"/>
      <c r="BD216" s="2289"/>
      <c r="BE216" s="1215"/>
    </row>
    <row r="217" spans="1:57" ht="15.75" customHeight="1">
      <c r="A217" s="1208"/>
      <c r="B217" s="2290"/>
      <c r="C217" s="2291"/>
      <c r="D217" s="2291"/>
      <c r="E217" s="2291"/>
      <c r="F217" s="2291"/>
      <c r="G217" s="2291"/>
      <c r="H217" s="2291"/>
      <c r="I217" s="2291"/>
      <c r="J217" s="2291"/>
      <c r="K217" s="2291"/>
      <c r="L217" s="2291"/>
      <c r="M217" s="2291"/>
      <c r="N217" s="2291"/>
      <c r="O217" s="2291"/>
      <c r="P217" s="2291"/>
      <c r="Q217" s="2291"/>
      <c r="R217" s="2291"/>
      <c r="S217" s="2291"/>
      <c r="T217" s="2291"/>
      <c r="U217" s="2291"/>
      <c r="V217" s="2291"/>
      <c r="W217" s="2291"/>
      <c r="X217" s="2291"/>
      <c r="Y217" s="2291"/>
      <c r="Z217" s="2291"/>
      <c r="AA217" s="2291"/>
      <c r="AB217" s="2291"/>
      <c r="AC217" s="2291"/>
      <c r="AD217" s="2291"/>
      <c r="AE217" s="2291"/>
      <c r="AF217" s="2291"/>
      <c r="AG217" s="2291"/>
      <c r="AH217" s="2291"/>
      <c r="AI217" s="2291"/>
      <c r="AJ217" s="2291"/>
      <c r="AK217" s="2291"/>
      <c r="AL217" s="2291"/>
      <c r="AM217" s="2291"/>
      <c r="AN217" s="2291"/>
      <c r="AO217" s="2291"/>
      <c r="AP217" s="2291"/>
      <c r="AQ217" s="2291"/>
      <c r="AR217" s="2291"/>
      <c r="AS217" s="2291"/>
      <c r="AT217" s="2291"/>
      <c r="AU217" s="2291"/>
      <c r="AV217" s="2291"/>
      <c r="AW217" s="2291"/>
      <c r="AX217" s="2291"/>
      <c r="AY217" s="2291"/>
      <c r="AZ217" s="2291"/>
      <c r="BA217" s="2291"/>
      <c r="BB217" s="2291"/>
      <c r="BC217" s="2291"/>
      <c r="BD217" s="2292"/>
      <c r="BE217" s="1215"/>
    </row>
    <row r="218" spans="1:57" ht="15.75" customHeight="1">
      <c r="A218" s="1208"/>
      <c r="B218" s="2293" t="s">
        <v>2232</v>
      </c>
      <c r="C218" s="2294"/>
      <c r="D218" s="2294"/>
      <c r="E218" s="2294"/>
      <c r="F218" s="2294"/>
      <c r="G218" s="2294"/>
      <c r="H218" s="2294"/>
      <c r="I218" s="2294"/>
      <c r="J218" s="2294"/>
      <c r="K218" s="2294"/>
      <c r="L218" s="2294"/>
      <c r="M218" s="2294"/>
      <c r="N218" s="2294"/>
      <c r="O218" s="2294"/>
      <c r="P218" s="2294"/>
      <c r="Q218" s="2294"/>
      <c r="R218" s="2294"/>
      <c r="S218" s="2294"/>
      <c r="T218" s="2294"/>
      <c r="U218" s="2294"/>
      <c r="V218" s="2294"/>
      <c r="W218" s="2294"/>
      <c r="X218" s="2294"/>
      <c r="Y218" s="2294"/>
      <c r="Z218" s="2294"/>
      <c r="AA218" s="2294"/>
      <c r="AB218" s="2294"/>
      <c r="AC218" s="2294"/>
      <c r="AD218" s="2294"/>
      <c r="AE218" s="2294"/>
      <c r="AF218" s="2294"/>
      <c r="AG218" s="2294"/>
      <c r="AH218" s="2294"/>
      <c r="AI218" s="2294"/>
      <c r="AJ218" s="2294"/>
      <c r="AK218" s="2294"/>
      <c r="AL218" s="2294"/>
      <c r="AM218" s="2294"/>
      <c r="AN218" s="2294"/>
      <c r="AO218" s="2294"/>
      <c r="AP218" s="2294"/>
      <c r="AQ218" s="2294"/>
      <c r="AR218" s="2294"/>
      <c r="AS218" s="2294"/>
      <c r="AT218" s="2294"/>
      <c r="AU218" s="2294"/>
      <c r="AV218" s="2294"/>
      <c r="AW218" s="2294"/>
      <c r="AX218" s="2294"/>
      <c r="AY218" s="2294"/>
      <c r="AZ218" s="2294"/>
      <c r="BA218" s="2294"/>
      <c r="BB218" s="2294"/>
      <c r="BC218" s="2294"/>
      <c r="BD218" s="2295"/>
      <c r="BE218" s="1215"/>
    </row>
    <row r="219" spans="1:57" ht="15.75" customHeight="1">
      <c r="A219" s="1208"/>
      <c r="B219" s="2293" t="s">
        <v>2231</v>
      </c>
      <c r="C219" s="2294"/>
      <c r="D219" s="2294"/>
      <c r="E219" s="2294"/>
      <c r="F219" s="2294"/>
      <c r="G219" s="2294"/>
      <c r="H219" s="2294"/>
      <c r="I219" s="2294"/>
      <c r="J219" s="2294"/>
      <c r="K219" s="2294"/>
      <c r="L219" s="2294"/>
      <c r="M219" s="2294"/>
      <c r="N219" s="2294"/>
      <c r="O219" s="2294"/>
      <c r="P219" s="2294"/>
      <c r="Q219" s="2294"/>
      <c r="R219" s="2294"/>
      <c r="S219" s="2294"/>
      <c r="T219" s="2294"/>
      <c r="U219" s="2294"/>
      <c r="V219" s="2294"/>
      <c r="W219" s="2294"/>
      <c r="X219" s="2294"/>
      <c r="Y219" s="2294"/>
      <c r="Z219" s="2294"/>
      <c r="AA219" s="2294"/>
      <c r="AB219" s="2294"/>
      <c r="AC219" s="2294"/>
      <c r="AD219" s="2294"/>
      <c r="AE219" s="2294"/>
      <c r="AF219" s="2294"/>
      <c r="AG219" s="2294"/>
      <c r="AH219" s="2294"/>
      <c r="AI219" s="2294"/>
      <c r="AJ219" s="2294"/>
      <c r="AK219" s="2294"/>
      <c r="AL219" s="2294"/>
      <c r="AM219" s="2294"/>
      <c r="AN219" s="2294"/>
      <c r="AO219" s="2294"/>
      <c r="AP219" s="2294"/>
      <c r="AQ219" s="2294"/>
      <c r="AR219" s="2294"/>
      <c r="AS219" s="2294"/>
      <c r="AT219" s="2294"/>
      <c r="AU219" s="2294"/>
      <c r="AV219" s="2294"/>
      <c r="AW219" s="2294"/>
      <c r="AX219" s="2294"/>
      <c r="AY219" s="2294"/>
      <c r="AZ219" s="2294"/>
      <c r="BA219" s="2294"/>
      <c r="BB219" s="2294"/>
      <c r="BC219" s="2294"/>
      <c r="BD219" s="2295"/>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296" t="s">
        <v>2230</v>
      </c>
      <c r="C221" s="2186"/>
      <c r="D221" s="2186"/>
      <c r="E221" s="2186"/>
      <c r="F221" s="2186"/>
      <c r="G221" s="2186"/>
      <c r="H221" s="2186"/>
      <c r="I221" s="2186"/>
      <c r="J221" s="2186"/>
      <c r="K221" s="2186"/>
      <c r="L221" s="2186"/>
      <c r="M221" s="2186"/>
      <c r="N221" s="2186"/>
      <c r="O221" s="2186"/>
      <c r="P221" s="2186"/>
      <c r="Q221" s="2186"/>
      <c r="R221" s="2186"/>
      <c r="S221" s="2186"/>
      <c r="T221" s="2186"/>
      <c r="U221" s="2186"/>
      <c r="V221" s="2186"/>
      <c r="W221" s="2186"/>
      <c r="X221" s="2186"/>
      <c r="Y221" s="2186"/>
      <c r="Z221" s="2186"/>
      <c r="AA221" s="2186"/>
      <c r="AB221" s="2186"/>
      <c r="AC221" s="2186"/>
      <c r="AD221" s="2186"/>
      <c r="AE221" s="2186"/>
      <c r="AF221" s="2186"/>
      <c r="AG221" s="2186"/>
      <c r="AH221" s="2186"/>
      <c r="AI221" s="2186"/>
      <c r="AJ221" s="2186"/>
      <c r="AK221" s="2186"/>
      <c r="AL221" s="2186"/>
      <c r="AM221" s="2186"/>
      <c r="AN221" s="2186"/>
      <c r="AO221" s="2186"/>
      <c r="AP221" s="2186"/>
      <c r="AQ221" s="2186"/>
      <c r="AR221" s="2186"/>
      <c r="AS221" s="2186"/>
      <c r="AT221" s="2186"/>
      <c r="AU221" s="2186"/>
      <c r="AV221" s="2186"/>
      <c r="AW221" s="2186"/>
      <c r="AX221" s="2186"/>
      <c r="AY221" s="2186"/>
      <c r="AZ221" s="2186"/>
      <c r="BA221" s="2186"/>
      <c r="BB221" s="2186"/>
      <c r="BC221" s="2186"/>
      <c r="BD221" s="229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298" t="s">
        <v>2228</v>
      </c>
      <c r="I225" s="2298"/>
      <c r="J225" s="2298"/>
      <c r="K225" s="2298"/>
      <c r="L225" s="2298"/>
      <c r="M225" s="2298"/>
      <c r="N225" s="2298"/>
      <c r="O225" s="2298"/>
      <c r="P225" s="2298"/>
      <c r="Q225" s="2298"/>
      <c r="R225" s="2298"/>
      <c r="S225" s="2298"/>
      <c r="T225" s="2298"/>
      <c r="U225" s="2298"/>
      <c r="V225" s="2298"/>
      <c r="W225" s="2298"/>
      <c r="X225" s="2298"/>
      <c r="Y225" s="2298"/>
      <c r="Z225" s="2298"/>
      <c r="AA225" s="2298"/>
      <c r="AB225" s="2298"/>
      <c r="AC225" s="2298"/>
      <c r="AD225" s="2298"/>
      <c r="AE225" s="2298"/>
      <c r="AF225" s="2298"/>
      <c r="AG225" s="2298"/>
      <c r="AH225" s="2298"/>
      <c r="AI225" s="2298"/>
      <c r="AJ225" s="2298"/>
      <c r="AK225" s="2298"/>
      <c r="AL225" s="2298"/>
      <c r="AM225" s="2298"/>
      <c r="AN225" s="2298"/>
      <c r="AO225" s="2298"/>
      <c r="AP225" s="2298"/>
      <c r="AQ225" s="2298"/>
      <c r="AR225" s="2298"/>
      <c r="AS225" s="2298"/>
      <c r="AT225" s="2298"/>
      <c r="AU225" s="2298"/>
      <c r="AV225" s="2298"/>
      <c r="AW225" s="2298"/>
      <c r="AX225" s="2298"/>
      <c r="AY225" s="229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16" t="s">
        <v>2227</v>
      </c>
      <c r="I227" s="2316"/>
      <c r="J227" s="2316"/>
      <c r="K227" s="2316"/>
      <c r="L227" s="2316"/>
      <c r="M227" s="2316"/>
      <c r="N227" s="2316"/>
      <c r="O227" s="2316"/>
      <c r="P227" s="2316"/>
      <c r="Q227" s="2316"/>
      <c r="R227" s="2316"/>
      <c r="S227" s="2316"/>
      <c r="T227" s="2316"/>
      <c r="U227" s="2316"/>
      <c r="V227" s="2316"/>
      <c r="W227" s="2316"/>
      <c r="X227" s="2316"/>
      <c r="Y227" s="2316"/>
      <c r="Z227" s="2316"/>
      <c r="AA227" s="2316"/>
      <c r="AB227" s="2316"/>
      <c r="AC227" s="2316"/>
      <c r="AD227" s="2316"/>
      <c r="AE227" s="2316"/>
      <c r="AF227" s="2316"/>
      <c r="AG227" s="2316"/>
      <c r="AH227" s="2316"/>
      <c r="AI227" s="2316"/>
      <c r="AJ227" s="2316"/>
      <c r="AK227" s="2316"/>
      <c r="AL227" s="2316"/>
      <c r="AM227" s="2316"/>
      <c r="AN227" s="2316"/>
      <c r="AO227" s="2316"/>
      <c r="AP227" s="2316"/>
      <c r="AQ227" s="2316"/>
      <c r="AR227" s="2316"/>
      <c r="AS227" s="2316"/>
      <c r="AT227" s="2316"/>
      <c r="AU227" s="2316"/>
      <c r="AV227" s="2316"/>
      <c r="AW227" s="2316"/>
      <c r="AX227" s="2316"/>
      <c r="AY227" s="2316"/>
      <c r="AZ227" s="2316"/>
      <c r="BA227" s="1208"/>
      <c r="BB227" s="1208"/>
      <c r="BC227" s="1208"/>
      <c r="BD227" s="1215"/>
      <c r="BE227" s="1215"/>
    </row>
    <row r="228" spans="1:57" ht="15.75" customHeight="1">
      <c r="A228" s="1208"/>
      <c r="B228" s="1207"/>
      <c r="C228" s="1208"/>
      <c r="D228" s="1208"/>
      <c r="E228" s="1208"/>
      <c r="F228" s="1208"/>
      <c r="G228" s="1208"/>
      <c r="H228" s="2316"/>
      <c r="I228" s="2316"/>
      <c r="J228" s="2316"/>
      <c r="K228" s="2316"/>
      <c r="L228" s="2316"/>
      <c r="M228" s="2316"/>
      <c r="N228" s="2316"/>
      <c r="O228" s="2316"/>
      <c r="P228" s="2316"/>
      <c r="Q228" s="2316"/>
      <c r="R228" s="2316"/>
      <c r="S228" s="2316"/>
      <c r="T228" s="2316"/>
      <c r="U228" s="2316"/>
      <c r="V228" s="2316"/>
      <c r="W228" s="2316"/>
      <c r="X228" s="2316"/>
      <c r="Y228" s="2316"/>
      <c r="Z228" s="2316"/>
      <c r="AA228" s="2316"/>
      <c r="AB228" s="2316"/>
      <c r="AC228" s="2316"/>
      <c r="AD228" s="2316"/>
      <c r="AE228" s="2316"/>
      <c r="AF228" s="2316"/>
      <c r="AG228" s="2316"/>
      <c r="AH228" s="2316"/>
      <c r="AI228" s="2316"/>
      <c r="AJ228" s="2316"/>
      <c r="AK228" s="2316"/>
      <c r="AL228" s="2316"/>
      <c r="AM228" s="2316"/>
      <c r="AN228" s="2316"/>
      <c r="AO228" s="2316"/>
      <c r="AP228" s="2316"/>
      <c r="AQ228" s="2316"/>
      <c r="AR228" s="2316"/>
      <c r="AS228" s="2316"/>
      <c r="AT228" s="2316"/>
      <c r="AU228" s="2316"/>
      <c r="AV228" s="2316"/>
      <c r="AW228" s="2316"/>
      <c r="AX228" s="2316"/>
      <c r="AY228" s="2316"/>
      <c r="AZ228" s="2316"/>
      <c r="BA228" s="1208"/>
      <c r="BB228" s="1208"/>
      <c r="BC228" s="1208"/>
      <c r="BD228" s="1215"/>
      <c r="BE228" s="1215"/>
    </row>
    <row r="229" spans="1:57" ht="15.75" customHeight="1">
      <c r="A229" s="1208"/>
      <c r="B229" s="1207"/>
      <c r="C229" s="1208"/>
      <c r="D229" s="1208"/>
      <c r="E229" s="1208"/>
      <c r="F229" s="1208"/>
      <c r="G229" s="1208"/>
      <c r="H229" s="2316"/>
      <c r="I229" s="2316"/>
      <c r="J229" s="2316"/>
      <c r="K229" s="2316"/>
      <c r="L229" s="2316"/>
      <c r="M229" s="2316"/>
      <c r="N229" s="2316"/>
      <c r="O229" s="2316"/>
      <c r="P229" s="2316"/>
      <c r="Q229" s="2316"/>
      <c r="R229" s="2316"/>
      <c r="S229" s="2316"/>
      <c r="T229" s="2316"/>
      <c r="U229" s="2316"/>
      <c r="V229" s="2316"/>
      <c r="W229" s="2316"/>
      <c r="X229" s="2316"/>
      <c r="Y229" s="2316"/>
      <c r="Z229" s="2316"/>
      <c r="AA229" s="2316"/>
      <c r="AB229" s="2316"/>
      <c r="AC229" s="2316"/>
      <c r="AD229" s="2316"/>
      <c r="AE229" s="2316"/>
      <c r="AF229" s="2316"/>
      <c r="AG229" s="2316"/>
      <c r="AH229" s="2316"/>
      <c r="AI229" s="2316"/>
      <c r="AJ229" s="2316"/>
      <c r="AK229" s="2316"/>
      <c r="AL229" s="2316"/>
      <c r="AM229" s="2316"/>
      <c r="AN229" s="2316"/>
      <c r="AO229" s="2316"/>
      <c r="AP229" s="2316"/>
      <c r="AQ229" s="2316"/>
      <c r="AR229" s="2316"/>
      <c r="AS229" s="2316"/>
      <c r="AT229" s="2316"/>
      <c r="AU229" s="2316"/>
      <c r="AV229" s="2316"/>
      <c r="AW229" s="2316"/>
      <c r="AX229" s="2316"/>
      <c r="AY229" s="2316"/>
      <c r="AZ229" s="2316"/>
      <c r="BA229" s="1208"/>
      <c r="BB229" s="1208"/>
      <c r="BC229" s="1208"/>
      <c r="BD229" s="1215"/>
      <c r="BE229" s="1215"/>
    </row>
    <row r="230" spans="1:57" ht="15.75" customHeight="1">
      <c r="A230" s="1208"/>
      <c r="B230" s="1207"/>
      <c r="C230" s="1208"/>
      <c r="D230" s="1208"/>
      <c r="E230" s="1208"/>
      <c r="F230" s="1208"/>
      <c r="G230" s="1208"/>
      <c r="H230" s="2316"/>
      <c r="I230" s="2316"/>
      <c r="J230" s="2316"/>
      <c r="K230" s="2316"/>
      <c r="L230" s="2316"/>
      <c r="M230" s="2316"/>
      <c r="N230" s="2316"/>
      <c r="O230" s="2316"/>
      <c r="P230" s="2316"/>
      <c r="Q230" s="2316"/>
      <c r="R230" s="2316"/>
      <c r="S230" s="2316"/>
      <c r="T230" s="2316"/>
      <c r="U230" s="2316"/>
      <c r="V230" s="2316"/>
      <c r="W230" s="2316"/>
      <c r="X230" s="2316"/>
      <c r="Y230" s="2316"/>
      <c r="Z230" s="2316"/>
      <c r="AA230" s="2316"/>
      <c r="AB230" s="2316"/>
      <c r="AC230" s="2316"/>
      <c r="AD230" s="2316"/>
      <c r="AE230" s="2316"/>
      <c r="AF230" s="2316"/>
      <c r="AG230" s="2316"/>
      <c r="AH230" s="2316"/>
      <c r="AI230" s="2316"/>
      <c r="AJ230" s="2316"/>
      <c r="AK230" s="2316"/>
      <c r="AL230" s="2316"/>
      <c r="AM230" s="2316"/>
      <c r="AN230" s="2316"/>
      <c r="AO230" s="2316"/>
      <c r="AP230" s="2316"/>
      <c r="AQ230" s="2316"/>
      <c r="AR230" s="2316"/>
      <c r="AS230" s="2316"/>
      <c r="AT230" s="2316"/>
      <c r="AU230" s="2316"/>
      <c r="AV230" s="2316"/>
      <c r="AW230" s="2316"/>
      <c r="AX230" s="2316"/>
      <c r="AY230" s="2316"/>
      <c r="AZ230" s="2316"/>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17" t="s">
        <v>2226</v>
      </c>
      <c r="I232" s="2317"/>
      <c r="J232" s="2317"/>
      <c r="K232" s="2317"/>
      <c r="L232" s="2317"/>
      <c r="M232" s="2317"/>
      <c r="N232" s="2317"/>
      <c r="O232" s="2317"/>
      <c r="P232" s="2317"/>
      <c r="Q232" s="2317"/>
      <c r="R232" s="2317"/>
      <c r="S232" s="2317"/>
      <c r="T232" s="2317"/>
      <c r="U232" s="2317"/>
      <c r="V232" s="2317"/>
      <c r="W232" s="2317"/>
      <c r="X232" s="2317"/>
      <c r="Y232" s="2317"/>
      <c r="Z232" s="2317"/>
      <c r="AA232" s="2317"/>
      <c r="AB232" s="2317"/>
      <c r="AC232" s="2317"/>
      <c r="AD232" s="2317"/>
      <c r="AE232" s="2317"/>
      <c r="AF232" s="2317"/>
      <c r="AG232" s="2317"/>
      <c r="AH232" s="2317"/>
      <c r="AI232" s="2317"/>
      <c r="AJ232" s="2317"/>
      <c r="AK232" s="2317"/>
      <c r="AL232" s="2317"/>
      <c r="AM232" s="2317"/>
      <c r="AN232" s="2317"/>
      <c r="AO232" s="2317"/>
      <c r="AP232" s="2317"/>
      <c r="AQ232" s="2317"/>
      <c r="AR232" s="2317"/>
      <c r="AS232" s="2317"/>
      <c r="AT232" s="2317"/>
      <c r="AU232" s="2317"/>
      <c r="AV232" s="2317"/>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07" t="s">
        <v>2225</v>
      </c>
      <c r="I234" s="2307"/>
      <c r="J234" s="2307"/>
      <c r="K234" s="2307"/>
      <c r="L234" s="1259"/>
      <c r="M234" s="1259"/>
      <c r="N234" s="1259"/>
      <c r="O234" s="1259"/>
      <c r="P234" s="1259"/>
      <c r="Q234" s="1259"/>
      <c r="R234" s="1259"/>
      <c r="S234" s="2318"/>
      <c r="T234" s="2319"/>
      <c r="U234" s="2319"/>
      <c r="V234" s="2319"/>
      <c r="W234" s="2319"/>
      <c r="X234" s="2319"/>
      <c r="Y234" s="2319"/>
      <c r="Z234" s="2319"/>
      <c r="AA234" s="2319"/>
      <c r="AB234" s="2319"/>
      <c r="AC234" s="2319"/>
      <c r="AD234" s="2319"/>
      <c r="AE234" s="2319"/>
      <c r="AF234" s="2319"/>
      <c r="AG234" s="2319"/>
      <c r="AH234" s="2319"/>
      <c r="AI234" s="2319"/>
      <c r="AJ234" s="2320"/>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07" t="s">
        <v>2224</v>
      </c>
      <c r="I236" s="2307"/>
      <c r="J236" s="2307"/>
      <c r="K236" s="1261"/>
      <c r="L236" s="1259"/>
      <c r="M236" s="1259"/>
      <c r="N236" s="1259"/>
      <c r="O236" s="1259"/>
      <c r="P236" s="1259"/>
      <c r="Q236" s="1259"/>
      <c r="R236" s="1259"/>
      <c r="S236" s="2308"/>
      <c r="T236" s="2309"/>
      <c r="U236" s="2309"/>
      <c r="V236" s="2309"/>
      <c r="W236" s="2309"/>
      <c r="X236" s="2309"/>
      <c r="Y236" s="2309"/>
      <c r="Z236" s="2309"/>
      <c r="AA236" s="2309"/>
      <c r="AB236" s="2309"/>
      <c r="AC236" s="2309"/>
      <c r="AD236" s="2309"/>
      <c r="AE236" s="2309"/>
      <c r="AF236" s="2309"/>
      <c r="AG236" s="2309"/>
      <c r="AH236" s="2309"/>
      <c r="AI236" s="2309"/>
      <c r="AJ236" s="2310"/>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07" t="s">
        <v>440</v>
      </c>
      <c r="I238" s="2307"/>
      <c r="J238" s="1261"/>
      <c r="K238" s="1261"/>
      <c r="L238" s="1259"/>
      <c r="M238" s="1259"/>
      <c r="N238" s="1259"/>
      <c r="O238" s="1259"/>
      <c r="P238" s="1259"/>
      <c r="Q238" s="1259"/>
      <c r="R238" s="1259"/>
      <c r="S238" s="2308"/>
      <c r="T238" s="2309"/>
      <c r="U238" s="2309"/>
      <c r="V238" s="2309"/>
      <c r="W238" s="2309"/>
      <c r="X238" s="2309"/>
      <c r="Y238" s="2309"/>
      <c r="Z238" s="2309"/>
      <c r="AA238" s="2309"/>
      <c r="AB238" s="2309"/>
      <c r="AC238" s="2309"/>
      <c r="AD238" s="2309"/>
      <c r="AE238" s="2309"/>
      <c r="AF238" s="2309"/>
      <c r="AG238" s="2309"/>
      <c r="AH238" s="2309"/>
      <c r="AI238" s="2309"/>
      <c r="AJ238" s="2310"/>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1" t="s">
        <v>2223</v>
      </c>
      <c r="I240" s="2311"/>
      <c r="J240" s="2311"/>
      <c r="K240" s="2311"/>
      <c r="L240" s="2311"/>
      <c r="M240" s="2311"/>
      <c r="N240" s="2311"/>
      <c r="O240" s="2311"/>
      <c r="P240" s="1259"/>
      <c r="Q240" s="1259"/>
      <c r="R240" s="1259"/>
      <c r="S240" s="2308"/>
      <c r="T240" s="2309"/>
      <c r="U240" s="2309"/>
      <c r="V240" s="2309"/>
      <c r="W240" s="2309"/>
      <c r="X240" s="2309"/>
      <c r="Y240" s="2309"/>
      <c r="Z240" s="2309"/>
      <c r="AA240" s="2309"/>
      <c r="AB240" s="2309"/>
      <c r="AC240" s="2309"/>
      <c r="AD240" s="2309"/>
      <c r="AE240" s="2309"/>
      <c r="AF240" s="2309"/>
      <c r="AG240" s="2309"/>
      <c r="AH240" s="2309"/>
      <c r="AI240" s="2309"/>
      <c r="AJ240" s="2310"/>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2" t="s">
        <v>2222</v>
      </c>
      <c r="I242" s="2312"/>
      <c r="J242" s="1259"/>
      <c r="K242" s="1259"/>
      <c r="L242" s="1259"/>
      <c r="M242" s="1259"/>
      <c r="N242" s="1259"/>
      <c r="O242" s="1259"/>
      <c r="P242" s="1259"/>
      <c r="Q242" s="1259"/>
      <c r="R242" s="1259"/>
      <c r="S242" s="2313"/>
      <c r="T242" s="2314"/>
      <c r="U242" s="2314"/>
      <c r="V242" s="2314"/>
      <c r="W242" s="2314"/>
      <c r="X242" s="2314"/>
      <c r="Y242" s="2314"/>
      <c r="Z242" s="2314"/>
      <c r="AA242" s="2314"/>
      <c r="AB242" s="2314"/>
      <c r="AC242" s="2314"/>
      <c r="AD242" s="2314"/>
      <c r="AE242" s="2314"/>
      <c r="AF242" s="2314"/>
      <c r="AG242" s="2314"/>
      <c r="AH242" s="2314"/>
      <c r="AI242" s="2314"/>
      <c r="AJ242" s="2315"/>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75" zoomScale="120" zoomScaleNormal="120" workbookViewId="0">
      <selection activeCell="AB50" sqref="AB50:AF50"/>
    </sheetView>
  </sheetViews>
  <sheetFormatPr defaultColWidth="0" defaultRowHeight="13" customHeight="1" zero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68" t="s">
        <v>1279</v>
      </c>
      <c r="B1" s="2368"/>
      <c r="C1" s="2368"/>
      <c r="D1" s="2368"/>
      <c r="E1" s="2368"/>
      <c r="F1" s="2368"/>
      <c r="G1" s="2368"/>
      <c r="H1" s="2368"/>
      <c r="I1" s="2368"/>
      <c r="J1" s="2368"/>
      <c r="K1" s="2368"/>
      <c r="L1" s="2368"/>
      <c r="M1" s="2368"/>
      <c r="N1" s="2368"/>
      <c r="O1" s="2368"/>
      <c r="P1" s="2368"/>
      <c r="Q1" s="2368"/>
      <c r="R1" s="2368"/>
      <c r="S1" s="2368"/>
      <c r="T1" s="2368"/>
      <c r="U1" s="2368"/>
      <c r="V1" s="2368"/>
      <c r="W1" s="2368"/>
      <c r="X1" s="2368"/>
      <c r="Y1" s="2368"/>
      <c r="Z1" s="2368"/>
      <c r="AA1" s="2368"/>
      <c r="AB1" s="2368"/>
      <c r="AC1" s="2368"/>
      <c r="AD1" s="2368"/>
      <c r="AE1" s="2368"/>
      <c r="AF1" s="2368"/>
      <c r="AG1" s="2368"/>
      <c r="AH1" s="2368"/>
      <c r="AI1" s="2368"/>
      <c r="AJ1" s="2368"/>
      <c r="AK1" s="2368"/>
      <c r="AL1" s="2368"/>
      <c r="AM1" s="2368"/>
      <c r="AN1" s="2368"/>
    </row>
    <row r="2" spans="1:40" ht="13" customHeight="1" thickBot="1">
      <c r="A2" s="2369"/>
      <c r="B2" s="2369"/>
      <c r="C2" s="2369"/>
      <c r="D2" s="2369"/>
      <c r="E2" s="2369"/>
      <c r="F2" s="2369"/>
      <c r="G2" s="2369"/>
      <c r="H2" s="2369"/>
      <c r="I2" s="2369"/>
      <c r="J2" s="2369"/>
      <c r="K2" s="2369"/>
      <c r="L2" s="2369"/>
      <c r="M2" s="2369"/>
      <c r="N2" s="2369"/>
      <c r="O2" s="2369"/>
      <c r="P2" s="2369"/>
      <c r="Q2" s="2369"/>
      <c r="R2" s="2369"/>
      <c r="S2" s="2369"/>
      <c r="T2" s="2369"/>
      <c r="U2" s="2369"/>
      <c r="V2" s="2369"/>
      <c r="W2" s="2369"/>
      <c r="X2" s="2369"/>
      <c r="Y2" s="2369"/>
      <c r="Z2" s="2369"/>
      <c r="AA2" s="2369"/>
      <c r="AB2" s="2369"/>
      <c r="AC2" s="2369"/>
      <c r="AD2" s="2369"/>
      <c r="AE2" s="2369"/>
      <c r="AF2" s="2369"/>
      <c r="AG2" s="2369"/>
      <c r="AH2" s="2369"/>
      <c r="AI2" s="2369"/>
      <c r="AJ2" s="2369"/>
      <c r="AK2" s="2369"/>
      <c r="AL2" s="2369"/>
      <c r="AM2" s="2369"/>
      <c r="AN2" s="2369"/>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48" t="str">
        <f xml:space="preserve"> IF(T25=100%,'Sources and Basis Breakdown'!G2,'Sources and Basis Breakdown'!F2)</f>
        <v>30% PVC for New Const/
Rehabilitation
DDA/QCT
Building(s)</v>
      </c>
      <c r="U7" s="2348"/>
      <c r="V7" s="2348"/>
      <c r="W7" s="2348"/>
      <c r="X7" s="2348"/>
      <c r="Y7" s="2348" t="str">
        <f>IF(T25=100%,"",'Sources and Basis Breakdown'!G2)</f>
        <v>30% PVC for New Const/
Rehabilitation
NON-DDA/
NON-QCT Building(s)</v>
      </c>
      <c r="Z7" s="2348"/>
      <c r="AA7" s="2348"/>
      <c r="AB7" s="2348"/>
      <c r="AC7" s="2348"/>
      <c r="AD7" s="2348" t="str">
        <f xml:space="preserve"> IF(T25=100%, 'Sources and Basis Breakdown'!J2,'Sources and Basis Breakdown'!I2)</f>
        <v>30% PVC for Acquisition
DDA/QCT Building(s)</v>
      </c>
      <c r="AE7" s="2348"/>
      <c r="AF7" s="2348"/>
      <c r="AG7" s="2348"/>
      <c r="AH7" s="2348"/>
      <c r="AI7" s="2348" t="str">
        <f>IF(T25=100%,"",'Sources and Basis Breakdown'!J2)</f>
        <v>30% PVC for Acquisition
NON-DDA/
NON-QCT Building(s)</v>
      </c>
      <c r="AJ7" s="2348"/>
      <c r="AK7" s="2348"/>
      <c r="AL7" s="2348"/>
      <c r="AM7" s="2348"/>
    </row>
    <row r="8" spans="1:40" ht="13" customHeight="1">
      <c r="B8" s="407"/>
      <c r="T8" s="2348"/>
      <c r="U8" s="2348"/>
      <c r="V8" s="2348"/>
      <c r="W8" s="2348"/>
      <c r="X8" s="2348"/>
      <c r="Y8" s="2348"/>
      <c r="Z8" s="2348"/>
      <c r="AA8" s="2348"/>
      <c r="AB8" s="2348"/>
      <c r="AC8" s="2348"/>
      <c r="AD8" s="2348"/>
      <c r="AE8" s="2348"/>
      <c r="AF8" s="2348"/>
      <c r="AG8" s="2348"/>
      <c r="AH8" s="2348"/>
      <c r="AI8" s="2348"/>
      <c r="AJ8" s="2348"/>
      <c r="AK8" s="2348"/>
      <c r="AL8" s="2348"/>
      <c r="AM8" s="2348"/>
    </row>
    <row r="9" spans="1:40" ht="13" customHeight="1">
      <c r="B9" s="407"/>
      <c r="T9" s="2348"/>
      <c r="U9" s="2348"/>
      <c r="V9" s="2348"/>
      <c r="W9" s="2348"/>
      <c r="X9" s="2348"/>
      <c r="Y9" s="2348"/>
      <c r="Z9" s="2348"/>
      <c r="AA9" s="2348"/>
      <c r="AB9" s="2348"/>
      <c r="AC9" s="2348"/>
      <c r="AD9" s="2348"/>
      <c r="AE9" s="2348"/>
      <c r="AF9" s="2348"/>
      <c r="AG9" s="2348"/>
      <c r="AH9" s="2348"/>
      <c r="AI9" s="2348"/>
      <c r="AJ9" s="2348"/>
      <c r="AK9" s="2348"/>
      <c r="AL9" s="2348"/>
      <c r="AM9" s="2348"/>
    </row>
    <row r="10" spans="1:40" ht="13" customHeight="1">
      <c r="B10" s="408"/>
      <c r="C10" s="409"/>
      <c r="D10" s="409"/>
      <c r="E10" s="409"/>
      <c r="F10" s="409"/>
      <c r="G10" s="409"/>
      <c r="H10" s="409"/>
      <c r="I10" s="409"/>
      <c r="J10" s="409"/>
      <c r="K10" s="409"/>
      <c r="L10" s="409"/>
      <c r="M10" s="409"/>
      <c r="N10" s="409"/>
      <c r="O10" s="409"/>
      <c r="P10" s="409"/>
      <c r="Q10" s="409"/>
      <c r="R10" s="409"/>
      <c r="S10" s="409"/>
      <c r="T10" s="2348"/>
      <c r="U10" s="2348"/>
      <c r="V10" s="2348"/>
      <c r="W10" s="2348"/>
      <c r="X10" s="2348"/>
      <c r="Y10" s="2348"/>
      <c r="Z10" s="2348"/>
      <c r="AA10" s="2348"/>
      <c r="AB10" s="2348"/>
      <c r="AC10" s="2348"/>
      <c r="AD10" s="2348"/>
      <c r="AE10" s="2348"/>
      <c r="AF10" s="2348"/>
      <c r="AG10" s="2348"/>
      <c r="AH10" s="2348"/>
      <c r="AI10" s="2348"/>
      <c r="AJ10" s="2348"/>
      <c r="AK10" s="2348"/>
      <c r="AL10" s="2348"/>
      <c r="AM10" s="2348"/>
    </row>
    <row r="11" spans="1:40" ht="13" customHeight="1">
      <c r="B11" s="2334" t="s">
        <v>374</v>
      </c>
      <c r="C11" s="2335"/>
      <c r="D11" s="2335"/>
      <c r="E11" s="2335"/>
      <c r="F11" s="2335"/>
      <c r="G11" s="2335"/>
      <c r="H11" s="2335"/>
      <c r="I11" s="2335"/>
      <c r="J11" s="2335"/>
      <c r="K11" s="2335"/>
      <c r="L11" s="2335"/>
      <c r="M11" s="2335"/>
      <c r="N11" s="2335"/>
      <c r="O11" s="2335"/>
      <c r="P11" s="2335"/>
      <c r="Q11" s="2335"/>
      <c r="R11" s="2335"/>
      <c r="S11" s="2336"/>
      <c r="T11" s="2370">
        <f>IF('Sources and Basis Breakdown'!F107=0,'Sources and Basis Breakdown'!E107,'Sources and Basis Breakdown'!F107)</f>
        <v>17467660</v>
      </c>
      <c r="U11" s="2371"/>
      <c r="V11" s="2371"/>
      <c r="W11" s="2371"/>
      <c r="X11" s="2371"/>
      <c r="Y11" s="2370">
        <f>IF(Y7="",0,IF('Sources and Basis Breakdown'!G107+'Sources and Basis Breakdown'!F107='Sources and Basis Breakdown'!E107,'Sources and Basis Breakdown'!G107,0))</f>
        <v>0</v>
      </c>
      <c r="Z11" s="2371"/>
      <c r="AA11" s="2371"/>
      <c r="AB11" s="2371"/>
      <c r="AC11" s="2371"/>
      <c r="AD11" s="2371">
        <f>IF('Sources and Basis Breakdown'!I107=0,'Sources and Basis Breakdown'!H107,'Sources and Basis Breakdown'!I107)</f>
        <v>10415570</v>
      </c>
      <c r="AE11" s="2371"/>
      <c r="AF11" s="2371"/>
      <c r="AG11" s="2371"/>
      <c r="AH11" s="2371"/>
      <c r="AI11" s="2371">
        <f>IF(Y7="",0,IF('Sources and Basis Breakdown'!I107+'Sources and Basis Breakdown'!J107='Sources and Basis Breakdown'!H107,'Sources and Basis Breakdown'!J107,0))</f>
        <v>0</v>
      </c>
      <c r="AJ11" s="2371"/>
      <c r="AK11" s="2371"/>
      <c r="AL11" s="2371"/>
      <c r="AM11" s="2371"/>
    </row>
    <row r="12" spans="1:40" ht="13" customHeight="1">
      <c r="B12" s="2372" t="s">
        <v>496</v>
      </c>
      <c r="C12" s="1307"/>
      <c r="D12" s="1307"/>
      <c r="E12" s="1307"/>
      <c r="F12" s="1307"/>
      <c r="G12" s="1307"/>
      <c r="H12" s="1307"/>
      <c r="I12" s="1307"/>
      <c r="J12" s="1307"/>
      <c r="K12" s="1307"/>
      <c r="L12" s="1307"/>
      <c r="M12" s="1307"/>
      <c r="N12" s="1307"/>
      <c r="O12" s="1307"/>
      <c r="P12" s="1307"/>
      <c r="Q12" s="1307"/>
      <c r="R12" s="1307"/>
      <c r="S12" s="2373"/>
      <c r="T12" s="2363"/>
      <c r="U12" s="2364"/>
      <c r="V12" s="2364"/>
      <c r="W12" s="2364"/>
      <c r="X12" s="2365"/>
      <c r="Y12" s="2363"/>
      <c r="Z12" s="2364"/>
      <c r="AA12" s="2364"/>
      <c r="AB12" s="2364"/>
      <c r="AC12" s="2365"/>
      <c r="AD12" s="2363"/>
      <c r="AE12" s="2364"/>
      <c r="AF12" s="2364"/>
      <c r="AG12" s="2364"/>
      <c r="AH12" s="2365"/>
      <c r="AI12" s="2363"/>
      <c r="AJ12" s="2364"/>
      <c r="AK12" s="2364"/>
      <c r="AL12" s="2364"/>
      <c r="AM12" s="2365"/>
    </row>
    <row r="13" spans="1:40" ht="13" customHeight="1">
      <c r="B13" s="435"/>
      <c r="C13" s="2374" t="s">
        <v>497</v>
      </c>
      <c r="D13" s="2374"/>
      <c r="E13" s="2374"/>
      <c r="F13" s="2374"/>
      <c r="G13" s="2374"/>
      <c r="H13" s="2374"/>
      <c r="I13" s="2374"/>
      <c r="J13" s="2374"/>
      <c r="K13" s="2374"/>
      <c r="L13" s="2374"/>
      <c r="M13" s="2374"/>
      <c r="N13" s="2374"/>
      <c r="O13" s="2374"/>
      <c r="P13" s="2374"/>
      <c r="Q13" s="2374"/>
      <c r="R13" s="2374"/>
      <c r="S13" s="2375"/>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3" customHeight="1">
      <c r="B14" s="435"/>
      <c r="C14" s="2374" t="s">
        <v>498</v>
      </c>
      <c r="D14" s="2374"/>
      <c r="E14" s="2374"/>
      <c r="F14" s="2374"/>
      <c r="G14" s="2374"/>
      <c r="H14" s="2374"/>
      <c r="I14" s="2374"/>
      <c r="J14" s="2374"/>
      <c r="K14" s="2374"/>
      <c r="L14" s="2374"/>
      <c r="M14" s="2374"/>
      <c r="N14" s="2374"/>
      <c r="O14" s="2374"/>
      <c r="P14" s="2374"/>
      <c r="Q14" s="2374"/>
      <c r="R14" s="2374"/>
      <c r="S14" s="2375"/>
      <c r="T14" s="2356"/>
      <c r="U14" s="2357"/>
      <c r="V14" s="2357"/>
      <c r="W14" s="2357"/>
      <c r="X14" s="2357"/>
      <c r="Y14" s="2356"/>
      <c r="Z14" s="2357"/>
      <c r="AA14" s="2357"/>
      <c r="AB14" s="2357"/>
      <c r="AC14" s="2357"/>
      <c r="AD14" s="2357"/>
      <c r="AE14" s="2357"/>
      <c r="AF14" s="2357"/>
      <c r="AG14" s="2357"/>
      <c r="AH14" s="2357"/>
      <c r="AI14" s="2357"/>
      <c r="AJ14" s="2357"/>
      <c r="AK14" s="2357"/>
      <c r="AL14" s="2357"/>
      <c r="AM14" s="2357"/>
    </row>
    <row r="15" spans="1:40" ht="13" customHeight="1">
      <c r="B15" s="435"/>
      <c r="C15" s="2374" t="s">
        <v>499</v>
      </c>
      <c r="D15" s="2374"/>
      <c r="E15" s="2374"/>
      <c r="F15" s="2374"/>
      <c r="G15" s="2374"/>
      <c r="H15" s="2374"/>
      <c r="I15" s="2374"/>
      <c r="J15" s="2374"/>
      <c r="K15" s="2374"/>
      <c r="L15" s="2374"/>
      <c r="M15" s="2374"/>
      <c r="N15" s="2374"/>
      <c r="O15" s="2374"/>
      <c r="P15" s="2374"/>
      <c r="Q15" s="2374"/>
      <c r="R15" s="2374"/>
      <c r="S15" s="2375"/>
      <c r="T15" s="2356"/>
      <c r="U15" s="2357"/>
      <c r="V15" s="2357"/>
      <c r="W15" s="2357"/>
      <c r="X15" s="2357"/>
      <c r="Y15" s="2356"/>
      <c r="Z15" s="2357"/>
      <c r="AA15" s="2357"/>
      <c r="AB15" s="2357"/>
      <c r="AC15" s="2357"/>
      <c r="AD15" s="2357"/>
      <c r="AE15" s="2357"/>
      <c r="AF15" s="2357"/>
      <c r="AG15" s="2357"/>
      <c r="AH15" s="2357"/>
      <c r="AI15" s="2357"/>
      <c r="AJ15" s="2357"/>
      <c r="AK15" s="2357"/>
      <c r="AL15" s="2357"/>
      <c r="AM15" s="2357"/>
    </row>
    <row r="16" spans="1:40" ht="13" customHeight="1">
      <c r="B16" s="435"/>
      <c r="C16" s="2374" t="s">
        <v>804</v>
      </c>
      <c r="D16" s="2374"/>
      <c r="E16" s="2374"/>
      <c r="F16" s="2374"/>
      <c r="G16" s="2374"/>
      <c r="H16" s="2374"/>
      <c r="I16" s="2374"/>
      <c r="J16" s="2374"/>
      <c r="K16" s="2374"/>
      <c r="L16" s="2374"/>
      <c r="M16" s="2374"/>
      <c r="N16" s="2374"/>
      <c r="O16" s="2374"/>
      <c r="P16" s="2374"/>
      <c r="Q16" s="2374"/>
      <c r="R16" s="2374"/>
      <c r="S16" s="2375"/>
      <c r="T16" s="2356"/>
      <c r="U16" s="2357"/>
      <c r="V16" s="2357"/>
      <c r="W16" s="2357"/>
      <c r="X16" s="2357"/>
      <c r="Y16" s="2356"/>
      <c r="Z16" s="2357"/>
      <c r="AA16" s="2357"/>
      <c r="AB16" s="2357"/>
      <c r="AC16" s="2357"/>
      <c r="AD16" s="2357"/>
      <c r="AE16" s="2357"/>
      <c r="AF16" s="2357"/>
      <c r="AG16" s="2357"/>
      <c r="AH16" s="2357"/>
      <c r="AI16" s="2357"/>
      <c r="AJ16" s="2357"/>
      <c r="AK16" s="2357"/>
      <c r="AL16" s="2357"/>
      <c r="AM16" s="2357"/>
    </row>
    <row r="17" spans="1:40" ht="13" customHeight="1">
      <c r="B17" s="435"/>
      <c r="C17" s="2374" t="s">
        <v>500</v>
      </c>
      <c r="D17" s="2374"/>
      <c r="E17" s="2374"/>
      <c r="F17" s="2374"/>
      <c r="G17" s="2374"/>
      <c r="H17" s="2374"/>
      <c r="I17" s="2374"/>
      <c r="J17" s="2374"/>
      <c r="K17" s="2374"/>
      <c r="L17" s="2374"/>
      <c r="M17" s="2374"/>
      <c r="N17" s="2374"/>
      <c r="O17" s="2374"/>
      <c r="P17" s="2374"/>
      <c r="Q17" s="2374"/>
      <c r="R17" s="2374"/>
      <c r="S17" s="2375"/>
      <c r="T17" s="2356"/>
      <c r="U17" s="2357"/>
      <c r="V17" s="2357"/>
      <c r="W17" s="2357"/>
      <c r="X17" s="2357"/>
      <c r="Y17" s="2356"/>
      <c r="Z17" s="2357"/>
      <c r="AA17" s="2357"/>
      <c r="AB17" s="2357"/>
      <c r="AC17" s="2357"/>
      <c r="AD17" s="2357"/>
      <c r="AE17" s="2357"/>
      <c r="AF17" s="2357"/>
      <c r="AG17" s="2357"/>
      <c r="AH17" s="2357"/>
      <c r="AI17" s="2357"/>
      <c r="AJ17" s="2357"/>
      <c r="AK17" s="2357"/>
      <c r="AL17" s="2357"/>
      <c r="AM17" s="2357"/>
    </row>
    <row r="18" spans="1:40" ht="13" customHeight="1">
      <c r="A18"/>
      <c r="B18" s="1144"/>
      <c r="C18" s="1598" t="s">
        <v>959</v>
      </c>
      <c r="D18" s="1598"/>
      <c r="E18" s="1598"/>
      <c r="F18" s="1598"/>
      <c r="G18" s="1598"/>
      <c r="H18" s="1598"/>
      <c r="I18" s="1598"/>
      <c r="J18" s="1598"/>
      <c r="K18" s="1598"/>
      <c r="L18" s="1598"/>
      <c r="M18" s="1598"/>
      <c r="N18" s="1598"/>
      <c r="O18" s="1598"/>
      <c r="P18" s="1598"/>
      <c r="Q18" s="1598"/>
      <c r="R18" s="1598"/>
      <c r="S18" s="1599"/>
      <c r="T18" s="2356"/>
      <c r="U18" s="2357"/>
      <c r="V18" s="2357"/>
      <c r="W18" s="2357"/>
      <c r="X18" s="2357"/>
      <c r="Y18" s="2356"/>
      <c r="Z18" s="2357"/>
      <c r="AA18" s="2357"/>
      <c r="AB18" s="2357"/>
      <c r="AC18" s="2357"/>
      <c r="AD18" s="2357"/>
      <c r="AE18" s="2357"/>
      <c r="AF18" s="2357"/>
      <c r="AG18" s="2357"/>
      <c r="AH18" s="2357"/>
      <c r="AI18" s="2357"/>
      <c r="AJ18" s="2357"/>
      <c r="AK18" s="2357"/>
      <c r="AL18" s="2357"/>
      <c r="AM18" s="2357"/>
    </row>
    <row r="19" spans="1:40" ht="13" customHeight="1">
      <c r="B19" s="1144"/>
      <c r="C19" s="1598" t="s">
        <v>959</v>
      </c>
      <c r="D19" s="1598"/>
      <c r="E19" s="1598"/>
      <c r="F19" s="1598"/>
      <c r="G19" s="1598"/>
      <c r="H19" s="1598"/>
      <c r="I19" s="1598"/>
      <c r="J19" s="1598"/>
      <c r="K19" s="1598"/>
      <c r="L19" s="1598"/>
      <c r="M19" s="1598"/>
      <c r="N19" s="1598"/>
      <c r="O19" s="1598"/>
      <c r="P19" s="1598"/>
      <c r="Q19" s="1598"/>
      <c r="R19" s="1598"/>
      <c r="S19" s="1599"/>
      <c r="T19" s="2356"/>
      <c r="U19" s="2357"/>
      <c r="V19" s="2357"/>
      <c r="W19" s="2357"/>
      <c r="X19" s="2357"/>
      <c r="Y19" s="2356"/>
      <c r="Z19" s="2357"/>
      <c r="AA19" s="2357"/>
      <c r="AB19" s="2357"/>
      <c r="AC19" s="2357"/>
      <c r="AD19" s="2357"/>
      <c r="AE19" s="2357"/>
      <c r="AF19" s="2357"/>
      <c r="AG19" s="2357"/>
      <c r="AH19" s="2357"/>
      <c r="AI19" s="2357"/>
      <c r="AJ19" s="2357"/>
      <c r="AK19" s="2357"/>
      <c r="AL19" s="2357"/>
      <c r="AM19" s="2357"/>
    </row>
    <row r="20" spans="1:40" ht="13" customHeight="1">
      <c r="B20" s="2334" t="s">
        <v>501</v>
      </c>
      <c r="C20" s="2335"/>
      <c r="D20" s="2335"/>
      <c r="E20" s="2335"/>
      <c r="F20" s="2335"/>
      <c r="G20" s="2335"/>
      <c r="H20" s="2335"/>
      <c r="I20" s="2335"/>
      <c r="J20" s="2335"/>
      <c r="K20" s="2335"/>
      <c r="L20" s="2335"/>
      <c r="M20" s="2335"/>
      <c r="N20" s="2335"/>
      <c r="O20" s="2335"/>
      <c r="P20" s="2335"/>
      <c r="Q20" s="2335"/>
      <c r="R20" s="2335"/>
      <c r="S20" s="2336"/>
      <c r="T20" s="2347">
        <f>SUM(T13:X19)</f>
        <v>0</v>
      </c>
      <c r="U20" s="2328"/>
      <c r="V20" s="2328"/>
      <c r="W20" s="2328"/>
      <c r="X20" s="2328"/>
      <c r="Y20" s="2347">
        <f>SUM(Y13:AC19)</f>
        <v>0</v>
      </c>
      <c r="Z20" s="2328"/>
      <c r="AA20" s="2328"/>
      <c r="AB20" s="2328"/>
      <c r="AC20" s="2328"/>
      <c r="AD20" s="2338">
        <f>SUM(AD13:AH19)</f>
        <v>0</v>
      </c>
      <c r="AE20" s="2346"/>
      <c r="AF20" s="2346"/>
      <c r="AG20" s="2346"/>
      <c r="AH20" s="2347"/>
      <c r="AI20" s="2338">
        <f>SUM(AI13:AM19)</f>
        <v>0</v>
      </c>
      <c r="AJ20" s="2346"/>
      <c r="AK20" s="2346"/>
      <c r="AL20" s="2346"/>
      <c r="AM20" s="2347"/>
    </row>
    <row r="21" spans="1:40" ht="13" customHeight="1">
      <c r="B21" s="2334" t="s">
        <v>1262</v>
      </c>
      <c r="C21" s="2335"/>
      <c r="D21" s="2335"/>
      <c r="E21" s="2335"/>
      <c r="F21" s="2335"/>
      <c r="G21" s="2335"/>
      <c r="H21" s="2335"/>
      <c r="I21" s="2335"/>
      <c r="J21" s="2335"/>
      <c r="K21" s="2335"/>
      <c r="L21" s="2335"/>
      <c r="M21" s="2335"/>
      <c r="N21" s="2335"/>
      <c r="O21" s="2335"/>
      <c r="P21" s="2335"/>
      <c r="Q21" s="2335"/>
      <c r="R21" s="2335"/>
      <c r="S21" s="2336"/>
      <c r="T21" s="2356"/>
      <c r="U21" s="2357"/>
      <c r="V21" s="2357"/>
      <c r="W21" s="2357"/>
      <c r="X21" s="2357"/>
      <c r="Y21" s="2356"/>
      <c r="Z21" s="2357"/>
      <c r="AA21" s="2357"/>
      <c r="AB21" s="2357"/>
      <c r="AC21" s="2357"/>
      <c r="AD21" s="2363"/>
      <c r="AE21" s="2364"/>
      <c r="AF21" s="2364"/>
      <c r="AG21" s="2364"/>
      <c r="AH21" s="2365"/>
      <c r="AI21" s="2363"/>
      <c r="AJ21" s="2364"/>
      <c r="AK21" s="2364"/>
      <c r="AL21" s="2364"/>
      <c r="AM21" s="2365"/>
    </row>
    <row r="22" spans="1:40" ht="13" customHeight="1">
      <c r="B22" s="2334" t="s">
        <v>502</v>
      </c>
      <c r="C22" s="2335"/>
      <c r="D22" s="2335"/>
      <c r="E22" s="2335"/>
      <c r="F22" s="2335"/>
      <c r="G22" s="2335"/>
      <c r="H22" s="2335"/>
      <c r="I22" s="2335"/>
      <c r="J22" s="2335"/>
      <c r="K22" s="2335"/>
      <c r="L22" s="2335"/>
      <c r="M22" s="2335"/>
      <c r="N22" s="2335"/>
      <c r="O22" s="2335"/>
      <c r="P22" s="2335"/>
      <c r="Q22" s="2335"/>
      <c r="R22" s="2335"/>
      <c r="S22" s="2336"/>
      <c r="T22" s="2352">
        <f>(ABS(T20)+ABS(T21))*-1</f>
        <v>0</v>
      </c>
      <c r="U22" s="2353"/>
      <c r="V22" s="2353"/>
      <c r="W22" s="2353"/>
      <c r="X22" s="2353"/>
      <c r="Y22" s="2352">
        <f>(Y20+Y21)*-1</f>
        <v>0</v>
      </c>
      <c r="Z22" s="2353"/>
      <c r="AA22" s="2353"/>
      <c r="AB22" s="2353"/>
      <c r="AC22" s="2353"/>
      <c r="AD22" s="2354">
        <f>(AD20)*-1</f>
        <v>0</v>
      </c>
      <c r="AE22" s="2355"/>
      <c r="AF22" s="2355"/>
      <c r="AG22" s="2355"/>
      <c r="AH22" s="2352"/>
      <c r="AI22" s="2354">
        <f>(AI20)*-1</f>
        <v>0</v>
      </c>
      <c r="AJ22" s="2355"/>
      <c r="AK22" s="2355"/>
      <c r="AL22" s="2355"/>
      <c r="AM22" s="2352"/>
    </row>
    <row r="23" spans="1:40" ht="13" customHeight="1">
      <c r="B23" s="2334" t="s">
        <v>503</v>
      </c>
      <c r="C23" s="2335"/>
      <c r="D23" s="2335"/>
      <c r="E23" s="2335"/>
      <c r="F23" s="2335"/>
      <c r="G23" s="2335"/>
      <c r="H23" s="2335"/>
      <c r="I23" s="2335"/>
      <c r="J23" s="2335"/>
      <c r="K23" s="2335"/>
      <c r="L23" s="2335"/>
      <c r="M23" s="2335"/>
      <c r="N23" s="2335"/>
      <c r="O23" s="2335"/>
      <c r="P23" s="2335"/>
      <c r="Q23" s="2335"/>
      <c r="R23" s="2335"/>
      <c r="S23" s="2336"/>
      <c r="T23" s="2347">
        <f>T11+T22</f>
        <v>17467660</v>
      </c>
      <c r="U23" s="2328"/>
      <c r="V23" s="2328"/>
      <c r="W23" s="2328"/>
      <c r="X23" s="2328"/>
      <c r="Y23" s="2347">
        <f>Y11+Y22</f>
        <v>0</v>
      </c>
      <c r="Z23" s="2328"/>
      <c r="AA23" s="2328"/>
      <c r="AB23" s="2328"/>
      <c r="AC23" s="2328"/>
      <c r="AD23" s="2347">
        <f>AD11+AD22</f>
        <v>10415570</v>
      </c>
      <c r="AE23" s="2328"/>
      <c r="AF23" s="2328"/>
      <c r="AG23" s="2328"/>
      <c r="AH23" s="2328"/>
      <c r="AI23" s="2347">
        <f>AI11+AI22</f>
        <v>0</v>
      </c>
      <c r="AJ23" s="2328"/>
      <c r="AK23" s="2328"/>
      <c r="AL23" s="2328"/>
      <c r="AM23" s="2328"/>
    </row>
    <row r="24" spans="1:40" ht="13" customHeight="1">
      <c r="B24" s="2334" t="s">
        <v>960</v>
      </c>
      <c r="C24" s="2335"/>
      <c r="D24" s="2335"/>
      <c r="E24" s="2335"/>
      <c r="F24" s="2335"/>
      <c r="G24" s="2335"/>
      <c r="H24" s="2335"/>
      <c r="I24" s="2335"/>
      <c r="J24" s="2335"/>
      <c r="K24" s="2335"/>
      <c r="L24" s="2335"/>
      <c r="M24" s="2335"/>
      <c r="N24" s="2335"/>
      <c r="O24" s="2335"/>
      <c r="P24" s="2335"/>
      <c r="Q24" s="2335"/>
      <c r="R24" s="2335"/>
      <c r="S24" s="2336"/>
      <c r="T24" s="2338">
        <f>Application!AJ1062</f>
        <v>80315300</v>
      </c>
      <c r="U24" s="2346"/>
      <c r="V24" s="2346"/>
      <c r="W24" s="2346"/>
      <c r="X24" s="2346"/>
      <c r="Y24" s="2346"/>
      <c r="Z24" s="2346"/>
      <c r="AA24" s="2346"/>
      <c r="AB24" s="2346"/>
      <c r="AC24" s="2346"/>
      <c r="AD24" s="2346"/>
      <c r="AE24" s="2346"/>
      <c r="AF24" s="2346"/>
      <c r="AG24" s="2346"/>
      <c r="AH24" s="2346"/>
      <c r="AI24" s="2346"/>
      <c r="AJ24" s="2346"/>
      <c r="AK24" s="2346"/>
      <c r="AL24" s="2346"/>
      <c r="AM24" s="2347"/>
    </row>
    <row r="25" spans="1:40" ht="13" customHeight="1">
      <c r="B25" s="2378" t="s">
        <v>1263</v>
      </c>
      <c r="C25" s="2379"/>
      <c r="D25" s="2379"/>
      <c r="E25" s="2379"/>
      <c r="F25" s="2379"/>
      <c r="G25" s="2379"/>
      <c r="H25" s="2379"/>
      <c r="I25" s="2379"/>
      <c r="J25" s="2379"/>
      <c r="K25" s="2379"/>
      <c r="L25" s="2379"/>
      <c r="M25" s="2379"/>
      <c r="N25" s="2379"/>
      <c r="O25" s="2379"/>
      <c r="P25" s="2379"/>
      <c r="Q25" s="2379"/>
      <c r="R25" s="2379"/>
      <c r="S25" s="2380"/>
      <c r="T25" s="2360">
        <f>IF(OR(Application!T196="yes",Application!T195="yes"),1.3,1)</f>
        <v>1.3</v>
      </c>
      <c r="U25" s="2361"/>
      <c r="V25" s="2361"/>
      <c r="W25" s="2361"/>
      <c r="X25" s="2361"/>
      <c r="Y25" s="2360">
        <v>1</v>
      </c>
      <c r="Z25" s="2361"/>
      <c r="AA25" s="2361"/>
      <c r="AB25" s="2361"/>
      <c r="AC25" s="2361"/>
      <c r="AD25" s="2360">
        <v>1</v>
      </c>
      <c r="AE25" s="2361"/>
      <c r="AF25" s="2361"/>
      <c r="AG25" s="2361"/>
      <c r="AH25" s="2362"/>
      <c r="AI25" s="2360">
        <v>1</v>
      </c>
      <c r="AJ25" s="2361"/>
      <c r="AK25" s="2361"/>
      <c r="AL25" s="2361"/>
      <c r="AM25" s="2362"/>
    </row>
    <row r="26" spans="1:40" ht="13" customHeight="1">
      <c r="B26" s="2334" t="s">
        <v>504</v>
      </c>
      <c r="C26" s="2335"/>
      <c r="D26" s="2335"/>
      <c r="E26" s="2335"/>
      <c r="F26" s="2335"/>
      <c r="G26" s="2335"/>
      <c r="H26" s="2335"/>
      <c r="I26" s="2335"/>
      <c r="J26" s="2335"/>
      <c r="K26" s="2335"/>
      <c r="L26" s="2335"/>
      <c r="M26" s="2335"/>
      <c r="N26" s="2335"/>
      <c r="O26" s="2335"/>
      <c r="P26" s="2335"/>
      <c r="Q26" s="2335"/>
      <c r="R26" s="2335"/>
      <c r="S26" s="2336"/>
      <c r="T26" s="2347">
        <f>T23*T25</f>
        <v>22707958</v>
      </c>
      <c r="U26" s="2328"/>
      <c r="V26" s="2328"/>
      <c r="W26" s="2328"/>
      <c r="X26" s="2328"/>
      <c r="Y26" s="2347">
        <f>Y23*Y25</f>
        <v>0</v>
      </c>
      <c r="Z26" s="2328"/>
      <c r="AA26" s="2328"/>
      <c r="AB26" s="2328"/>
      <c r="AC26" s="2328"/>
      <c r="AD26" s="2347">
        <f>AD23*AD25</f>
        <v>10415570</v>
      </c>
      <c r="AE26" s="2328"/>
      <c r="AF26" s="2328"/>
      <c r="AG26" s="2328"/>
      <c r="AH26" s="2328"/>
      <c r="AI26" s="2347">
        <f>AI23*AI25</f>
        <v>0</v>
      </c>
      <c r="AJ26" s="2328"/>
      <c r="AK26" s="2328"/>
      <c r="AL26" s="2328"/>
      <c r="AM26" s="2328"/>
    </row>
    <row r="27" spans="1:40" ht="13" customHeight="1">
      <c r="A27" s="410"/>
      <c r="B27" s="2381" t="s">
        <v>425</v>
      </c>
      <c r="C27" s="2382"/>
      <c r="D27" s="2382"/>
      <c r="E27" s="2382"/>
      <c r="F27" s="2382"/>
      <c r="G27" s="2382"/>
      <c r="H27" s="2382"/>
      <c r="I27" s="2382"/>
      <c r="J27" s="2382"/>
      <c r="K27" s="2382"/>
      <c r="L27" s="2382"/>
      <c r="M27" s="2382"/>
      <c r="N27" s="2382"/>
      <c r="O27" s="2382"/>
      <c r="P27" s="2382"/>
      <c r="Q27" s="2382"/>
      <c r="R27" s="2382"/>
      <c r="S27" s="2383"/>
      <c r="T27" s="2358">
        <f>Application!$AG$454</f>
        <v>1</v>
      </c>
      <c r="U27" s="2359"/>
      <c r="V27" s="2359"/>
      <c r="W27" s="2359"/>
      <c r="X27" s="2359"/>
      <c r="Y27" s="2358">
        <f>Application!$AG$454</f>
        <v>1</v>
      </c>
      <c r="Z27" s="2359"/>
      <c r="AA27" s="2359"/>
      <c r="AB27" s="2359"/>
      <c r="AC27" s="2359"/>
      <c r="AD27" s="2358">
        <f>Application!$AG$454</f>
        <v>1</v>
      </c>
      <c r="AE27" s="2359"/>
      <c r="AF27" s="2359"/>
      <c r="AG27" s="2359"/>
      <c r="AH27" s="2359"/>
      <c r="AI27" s="2358">
        <f>Application!$AG$454</f>
        <v>1</v>
      </c>
      <c r="AJ27" s="2359"/>
      <c r="AK27" s="2359"/>
      <c r="AL27" s="2359"/>
      <c r="AM27" s="2359"/>
    </row>
    <row r="28" spans="1:40" ht="13" customHeight="1">
      <c r="A28" s="404"/>
      <c r="B28" s="2334" t="s">
        <v>505</v>
      </c>
      <c r="C28" s="2335"/>
      <c r="D28" s="2335"/>
      <c r="E28" s="2335"/>
      <c r="F28" s="2335"/>
      <c r="G28" s="2335"/>
      <c r="H28" s="2335"/>
      <c r="I28" s="2335"/>
      <c r="J28" s="2335"/>
      <c r="K28" s="2335"/>
      <c r="L28" s="2335"/>
      <c r="M28" s="2335"/>
      <c r="N28" s="2335"/>
      <c r="O28" s="2335"/>
      <c r="P28" s="2335"/>
      <c r="Q28" s="2335"/>
      <c r="R28" s="2335"/>
      <c r="S28" s="2336"/>
      <c r="T28" s="2347">
        <f>IF(ISERROR((T26*T27)),0,(T26*T27))</f>
        <v>22707958</v>
      </c>
      <c r="U28" s="2328"/>
      <c r="V28" s="2328"/>
      <c r="W28" s="2328"/>
      <c r="X28" s="2328"/>
      <c r="Y28" s="2347">
        <f>IF(ISERROR((Y26*Y27)),0,(Y26*Y27))</f>
        <v>0</v>
      </c>
      <c r="Z28" s="2328"/>
      <c r="AA28" s="2328"/>
      <c r="AB28" s="2328"/>
      <c r="AC28" s="2328"/>
      <c r="AD28" s="2347">
        <f>IF(ISERROR((AD26*AD27)),0,(AD26*AD27))</f>
        <v>10415570</v>
      </c>
      <c r="AE28" s="2328"/>
      <c r="AF28" s="2328"/>
      <c r="AG28" s="2328"/>
      <c r="AH28" s="2328"/>
      <c r="AI28" s="2347">
        <f>IF(ISERROR((AI26*AI27)),0,(AI26*AI27))</f>
        <v>0</v>
      </c>
      <c r="AJ28" s="2328"/>
      <c r="AK28" s="2328"/>
      <c r="AL28" s="2328"/>
      <c r="AM28" s="2328"/>
    </row>
    <row r="29" spans="1:40" ht="13" customHeight="1">
      <c r="B29" s="2334" t="s">
        <v>522</v>
      </c>
      <c r="C29" s="2335"/>
      <c r="D29" s="2335"/>
      <c r="E29" s="2335"/>
      <c r="F29" s="2335"/>
      <c r="G29" s="2335"/>
      <c r="H29" s="2335"/>
      <c r="I29" s="2335"/>
      <c r="J29" s="2335"/>
      <c r="K29" s="2335"/>
      <c r="L29" s="2335"/>
      <c r="M29" s="2335"/>
      <c r="N29" s="2335"/>
      <c r="O29" s="2335"/>
      <c r="P29" s="2335"/>
      <c r="Q29" s="2335"/>
      <c r="R29" s="2335"/>
      <c r="S29" s="2336"/>
      <c r="T29" s="2338">
        <f>T28+Y28+AD28+AI28</f>
        <v>33123528</v>
      </c>
      <c r="U29" s="2346"/>
      <c r="V29" s="2346"/>
      <c r="W29" s="2346"/>
      <c r="X29" s="2346"/>
      <c r="Y29" s="2346"/>
      <c r="Z29" s="2346"/>
      <c r="AA29" s="2346"/>
      <c r="AB29" s="2346"/>
      <c r="AC29" s="2346"/>
      <c r="AD29" s="2346"/>
      <c r="AE29" s="2346"/>
      <c r="AF29" s="2346"/>
      <c r="AG29" s="2346"/>
      <c r="AH29" s="2346"/>
      <c r="AI29" s="2346"/>
      <c r="AJ29" s="2346"/>
      <c r="AK29" s="2346"/>
      <c r="AL29" s="2346"/>
      <c r="AM29" s="2347"/>
    </row>
    <row r="30" spans="1:40" ht="13" customHeight="1">
      <c r="B30" s="2351" t="s">
        <v>1265</v>
      </c>
      <c r="C30" s="2351"/>
      <c r="D30" s="2351"/>
      <c r="E30" s="2351"/>
      <c r="F30" s="2351"/>
      <c r="G30" s="2351"/>
      <c r="H30" s="2351"/>
      <c r="I30" s="2351"/>
      <c r="J30" s="2351"/>
      <c r="K30" s="2351"/>
      <c r="L30" s="2351"/>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row>
    <row r="31" spans="1:40" ht="13" customHeight="1">
      <c r="B31" s="2351" t="s">
        <v>1264</v>
      </c>
      <c r="C31" s="2351"/>
      <c r="D31" s="2351"/>
      <c r="E31" s="2351"/>
      <c r="F31" s="2351"/>
      <c r="G31" s="2351"/>
      <c r="H31" s="2351"/>
      <c r="I31" s="2351"/>
      <c r="J31" s="2351"/>
      <c r="K31" s="2351"/>
      <c r="L31" s="2351"/>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575</v>
      </c>
      <c r="C34" s="404" t="s">
        <v>567</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48" t="s">
        <v>1153</v>
      </c>
      <c r="Z35" s="2348"/>
      <c r="AA35" s="2348"/>
      <c r="AB35" s="2348"/>
      <c r="AC35" s="2348"/>
      <c r="AD35" s="2349" t="s">
        <v>368</v>
      </c>
      <c r="AE35" s="2349"/>
      <c r="AF35" s="2349"/>
      <c r="AG35" s="2349"/>
      <c r="AH35" s="2349"/>
    </row>
    <row r="36" spans="1:76" ht="13" customHeight="1">
      <c r="B36" s="407"/>
      <c r="X36" s="412"/>
      <c r="Y36" s="2348"/>
      <c r="Z36" s="2348"/>
      <c r="AA36" s="2348"/>
      <c r="AB36" s="2348"/>
      <c r="AC36" s="2348"/>
      <c r="AD36" s="2349"/>
      <c r="AE36" s="2349"/>
      <c r="AF36" s="2349"/>
      <c r="AG36" s="2349"/>
      <c r="AH36" s="2349"/>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48"/>
      <c r="Z37" s="2348"/>
      <c r="AA37" s="2348"/>
      <c r="AB37" s="2348"/>
      <c r="AC37" s="2348"/>
      <c r="AD37" s="2349"/>
      <c r="AE37" s="2349"/>
      <c r="AF37" s="2349"/>
      <c r="AG37" s="2349"/>
      <c r="AH37" s="2349"/>
    </row>
    <row r="38" spans="1:76" ht="13" customHeight="1">
      <c r="A38" s="404"/>
      <c r="B38" s="2334" t="s">
        <v>505</v>
      </c>
      <c r="C38" s="2335"/>
      <c r="D38" s="2335"/>
      <c r="E38" s="2335"/>
      <c r="F38" s="2335"/>
      <c r="G38" s="2335"/>
      <c r="H38" s="2335"/>
      <c r="I38" s="2335"/>
      <c r="J38" s="2335"/>
      <c r="K38" s="2335"/>
      <c r="L38" s="2335"/>
      <c r="M38" s="2335"/>
      <c r="N38" s="2335"/>
      <c r="O38" s="2335"/>
      <c r="P38" s="2335"/>
      <c r="Q38" s="2335"/>
      <c r="R38" s="2335"/>
      <c r="S38" s="2335"/>
      <c r="T38" s="2335"/>
      <c r="U38" s="2335"/>
      <c r="V38" s="2335"/>
      <c r="W38" s="2335"/>
      <c r="X38" s="2336"/>
      <c r="Y38" s="2328">
        <f>IF(T24&gt;=(T23+Y23+AD23+AI23),T28+Y28,0)</f>
        <v>22707958</v>
      </c>
      <c r="Z38" s="2328"/>
      <c r="AA38" s="2328"/>
      <c r="AB38" s="2328"/>
      <c r="AC38" s="2328"/>
      <c r="AD38" s="2328">
        <f>IF(T24&gt;=(T23+Y23+AD23+AI23),AD28+AI28,0)</f>
        <v>10415570</v>
      </c>
      <c r="AE38" s="2328"/>
      <c r="AF38" s="2328"/>
      <c r="AG38" s="2328"/>
      <c r="AH38" s="2328"/>
    </row>
    <row r="39" spans="1:76" ht="13" customHeight="1">
      <c r="B39" s="2334" t="s">
        <v>1679</v>
      </c>
      <c r="C39" s="2335"/>
      <c r="D39" s="2335"/>
      <c r="E39" s="2335"/>
      <c r="F39" s="2335"/>
      <c r="G39" s="2335"/>
      <c r="H39" s="2335"/>
      <c r="I39" s="2335"/>
      <c r="J39" s="2335"/>
      <c r="K39" s="2335"/>
      <c r="L39" s="2335"/>
      <c r="M39" s="2335"/>
      <c r="N39" s="2335"/>
      <c r="O39" s="2335"/>
      <c r="P39" s="2335"/>
      <c r="Q39" s="2335"/>
      <c r="R39" s="2335"/>
      <c r="S39" s="2335"/>
      <c r="T39" s="2335"/>
      <c r="U39" s="2335"/>
      <c r="V39" s="2335"/>
      <c r="W39" s="2335"/>
      <c r="X39" s="2336"/>
      <c r="Y39" s="2350">
        <v>0.04</v>
      </c>
      <c r="Z39" s="2350"/>
      <c r="AA39" s="2350"/>
      <c r="AB39" s="2350"/>
      <c r="AC39" s="2350"/>
      <c r="AD39" s="2350">
        <v>0.04</v>
      </c>
      <c r="AE39" s="2350"/>
      <c r="AF39" s="2350"/>
      <c r="AG39" s="2350"/>
      <c r="AH39" s="2350"/>
    </row>
    <row r="40" spans="1:76" ht="13" customHeight="1">
      <c r="A40" s="404"/>
      <c r="B40" s="2334" t="s">
        <v>641</v>
      </c>
      <c r="C40" s="2335"/>
      <c r="D40" s="2335"/>
      <c r="E40" s="2335"/>
      <c r="F40" s="2335"/>
      <c r="G40" s="2335"/>
      <c r="H40" s="2335"/>
      <c r="I40" s="2335"/>
      <c r="J40" s="2335"/>
      <c r="K40" s="2335"/>
      <c r="L40" s="2335"/>
      <c r="M40" s="2335"/>
      <c r="N40" s="2335"/>
      <c r="O40" s="2335"/>
      <c r="P40" s="2335"/>
      <c r="Q40" s="2335"/>
      <c r="R40" s="2335"/>
      <c r="S40" s="2335"/>
      <c r="T40" s="2335"/>
      <c r="U40" s="2335"/>
      <c r="V40" s="2335"/>
      <c r="W40" s="2335"/>
      <c r="X40" s="2336"/>
      <c r="Y40" s="2328">
        <f>ROUND(Y38*Y39,0)</f>
        <v>908318</v>
      </c>
      <c r="Z40" s="2328"/>
      <c r="AA40" s="2328"/>
      <c r="AB40" s="2328"/>
      <c r="AC40" s="2328"/>
      <c r="AD40" s="2347">
        <f>ROUND(AD38*AD39,0)</f>
        <v>416623</v>
      </c>
      <c r="AE40" s="2328"/>
      <c r="AF40" s="2328"/>
      <c r="AG40" s="2328"/>
      <c r="AH40" s="2328"/>
    </row>
    <row r="41" spans="1:76" ht="13" customHeight="1">
      <c r="B41" s="2334" t="s">
        <v>642</v>
      </c>
      <c r="C41" s="2335"/>
      <c r="D41" s="2335"/>
      <c r="E41" s="2335"/>
      <c r="F41" s="2335"/>
      <c r="G41" s="2335"/>
      <c r="H41" s="2335"/>
      <c r="I41" s="2335"/>
      <c r="J41" s="2335"/>
      <c r="K41" s="2335"/>
      <c r="L41" s="2335"/>
      <c r="M41" s="2335"/>
      <c r="N41" s="2335"/>
      <c r="O41" s="2335"/>
      <c r="P41" s="2335"/>
      <c r="Q41" s="2335"/>
      <c r="R41" s="2335"/>
      <c r="S41" s="2335"/>
      <c r="T41" s="2335"/>
      <c r="U41" s="2335"/>
      <c r="V41" s="2335"/>
      <c r="W41" s="2335"/>
      <c r="X41" s="2336"/>
      <c r="Y41" s="2338">
        <f>Y40+AD40</f>
        <v>1324941</v>
      </c>
      <c r="Z41" s="2346"/>
      <c r="AA41" s="2346"/>
      <c r="AB41" s="2346"/>
      <c r="AC41" s="2346"/>
      <c r="AD41" s="2346"/>
      <c r="AE41" s="2346"/>
      <c r="AF41" s="2346"/>
      <c r="AG41" s="2346"/>
      <c r="AH41" s="2347"/>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5" t="s">
        <v>1275</v>
      </c>
      <c r="B44" s="2345"/>
      <c r="C44" s="2345"/>
      <c r="D44" s="2345"/>
      <c r="E44" s="2345"/>
      <c r="F44" s="2345"/>
      <c r="G44" s="2345"/>
      <c r="H44" s="2345"/>
      <c r="I44" s="2345"/>
      <c r="J44" s="2345"/>
      <c r="K44" s="2345"/>
      <c r="L44" s="2345"/>
      <c r="M44" s="2345"/>
      <c r="N44" s="2345"/>
      <c r="O44" s="2345"/>
      <c r="P44" s="2345"/>
      <c r="Q44" s="2345"/>
      <c r="R44" s="2345"/>
      <c r="S44" s="2345"/>
      <c r="T44" s="2345"/>
      <c r="U44" s="2345"/>
      <c r="V44" s="2345"/>
      <c r="W44" s="2345"/>
      <c r="X44" s="2345"/>
      <c r="Y44" s="2345"/>
      <c r="Z44" s="2345"/>
      <c r="AA44" s="2345"/>
      <c r="AB44" s="2345"/>
      <c r="AC44" s="2345"/>
      <c r="AD44" s="2345"/>
      <c r="AE44" s="2345"/>
      <c r="AF44" s="2345"/>
      <c r="AG44" s="2345"/>
      <c r="AH44" s="2345"/>
      <c r="AI44" s="2345"/>
      <c r="AJ44" s="2345"/>
      <c r="AK44" s="2345"/>
      <c r="AL44" s="2345"/>
      <c r="AM44" s="2345"/>
      <c r="AN44" s="2345"/>
      <c r="AO44" s="2345"/>
      <c r="AP44" s="2345"/>
      <c r="AQ44" s="2345"/>
      <c r="AR44" s="2345"/>
      <c r="AS44" s="2345"/>
      <c r="AT44" s="2345"/>
      <c r="AU44" s="2345"/>
      <c r="AV44" s="2345"/>
      <c r="AW44" s="2345"/>
      <c r="AX44" s="2345"/>
      <c r="AY44" s="2345"/>
      <c r="AZ44" s="2345"/>
      <c r="BA44" s="2345"/>
      <c r="BB44" s="2345"/>
      <c r="BC44" s="2345"/>
      <c r="BD44" s="2345"/>
      <c r="BE44" s="2345"/>
      <c r="BF44" s="2345"/>
      <c r="BG44" s="2345"/>
      <c r="BH44" s="2345"/>
      <c r="BI44" s="2345"/>
      <c r="BJ44" s="2345"/>
      <c r="BK44" s="2345"/>
      <c r="BL44" s="2345"/>
      <c r="BM44" s="2345"/>
      <c r="BN44" s="2345"/>
      <c r="BO44" s="2345"/>
      <c r="BP44" s="2345"/>
      <c r="BQ44" s="2345"/>
      <c r="BR44" s="2345"/>
      <c r="BS44" s="2345"/>
      <c r="BT44" s="2345"/>
      <c r="BU44" s="2345"/>
      <c r="BV44" s="2345"/>
      <c r="BW44" s="2345"/>
      <c r="BX44" s="2345"/>
    </row>
    <row r="45" spans="1:76" s="204" customFormat="1" ht="13" customHeight="1" thickTop="1"/>
    <row r="46" spans="1:76" ht="13" customHeight="1">
      <c r="A46" s="404" t="s">
        <v>585</v>
      </c>
      <c r="C46" s="404" t="s">
        <v>281</v>
      </c>
    </row>
    <row r="47" spans="1:76" ht="13" customHeight="1">
      <c r="D47" s="404" t="s">
        <v>282</v>
      </c>
      <c r="AB47" s="2342">
        <f>'Sources and Uses Budget'!B105-MAX(IF('Sources and Uses Budget'!B15="",0,'Sources and Uses Budget'!B15),IF(Application!AG403="",0,Application!AG403))</f>
        <v>35096325</v>
      </c>
      <c r="AC47" s="2343"/>
      <c r="AD47" s="2343"/>
      <c r="AE47" s="2343"/>
      <c r="AF47" s="2344"/>
    </row>
    <row r="48" spans="1:76" ht="13" customHeight="1">
      <c r="D48" s="404" t="s">
        <v>21</v>
      </c>
      <c r="AB48" s="2342">
        <f>Application!AO647-MAX(IF('Sources and Uses Budget'!B15="",0,'Sources and Uses Budget'!B15),IF(Application!AG403="",0,Application!AG403))</f>
        <v>24677857</v>
      </c>
      <c r="AC48" s="2343"/>
      <c r="AD48" s="2343"/>
      <c r="AE48" s="2343"/>
      <c r="AF48" s="2344"/>
    </row>
    <row r="49" spans="1:76" ht="13" customHeight="1">
      <c r="D49" s="404" t="s">
        <v>91</v>
      </c>
      <c r="AB49" s="2342">
        <f>AB47-AB48</f>
        <v>10418468</v>
      </c>
      <c r="AC49" s="2343"/>
      <c r="AD49" s="2343"/>
      <c r="AE49" s="2343"/>
      <c r="AF49" s="2344"/>
    </row>
    <row r="50" spans="1:76" ht="13" customHeight="1">
      <c r="D50" s="404" t="s">
        <v>680</v>
      </c>
      <c r="AA50" s="415"/>
      <c r="AB50" s="2330">
        <f>AB49/Y41/10</f>
        <v>0.78633448583748256</v>
      </c>
      <c r="AC50" s="2331"/>
      <c r="AD50" s="2331"/>
      <c r="AE50" s="2331"/>
      <c r="AF50" s="2332"/>
    </row>
    <row r="51" spans="1:76" s="417" customFormat="1" ht="13" customHeight="1">
      <c r="A51" s="402"/>
      <c r="B51" s="402"/>
      <c r="C51" s="402"/>
      <c r="D51" s="402"/>
      <c r="E51" s="2341" t="s">
        <v>2535</v>
      </c>
      <c r="F51" s="2341"/>
      <c r="G51" s="2341"/>
      <c r="H51" s="2341"/>
      <c r="I51" s="2341"/>
      <c r="J51" s="2341"/>
      <c r="K51" s="2341"/>
      <c r="L51" s="2341"/>
      <c r="M51" s="2341"/>
      <c r="N51" s="2341"/>
      <c r="O51" s="2341"/>
      <c r="P51" s="2341"/>
      <c r="Q51" s="2341"/>
      <c r="R51" s="2341"/>
      <c r="S51" s="2341"/>
      <c r="T51" s="2341"/>
      <c r="U51" s="2341"/>
      <c r="V51" s="2341"/>
      <c r="W51" s="2341"/>
      <c r="X51" s="2341"/>
      <c r="Y51" s="2341"/>
      <c r="Z51" s="2341"/>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1"/>
      <c r="F52" s="2341"/>
      <c r="G52" s="2341"/>
      <c r="H52" s="2341"/>
      <c r="I52" s="2341"/>
      <c r="J52" s="2341"/>
      <c r="K52" s="2341"/>
      <c r="L52" s="2341"/>
      <c r="M52" s="2341"/>
      <c r="N52" s="2341"/>
      <c r="O52" s="2341"/>
      <c r="P52" s="2341"/>
      <c r="Q52" s="2341"/>
      <c r="R52" s="2341"/>
      <c r="S52" s="2341"/>
      <c r="T52" s="2341"/>
      <c r="U52" s="2341"/>
      <c r="V52" s="2341"/>
      <c r="W52" s="2341"/>
      <c r="X52" s="2341"/>
      <c r="Y52" s="2341"/>
      <c r="Z52" s="2341"/>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42">
        <f>ROUND(IF(ISERROR((AB49/AB50)),0,(AB49/AB50)),0)</f>
        <v>13249410</v>
      </c>
      <c r="AC54" s="2343"/>
      <c r="AD54" s="2343"/>
      <c r="AE54" s="2343"/>
      <c r="AF54" s="2344"/>
    </row>
    <row r="55" spans="1:76" ht="13" customHeight="1">
      <c r="D55" s="404" t="s">
        <v>332</v>
      </c>
      <c r="AB55" s="2342">
        <f>(AB54/10)</f>
        <v>1324941</v>
      </c>
      <c r="AC55" s="2343"/>
      <c r="AD55" s="2343"/>
      <c r="AE55" s="2343"/>
      <c r="AF55" s="2344"/>
    </row>
    <row r="56" spans="1:76" ht="13" customHeight="1">
      <c r="D56" s="404" t="s">
        <v>755</v>
      </c>
      <c r="AB56" s="2342">
        <f>ROUND((IF((Y41&lt;AB55),Y41,AB55)),0)</f>
        <v>1324941</v>
      </c>
      <c r="AC56" s="2343"/>
      <c r="AD56" s="2343"/>
      <c r="AE56" s="2343"/>
      <c r="AF56" s="2344"/>
    </row>
    <row r="57" spans="1:76" ht="13" customHeight="1">
      <c r="D57" s="404" t="s">
        <v>754</v>
      </c>
      <c r="AB57" s="2342">
        <f>ROUND((10*AB56*AB50),0)</f>
        <v>10418468</v>
      </c>
      <c r="AC57" s="2343"/>
      <c r="AD57" s="2343"/>
      <c r="AE57" s="2343"/>
      <c r="AF57" s="2344"/>
    </row>
    <row r="58" spans="1:76" ht="13" customHeight="1">
      <c r="D58" s="404"/>
      <c r="AB58" s="423"/>
      <c r="AC58" s="423"/>
      <c r="AD58" s="423"/>
      <c r="AE58" s="423"/>
      <c r="AF58" s="423"/>
    </row>
    <row r="59" spans="1:76" ht="13" customHeight="1">
      <c r="D59" s="404" t="s">
        <v>753</v>
      </c>
      <c r="AB59" s="2326">
        <f>AB49-AB57</f>
        <v>0</v>
      </c>
      <c r="AC59" s="2326"/>
      <c r="AD59" s="2326"/>
      <c r="AE59" s="2326"/>
      <c r="AF59" s="2326"/>
    </row>
    <row r="60" spans="1:76" ht="13" customHeight="1">
      <c r="D60" s="404"/>
      <c r="AB60" s="423"/>
      <c r="AC60" s="423"/>
      <c r="AD60" s="423"/>
      <c r="AE60" s="423"/>
      <c r="AF60" s="423"/>
    </row>
    <row r="61" spans="1:76" s="204" customFormat="1" ht="13" customHeight="1" thickBot="1">
      <c r="A61" s="2345" t="str">
        <f>IF(Application!AP205="yes","Farmworker State Credit", "State Credit" )</f>
        <v>State Credit</v>
      </c>
      <c r="B61" s="2345"/>
      <c r="C61" s="2345"/>
      <c r="D61" s="2345"/>
      <c r="E61" s="2345"/>
      <c r="F61" s="2345"/>
      <c r="G61" s="2345"/>
      <c r="H61" s="2345"/>
      <c r="I61" s="2345"/>
      <c r="J61" s="2345"/>
      <c r="K61" s="2345"/>
      <c r="L61" s="2345"/>
      <c r="M61" s="2345"/>
      <c r="N61" s="2345"/>
      <c r="O61" s="2345"/>
      <c r="P61" s="2345"/>
      <c r="Q61" s="2345"/>
      <c r="R61" s="2345"/>
      <c r="S61" s="2345"/>
      <c r="T61" s="2345"/>
      <c r="U61" s="2345"/>
      <c r="V61" s="2345"/>
      <c r="W61" s="2345"/>
      <c r="X61" s="2345"/>
      <c r="Y61" s="2345"/>
      <c r="Z61" s="2345"/>
      <c r="AA61" s="2345"/>
      <c r="AB61" s="2345"/>
      <c r="AC61" s="2345"/>
      <c r="AD61" s="2345"/>
      <c r="AE61" s="2345"/>
      <c r="AF61" s="2345"/>
      <c r="AG61" s="2345"/>
      <c r="AH61" s="2345"/>
      <c r="AI61" s="2345"/>
      <c r="AJ61" s="2345"/>
      <c r="AK61" s="2345"/>
      <c r="AL61" s="2345"/>
      <c r="AM61" s="2345"/>
      <c r="AN61" s="2345"/>
      <c r="AO61" s="2345"/>
      <c r="AP61" s="2345"/>
      <c r="AQ61" s="2345"/>
      <c r="AR61" s="2345"/>
      <c r="AS61" s="2345"/>
      <c r="AT61" s="2345"/>
      <c r="AU61" s="2345"/>
      <c r="AV61" s="2345"/>
      <c r="AW61" s="2345"/>
      <c r="AX61" s="2345"/>
      <c r="AY61" s="2345"/>
      <c r="AZ61" s="2345"/>
      <c r="BA61" s="2345"/>
      <c r="BB61" s="2345"/>
      <c r="BC61" s="2345"/>
      <c r="BD61" s="2345"/>
      <c r="BE61" s="2345"/>
      <c r="BF61" s="2345"/>
      <c r="BG61" s="2345"/>
      <c r="BH61" s="2345"/>
      <c r="BI61" s="2345"/>
      <c r="BJ61" s="2345"/>
      <c r="BK61" s="2345"/>
      <c r="BL61" s="2345"/>
      <c r="BM61" s="2345"/>
      <c r="BN61" s="2345"/>
      <c r="BO61" s="2345"/>
      <c r="BP61" s="2345"/>
      <c r="BQ61" s="2345"/>
      <c r="BR61" s="2345"/>
      <c r="BS61" s="2345"/>
      <c r="BT61" s="2345"/>
      <c r="BU61" s="2345"/>
      <c r="BV61" s="2345"/>
      <c r="BW61" s="2345"/>
      <c r="BX61" s="2345"/>
    </row>
    <row r="62" spans="1:76" s="204" customFormat="1" ht="13" customHeight="1" thickTop="1"/>
    <row r="63" spans="1:76" ht="13" customHeight="1">
      <c r="A63" s="404" t="s">
        <v>588</v>
      </c>
      <c r="C63" s="205" t="s">
        <v>1247</v>
      </c>
      <c r="Y63" s="2337" t="s">
        <v>983</v>
      </c>
      <c r="Z63" s="2337"/>
      <c r="AA63" s="2337"/>
      <c r="AB63" s="2337"/>
      <c r="AC63" s="2337"/>
      <c r="AD63" s="2337" t="s">
        <v>368</v>
      </c>
      <c r="AE63" s="2337"/>
      <c r="AF63" s="2337"/>
      <c r="AG63" s="2337"/>
      <c r="AH63" s="2337"/>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8">
        <f>IF(Application!$Z$205="(select)",0,((T23*T27)+Y28))</f>
        <v>0</v>
      </c>
      <c r="Z64" s="2339"/>
      <c r="AA64" s="2339"/>
      <c r="AB64" s="2339"/>
      <c r="AC64" s="2340"/>
      <c r="AD64" s="2338">
        <f>IF(AND(OR(Application!D211="At-Risk",Application!D211="At-Risk and Special Needs"),Application!M367="yes"),AD28+AI28,0)</f>
        <v>0</v>
      </c>
      <c r="AE64" s="2339"/>
      <c r="AF64" s="2339"/>
      <c r="AG64" s="2339"/>
      <c r="AH64" s="2340"/>
    </row>
    <row r="65" spans="1:37" ht="13"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27">
        <f>IF(OR(Application!Z205="State Farmworker Credit",Application!Z205="$500M (Farmworker Housing)"),0.75,IF(Application!Z205="15% set-aside",0.13,IF(Application!Z205="15% set-aside with qualifying low value rehab",0.95,IF(Application!Z205="$500M",0.3,0))))</f>
        <v>0</v>
      </c>
      <c r="Z67" s="2327"/>
      <c r="AA67" s="2327"/>
      <c r="AB67" s="2327"/>
      <c r="AC67" s="2327"/>
      <c r="AD67" s="2327">
        <f>IF(Application!Z205="15% set-aside with qualifying low value rehab", 0.95,IF(OR(Application!D211="At-Risk",'Points System'!B26="Yes"),0.13,0))</f>
        <v>0</v>
      </c>
      <c r="AE67" s="2327"/>
      <c r="AF67" s="2327"/>
      <c r="AG67" s="2327"/>
      <c r="AH67" s="2327"/>
    </row>
    <row r="68" spans="1:37" ht="13" customHeight="1">
      <c r="C68" s="404"/>
      <c r="D68" s="205" t="s">
        <v>2178</v>
      </c>
      <c r="Y68" s="2328">
        <f>IF(AND(T25=1.3,OR(Y67=0.13,Y67=0.95),NOT(Application!T212&gt;=50%)),0,ROUND(Y64*Y67,0))</f>
        <v>0</v>
      </c>
      <c r="Z68" s="2329"/>
      <c r="AA68" s="2329"/>
      <c r="AB68" s="2329"/>
      <c r="AC68" s="2329"/>
      <c r="AD68" s="2328">
        <f>IF(AND(T25=1.3,AD67&gt;0,NOT(Application!T212&gt;=50%)),0,ROUND(AD64*AD67,0))</f>
        <v>0</v>
      </c>
      <c r="AE68" s="2329"/>
      <c r="AF68" s="2329"/>
      <c r="AG68" s="2329"/>
      <c r="AH68" s="2329"/>
      <c r="AK68" s="1192"/>
    </row>
    <row r="69" spans="1:37" ht="13" customHeight="1">
      <c r="C69" s="404"/>
      <c r="D69" s="205" t="s">
        <v>2179</v>
      </c>
      <c r="Y69" s="2328">
        <f>IF(OR(Application!Z205="State Farmworker Credit",Application!Z205="$500M (Farmworker Housing)"),Y68+AD68,MIN(Y68+AD68,200000*(Application!G761+Application!O785)))</f>
        <v>0</v>
      </c>
      <c r="Z69" s="2328"/>
      <c r="AA69" s="2328"/>
      <c r="AB69" s="2328"/>
      <c r="AC69" s="2328"/>
      <c r="AD69" s="2328"/>
      <c r="AE69" s="2328"/>
      <c r="AF69" s="2328"/>
      <c r="AG69" s="2328"/>
      <c r="AH69" s="2328"/>
    </row>
    <row r="70" spans="1:37" ht="13" customHeight="1">
      <c r="C70" s="404"/>
      <c r="E70" s="404"/>
      <c r="AB70" s="422"/>
      <c r="AC70" s="422"/>
      <c r="AD70" s="422"/>
      <c r="AE70" s="422"/>
      <c r="AF70" s="422"/>
    </row>
    <row r="71" spans="1:37" ht="13" customHeight="1">
      <c r="A71" s="404" t="s">
        <v>589</v>
      </c>
      <c r="C71" s="205" t="s">
        <v>283</v>
      </c>
    </row>
    <row r="72" spans="1:37" ht="13" customHeight="1">
      <c r="A72" s="404"/>
      <c r="C72" s="404"/>
      <c r="D72" s="205" t="s">
        <v>1249</v>
      </c>
      <c r="AB72" s="2330"/>
      <c r="AC72" s="2331"/>
      <c r="AD72" s="2331"/>
      <c r="AE72" s="2331"/>
      <c r="AF72" s="2332"/>
    </row>
    <row r="73" spans="1:37" ht="13" customHeight="1">
      <c r="A73" s="404"/>
      <c r="C73" s="404"/>
      <c r="D73" s="404"/>
      <c r="E73" s="2333" t="s">
        <v>1250</v>
      </c>
      <c r="F73" s="2333"/>
      <c r="G73" s="2333"/>
      <c r="H73" s="2333"/>
      <c r="I73" s="2333"/>
      <c r="J73" s="2333"/>
      <c r="K73" s="2333"/>
      <c r="L73" s="2333"/>
      <c r="M73" s="2333"/>
      <c r="N73" s="2333"/>
      <c r="O73" s="2333"/>
      <c r="P73" s="2333"/>
      <c r="Q73" s="2333"/>
      <c r="R73" s="2333"/>
      <c r="S73" s="2333"/>
      <c r="T73" s="2333"/>
      <c r="U73" s="2333"/>
      <c r="V73" s="2333"/>
      <c r="W73" s="2333"/>
      <c r="X73" s="2333"/>
      <c r="Y73" s="2333"/>
      <c r="Z73" s="2333"/>
      <c r="AA73" s="2333"/>
      <c r="AB73" s="438"/>
      <c r="AC73" s="438"/>
    </row>
    <row r="74" spans="1:37" ht="13" customHeight="1">
      <c r="A74" s="404"/>
      <c r="C74" s="404"/>
      <c r="D74" s="404"/>
      <c r="E74" s="2333"/>
      <c r="F74" s="2333"/>
      <c r="G74" s="2333"/>
      <c r="H74" s="2333"/>
      <c r="I74" s="2333"/>
      <c r="J74" s="2333"/>
      <c r="K74" s="2333"/>
      <c r="L74" s="2333"/>
      <c r="M74" s="2333"/>
      <c r="N74" s="2333"/>
      <c r="O74" s="2333"/>
      <c r="P74" s="2333"/>
      <c r="Q74" s="2333"/>
      <c r="R74" s="2333"/>
      <c r="S74" s="2333"/>
      <c r="T74" s="2333"/>
      <c r="U74" s="2333"/>
      <c r="V74" s="2333"/>
      <c r="W74" s="2333"/>
      <c r="X74" s="2333"/>
      <c r="Y74" s="2333"/>
      <c r="Z74" s="2333"/>
      <c r="AA74" s="2333"/>
      <c r="AB74" s="438"/>
      <c r="AC74" s="438"/>
    </row>
    <row r="75" spans="1:37" ht="13" customHeight="1">
      <c r="A75" s="404"/>
      <c r="C75" s="404"/>
      <c r="D75" s="404"/>
      <c r="E75" s="2333"/>
      <c r="F75" s="2333"/>
      <c r="G75" s="2333"/>
      <c r="H75" s="2333"/>
      <c r="I75" s="2333"/>
      <c r="J75" s="2333"/>
      <c r="K75" s="2333"/>
      <c r="L75" s="2333"/>
      <c r="M75" s="2333"/>
      <c r="N75" s="2333"/>
      <c r="O75" s="2333"/>
      <c r="P75" s="2333"/>
      <c r="Q75" s="2333"/>
      <c r="R75" s="2333"/>
      <c r="S75" s="2333"/>
      <c r="T75" s="2333"/>
      <c r="U75" s="2333"/>
      <c r="V75" s="2333"/>
      <c r="W75" s="2333"/>
      <c r="X75" s="2333"/>
      <c r="Y75" s="2333"/>
      <c r="Z75" s="2333"/>
      <c r="AA75" s="2333"/>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1251</v>
      </c>
      <c r="AB77" s="2321">
        <f>ROUND(IF(ISERROR((AB59/AB72)),0,(AB59/AB72)),0)</f>
        <v>0</v>
      </c>
      <c r="AC77" s="2321"/>
      <c r="AD77" s="2321"/>
      <c r="AE77" s="2321"/>
      <c r="AF77" s="2321"/>
    </row>
    <row r="78" spans="1:37" ht="13" customHeight="1">
      <c r="C78" s="404"/>
      <c r="D78" s="205" t="s">
        <v>1252</v>
      </c>
      <c r="AB78" s="2322">
        <f>ROUNDUP(MIN(Y69,AB77),0)</f>
        <v>0</v>
      </c>
      <c r="AC78" s="2323"/>
      <c r="AD78" s="2323"/>
      <c r="AE78" s="2323"/>
      <c r="AF78" s="2324"/>
    </row>
    <row r="79" spans="1:37" ht="13" customHeight="1">
      <c r="C79" s="404"/>
      <c r="D79" s="205" t="s">
        <v>1253</v>
      </c>
      <c r="AB79" s="2325">
        <f>AB78*AB72</f>
        <v>0</v>
      </c>
      <c r="AC79" s="2325"/>
      <c r="AD79" s="2325"/>
      <c r="AE79" s="2325"/>
      <c r="AF79" s="2325"/>
    </row>
    <row r="80" spans="1:37" ht="13" customHeight="1">
      <c r="C80" s="404"/>
      <c r="D80" s="404"/>
      <c r="AB80" s="425"/>
      <c r="AC80" s="425"/>
      <c r="AD80" s="425"/>
      <c r="AE80" s="425"/>
      <c r="AF80" s="425"/>
    </row>
    <row r="81" spans="1:78" ht="13" customHeight="1">
      <c r="D81" s="404" t="s">
        <v>753</v>
      </c>
      <c r="AB81" s="2326">
        <f>AB49-(AB57+AB79)</f>
        <v>0</v>
      </c>
      <c r="AC81" s="2326"/>
      <c r="AD81" s="2326"/>
      <c r="AE81" s="2326"/>
      <c r="AF81" s="2326"/>
    </row>
    <row r="82" spans="1:78" ht="13" customHeight="1">
      <c r="F82" s="522"/>
      <c r="J82" s="522" t="str">
        <f>IF(AB81&gt;0,"FUNDING GAP MUST NOT EXCEED ZERO","")</f>
        <v/>
      </c>
    </row>
    <row r="83" spans="1:78" ht="13" customHeight="1">
      <c r="D83" s="523"/>
    </row>
    <row r="84" spans="1:78" ht="13" customHeight="1" thickBot="1">
      <c r="A84" s="2345"/>
      <c r="B84" s="2345"/>
      <c r="C84" s="2345"/>
      <c r="D84" s="2345"/>
      <c r="E84" s="2345"/>
      <c r="F84" s="2345"/>
      <c r="G84" s="2345"/>
      <c r="H84" s="2345"/>
      <c r="I84" s="2345"/>
      <c r="J84" s="2345"/>
      <c r="K84" s="2345"/>
      <c r="L84" s="2345"/>
      <c r="M84" s="2345"/>
      <c r="N84" s="2345"/>
      <c r="O84" s="2345"/>
      <c r="P84" s="2345"/>
      <c r="Q84" s="2345"/>
      <c r="R84" s="2345"/>
      <c r="S84" s="2345"/>
      <c r="T84" s="2345"/>
      <c r="U84" s="2345"/>
      <c r="V84" s="2345"/>
      <c r="W84" s="2345"/>
      <c r="X84" s="2345"/>
      <c r="Y84" s="2345"/>
      <c r="Z84" s="2345"/>
      <c r="AA84" s="2345"/>
      <c r="AB84" s="2345"/>
      <c r="AC84" s="2345"/>
      <c r="AD84" s="2345"/>
      <c r="AE84" s="2345"/>
      <c r="AF84" s="2345"/>
      <c r="AG84" s="2345"/>
      <c r="AH84" s="2345"/>
      <c r="AI84" s="2345"/>
      <c r="AJ84" s="2345"/>
      <c r="AK84" s="2345"/>
      <c r="AL84" s="2345"/>
      <c r="AM84" s="2345"/>
      <c r="AN84" s="2345"/>
      <c r="AO84" s="2345"/>
      <c r="AP84" s="2345"/>
      <c r="AQ84" s="2345"/>
      <c r="AR84" s="2345"/>
      <c r="AS84" s="2345"/>
      <c r="AT84" s="2345"/>
      <c r="AU84" s="2345"/>
      <c r="AV84" s="2345"/>
      <c r="AW84" s="2345"/>
      <c r="AX84" s="2345"/>
      <c r="AY84" s="2345"/>
      <c r="AZ84" s="2345"/>
      <c r="BA84" s="2345"/>
      <c r="BB84" s="2345"/>
      <c r="BC84" s="2345"/>
      <c r="BD84" s="2345"/>
      <c r="BE84" s="2345"/>
      <c r="BF84" s="2345"/>
      <c r="BG84" s="2345"/>
      <c r="BH84" s="2345"/>
      <c r="BI84" s="2345"/>
      <c r="BJ84" s="2345"/>
      <c r="BK84" s="2345"/>
      <c r="BL84" s="2345"/>
      <c r="BM84" s="2345"/>
      <c r="BN84" s="2345"/>
      <c r="BO84" s="2345"/>
      <c r="BP84" s="2345"/>
      <c r="BQ84" s="2345"/>
      <c r="BR84" s="2345"/>
      <c r="BS84" s="2345"/>
      <c r="BT84" s="2345"/>
      <c r="BU84" s="2345"/>
      <c r="BV84" s="2345"/>
      <c r="BW84" s="2345"/>
      <c r="BX84" s="2345"/>
    </row>
    <row r="85" spans="1:78" ht="13" customHeight="1" thickTop="1"/>
    <row r="86" spans="1:78" ht="13" hidden="1" customHeight="1">
      <c r="A86" s="404"/>
      <c r="C86" s="205"/>
    </row>
    <row r="87" spans="1:78" ht="13" hidden="1" customHeight="1">
      <c r="D87" s="205"/>
      <c r="AB87" s="2377"/>
      <c r="AC87" s="2377"/>
      <c r="AD87" s="2377"/>
      <c r="AE87" s="2377"/>
      <c r="AF87" s="2377"/>
    </row>
    <row r="88" spans="1:78" ht="13" hidden="1" customHeight="1" thickBot="1">
      <c r="D88" s="205"/>
      <c r="AB88" s="2376"/>
      <c r="AC88" s="2376"/>
      <c r="AD88" s="2376"/>
      <c r="AE88" s="2376"/>
      <c r="AF88" s="237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09" zoomScale="150" zoomScaleNormal="150" workbookViewId="0">
      <selection activeCell="O126" sqref="O126:R12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1" ht="15.75" customHeight="1">
      <c r="A1" s="2420" t="s">
        <v>1298</v>
      </c>
      <c r="B1" s="2420"/>
      <c r="C1" s="2420"/>
      <c r="D1" s="2420"/>
      <c r="E1" s="2420"/>
      <c r="F1" s="2420"/>
      <c r="G1" s="2420"/>
      <c r="H1" s="2420"/>
      <c r="I1" s="2420"/>
      <c r="J1" s="2420"/>
      <c r="K1" s="2420"/>
      <c r="L1" s="2420"/>
      <c r="M1" s="2420"/>
      <c r="N1" s="2420"/>
      <c r="O1" s="2420"/>
      <c r="P1" s="2420"/>
      <c r="Q1" s="2420"/>
      <c r="R1" s="2420"/>
      <c r="S1" s="2420"/>
      <c r="T1" s="2420"/>
      <c r="U1" s="2420"/>
      <c r="V1" s="2420"/>
      <c r="W1" s="2420"/>
      <c r="X1" s="2420"/>
      <c r="Y1" s="2420"/>
      <c r="Z1" s="2420"/>
      <c r="AA1" s="2420"/>
      <c r="AB1" s="2420"/>
      <c r="AC1" s="2420"/>
      <c r="AD1" s="2420"/>
      <c r="AE1" s="2420"/>
      <c r="AF1" s="2420"/>
      <c r="AG1" s="2420"/>
      <c r="AH1" s="2420"/>
      <c r="AI1" s="2420"/>
      <c r="AJ1" s="2420"/>
      <c r="AK1" s="2420"/>
      <c r="AL1" s="2420"/>
      <c r="AM1" s="2420"/>
    </row>
    <row r="2" spans="1:41" s="536" customFormat="1" ht="12.75" customHeight="1" thickBot="1">
      <c r="A2" s="2421"/>
      <c r="B2" s="2421"/>
      <c r="C2" s="2421"/>
      <c r="D2" s="2421"/>
      <c r="E2" s="2421"/>
      <c r="F2" s="2421"/>
      <c r="G2" s="2421"/>
      <c r="H2" s="2421"/>
      <c r="I2" s="2421"/>
      <c r="J2" s="2421"/>
      <c r="K2" s="2421"/>
      <c r="L2" s="2421"/>
      <c r="M2" s="2421"/>
      <c r="N2" s="2421"/>
      <c r="O2" s="2421"/>
      <c r="P2" s="2421"/>
      <c r="Q2" s="2421"/>
      <c r="R2" s="2421"/>
      <c r="S2" s="2421"/>
      <c r="T2" s="2421"/>
      <c r="U2" s="2421"/>
      <c r="V2" s="2421"/>
      <c r="W2" s="2421"/>
      <c r="X2" s="2421"/>
      <c r="Y2" s="2421"/>
      <c r="Z2" s="2421"/>
      <c r="AA2" s="2421"/>
      <c r="AB2" s="2421"/>
      <c r="AC2" s="2421"/>
      <c r="AD2" s="2421"/>
      <c r="AE2" s="2421"/>
      <c r="AF2" s="2421"/>
      <c r="AG2" s="2421"/>
      <c r="AH2" s="2421"/>
      <c r="AI2" s="2421"/>
      <c r="AJ2" s="2421"/>
      <c r="AK2" s="2421"/>
      <c r="AL2" s="2421"/>
      <c r="AM2" s="2421"/>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3" t="s">
        <v>1302</v>
      </c>
      <c r="AF7" s="2413"/>
      <c r="AG7" s="2413"/>
      <c r="AH7" s="2413"/>
      <c r="AI7" s="2413"/>
      <c r="AJ7" s="2413"/>
      <c r="AK7" s="2413"/>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5" t="s">
        <v>544</v>
      </c>
      <c r="C12" s="2385"/>
      <c r="D12" s="540"/>
      <c r="E12" s="2401" t="s">
        <v>2549</v>
      </c>
      <c r="F12" s="2402"/>
      <c r="G12" s="2402"/>
      <c r="H12" s="2402"/>
      <c r="I12" s="2402"/>
      <c r="J12" s="2402"/>
      <c r="K12" s="2402"/>
      <c r="L12" s="2402"/>
      <c r="M12" s="2402"/>
      <c r="N12" s="2402"/>
      <c r="O12" s="2402"/>
      <c r="P12" s="2402"/>
      <c r="Q12" s="2402"/>
      <c r="R12" s="2402"/>
      <c r="S12" s="2402"/>
      <c r="T12" s="2402"/>
      <c r="U12" s="2402"/>
      <c r="V12" s="2402"/>
      <c r="W12" s="2402"/>
      <c r="X12" s="2402"/>
      <c r="Y12" s="2402"/>
      <c r="Z12" s="2402"/>
      <c r="AA12" s="2402"/>
      <c r="AB12" s="2402"/>
      <c r="AC12" s="2402"/>
      <c r="AD12" s="2402"/>
      <c r="AE12" s="2402"/>
      <c r="AF12" s="2402"/>
      <c r="AG12" s="2402"/>
      <c r="AH12" s="2402"/>
      <c r="AI12" s="2402"/>
      <c r="AJ12" s="2403"/>
      <c r="AK12" s="540"/>
      <c r="AL12" s="540"/>
      <c r="AM12" s="540"/>
      <c r="AN12" s="535"/>
      <c r="AO12" s="557"/>
    </row>
    <row r="13" spans="1:41" s="536" customFormat="1" ht="12.75" customHeight="1">
      <c r="A13" s="540"/>
      <c r="D13" s="546"/>
      <c r="E13" s="2430"/>
      <c r="F13" s="2431"/>
      <c r="G13" s="2431"/>
      <c r="H13" s="2431"/>
      <c r="I13" s="2431"/>
      <c r="J13" s="2431"/>
      <c r="K13" s="2431"/>
      <c r="L13" s="2431"/>
      <c r="M13" s="2431"/>
      <c r="N13" s="2431"/>
      <c r="O13" s="2431"/>
      <c r="P13" s="2431"/>
      <c r="Q13" s="2431"/>
      <c r="R13" s="2431"/>
      <c r="S13" s="2431"/>
      <c r="T13" s="2431"/>
      <c r="U13" s="2431"/>
      <c r="V13" s="2431"/>
      <c r="W13" s="2431"/>
      <c r="X13" s="2431"/>
      <c r="Y13" s="2431"/>
      <c r="Z13" s="2431"/>
      <c r="AA13" s="2431"/>
      <c r="AB13" s="2431"/>
      <c r="AC13" s="2431"/>
      <c r="AD13" s="2431"/>
      <c r="AE13" s="2431"/>
      <c r="AF13" s="2431"/>
      <c r="AG13" s="2431"/>
      <c r="AH13" s="2431"/>
      <c r="AI13" s="2431"/>
      <c r="AJ13" s="2432"/>
      <c r="AK13" s="540"/>
      <c r="AL13" s="540"/>
      <c r="AM13" s="540"/>
      <c r="AN13" s="535"/>
      <c r="AO13" s="557"/>
    </row>
    <row r="14" spans="1:41" s="536" customFormat="1" ht="12.75" customHeight="1">
      <c r="A14" s="540"/>
      <c r="D14" s="540"/>
      <c r="E14" s="2404"/>
      <c r="F14" s="2405"/>
      <c r="G14" s="2405"/>
      <c r="H14" s="2405"/>
      <c r="I14" s="2405"/>
      <c r="J14" s="2405"/>
      <c r="K14" s="2405"/>
      <c r="L14" s="2405"/>
      <c r="M14" s="2405"/>
      <c r="N14" s="2405"/>
      <c r="O14" s="2405"/>
      <c r="P14" s="2405"/>
      <c r="Q14" s="2405"/>
      <c r="R14" s="2405"/>
      <c r="S14" s="2405"/>
      <c r="T14" s="2405"/>
      <c r="U14" s="2405"/>
      <c r="V14" s="2405"/>
      <c r="W14" s="2405"/>
      <c r="X14" s="2405"/>
      <c r="Y14" s="2405"/>
      <c r="Z14" s="2405"/>
      <c r="AA14" s="2405"/>
      <c r="AB14" s="2405"/>
      <c r="AC14" s="2405"/>
      <c r="AD14" s="2405"/>
      <c r="AE14" s="2405"/>
      <c r="AF14" s="2405"/>
      <c r="AG14" s="2405"/>
      <c r="AH14" s="2405"/>
      <c r="AI14" s="2405"/>
      <c r="AJ14" s="2406"/>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5" t="s">
        <v>544</v>
      </c>
      <c r="C16" s="2385"/>
      <c r="D16" s="540"/>
      <c r="E16" s="2401" t="s">
        <v>2550</v>
      </c>
      <c r="F16" s="2402"/>
      <c r="G16" s="2402"/>
      <c r="H16" s="2402"/>
      <c r="I16" s="2402"/>
      <c r="J16" s="2402"/>
      <c r="K16" s="2402"/>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c r="AH16" s="2402"/>
      <c r="AI16" s="2402"/>
      <c r="AJ16" s="2403"/>
      <c r="AK16" s="540"/>
      <c r="AL16" s="540"/>
      <c r="AM16" s="540"/>
      <c r="AN16" s="535"/>
    </row>
    <row r="17" spans="1:50" s="536" customFormat="1" ht="12.75" customHeight="1">
      <c r="A17" s="540"/>
      <c r="B17" s="540"/>
      <c r="C17" s="540"/>
      <c r="D17" s="540"/>
      <c r="E17" s="2430"/>
      <c r="F17" s="2431"/>
      <c r="G17" s="2431"/>
      <c r="H17" s="2431"/>
      <c r="I17" s="2431"/>
      <c r="J17" s="2431"/>
      <c r="K17" s="2431"/>
      <c r="L17" s="2431"/>
      <c r="M17" s="2431"/>
      <c r="N17" s="2431"/>
      <c r="O17" s="2431"/>
      <c r="P17" s="2431"/>
      <c r="Q17" s="2431"/>
      <c r="R17" s="2431"/>
      <c r="S17" s="2431"/>
      <c r="T17" s="2431"/>
      <c r="U17" s="2431"/>
      <c r="V17" s="2431"/>
      <c r="W17" s="2431"/>
      <c r="X17" s="2431"/>
      <c r="Y17" s="2431"/>
      <c r="Z17" s="2431"/>
      <c r="AA17" s="2431"/>
      <c r="AB17" s="2431"/>
      <c r="AC17" s="2431"/>
      <c r="AD17" s="2431"/>
      <c r="AE17" s="2431"/>
      <c r="AF17" s="2431"/>
      <c r="AG17" s="2431"/>
      <c r="AH17" s="2431"/>
      <c r="AI17" s="2431"/>
      <c r="AJ17" s="2432"/>
      <c r="AK17" s="540"/>
      <c r="AL17" s="540"/>
      <c r="AM17" s="540"/>
      <c r="AN17" s="535"/>
    </row>
    <row r="18" spans="1:50" s="536" customFormat="1" ht="12.75" customHeight="1">
      <c r="A18" s="540"/>
      <c r="B18" s="540"/>
      <c r="C18" s="1135"/>
      <c r="D18" s="540"/>
      <c r="E18" s="2404"/>
      <c r="F18" s="2405"/>
      <c r="G18" s="2405"/>
      <c r="H18" s="2405"/>
      <c r="I18" s="2405"/>
      <c r="J18" s="2405"/>
      <c r="K18" s="2405"/>
      <c r="L18" s="2405"/>
      <c r="M18" s="2405"/>
      <c r="N18" s="2405"/>
      <c r="O18" s="2405"/>
      <c r="P18" s="2405"/>
      <c r="Q18" s="2405"/>
      <c r="R18" s="2405"/>
      <c r="S18" s="2405"/>
      <c r="T18" s="2405"/>
      <c r="U18" s="2405"/>
      <c r="V18" s="2405"/>
      <c r="W18" s="2405"/>
      <c r="X18" s="2405"/>
      <c r="Y18" s="2405"/>
      <c r="Z18" s="2405"/>
      <c r="AA18" s="2405"/>
      <c r="AB18" s="2405"/>
      <c r="AC18" s="2405"/>
      <c r="AD18" s="2405"/>
      <c r="AE18" s="2405"/>
      <c r="AF18" s="2405"/>
      <c r="AG18" s="2405"/>
      <c r="AH18" s="2405"/>
      <c r="AI18" s="2405"/>
      <c r="AJ18" s="2406"/>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5" t="s">
        <v>544</v>
      </c>
      <c r="C20" s="2385"/>
      <c r="D20" s="540"/>
      <c r="E20" s="2401" t="s">
        <v>1979</v>
      </c>
      <c r="F20" s="2402"/>
      <c r="G20" s="2402"/>
      <c r="H20" s="2402"/>
      <c r="I20" s="2402"/>
      <c r="J20" s="2402"/>
      <c r="K20" s="2402"/>
      <c r="L20" s="2402"/>
      <c r="M20" s="2402"/>
      <c r="N20" s="2402"/>
      <c r="O20" s="2402"/>
      <c r="P20" s="2402"/>
      <c r="Q20" s="2402"/>
      <c r="R20" s="2402"/>
      <c r="S20" s="2402"/>
      <c r="T20" s="2402"/>
      <c r="U20" s="2402"/>
      <c r="V20" s="2402"/>
      <c r="W20" s="2402"/>
      <c r="X20" s="2402"/>
      <c r="Y20" s="2402"/>
      <c r="Z20" s="2402"/>
      <c r="AA20" s="2402"/>
      <c r="AB20" s="2402"/>
      <c r="AC20" s="2402"/>
      <c r="AD20" s="2402"/>
      <c r="AE20" s="2402"/>
      <c r="AF20" s="2402"/>
      <c r="AG20" s="2402"/>
      <c r="AH20" s="2402"/>
      <c r="AI20" s="2402"/>
      <c r="AJ20" s="2403"/>
      <c r="AK20" s="540"/>
      <c r="AL20" s="540"/>
      <c r="AM20" s="540"/>
      <c r="AN20" s="535"/>
    </row>
    <row r="21" spans="1:50" s="536" customFormat="1" ht="12.75" customHeight="1">
      <c r="A21" s="540"/>
      <c r="B21" s="546"/>
      <c r="C21" s="546"/>
      <c r="D21" s="546"/>
      <c r="E21" s="2404"/>
      <c r="F21" s="2405"/>
      <c r="G21" s="2405"/>
      <c r="H21" s="2405"/>
      <c r="I21" s="2405"/>
      <c r="J21" s="2405"/>
      <c r="K21" s="2405"/>
      <c r="L21" s="2405"/>
      <c r="M21" s="2405"/>
      <c r="N21" s="2405"/>
      <c r="O21" s="2405"/>
      <c r="P21" s="2405"/>
      <c r="Q21" s="2405"/>
      <c r="R21" s="2405"/>
      <c r="S21" s="2405"/>
      <c r="T21" s="2405"/>
      <c r="U21" s="2405"/>
      <c r="V21" s="2405"/>
      <c r="W21" s="2405"/>
      <c r="X21" s="2405"/>
      <c r="Y21" s="2405"/>
      <c r="Z21" s="2405"/>
      <c r="AA21" s="2405"/>
      <c r="AB21" s="2405"/>
      <c r="AC21" s="2405"/>
      <c r="AD21" s="2405"/>
      <c r="AE21" s="2405"/>
      <c r="AF21" s="2405"/>
      <c r="AG21" s="2405"/>
      <c r="AH21" s="2405"/>
      <c r="AI21" s="2405"/>
      <c r="AJ21" s="2406"/>
      <c r="AK21" s="540"/>
      <c r="AL21" s="540"/>
      <c r="AM21" s="540"/>
      <c r="AN21" s="535"/>
      <c r="AO21" s="536">
        <f>IF(AND(B12="Yes",B16="Yes",B20="Yes"),10,0)</f>
        <v>10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2552</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2553</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5" t="s">
        <v>590</v>
      </c>
      <c r="C26" s="2385"/>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2"/>
      <c r="AH26" s="2422"/>
      <c r="AI26" s="2422"/>
      <c r="AJ26" s="2423"/>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2554</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5" t="s">
        <v>590</v>
      </c>
      <c r="C30" s="2385"/>
      <c r="D30" s="546"/>
      <c r="E30" s="2386" t="s">
        <v>2557</v>
      </c>
      <c r="F30" s="2387"/>
      <c r="G30" s="2387"/>
      <c r="H30" s="2387"/>
      <c r="I30" s="2387"/>
      <c r="J30" s="2387"/>
      <c r="K30" s="2387"/>
      <c r="L30" s="2387"/>
      <c r="M30" s="2387"/>
      <c r="N30" s="2387"/>
      <c r="O30" s="2387"/>
      <c r="P30" s="2387"/>
      <c r="Q30" s="2387"/>
      <c r="R30" s="2387"/>
      <c r="S30" s="2387"/>
      <c r="T30" s="2387"/>
      <c r="U30" s="2387"/>
      <c r="V30" s="2387"/>
      <c r="W30" s="2387"/>
      <c r="X30" s="2387"/>
      <c r="Y30" s="2387"/>
      <c r="Z30" s="2387"/>
      <c r="AA30" s="2387"/>
      <c r="AB30" s="2387"/>
      <c r="AC30" s="2387"/>
      <c r="AD30" s="2387"/>
      <c r="AE30" s="2387"/>
      <c r="AF30" s="2387"/>
      <c r="AG30" s="2387"/>
      <c r="AH30" s="2387"/>
      <c r="AI30" s="2387"/>
      <c r="AJ30" s="2388"/>
      <c r="AK30" s="540"/>
      <c r="AL30" s="540"/>
      <c r="AM30" s="540"/>
      <c r="AN30" s="535"/>
      <c r="AO30" s="549">
        <f>IF($B30="yes",9,0)</f>
        <v>0</v>
      </c>
    </row>
    <row r="31" spans="1:50" s="536" customFormat="1" ht="12.75" customHeight="1">
      <c r="A31" s="540"/>
      <c r="B31" s="540"/>
      <c r="C31" s="540"/>
      <c r="E31" s="2389"/>
      <c r="F31" s="2390"/>
      <c r="G31" s="2390"/>
      <c r="H31" s="2390"/>
      <c r="I31" s="2390"/>
      <c r="J31" s="2390"/>
      <c r="K31" s="2390"/>
      <c r="L31" s="2390"/>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1"/>
      <c r="AK31" s="540"/>
      <c r="AL31" s="540"/>
      <c r="AM31" s="540"/>
      <c r="AN31" s="535"/>
      <c r="AO31" s="549">
        <f>IF($B33="yes",9,0)</f>
        <v>9</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5" t="s">
        <v>544</v>
      </c>
      <c r="C33" s="2385"/>
      <c r="D33" s="546"/>
      <c r="E33" s="2386" t="s">
        <v>2558</v>
      </c>
      <c r="F33" s="2387"/>
      <c r="G33" s="2387"/>
      <c r="H33" s="2387"/>
      <c r="I33" s="2387"/>
      <c r="J33" s="2387"/>
      <c r="K33" s="2387"/>
      <c r="L33" s="2387"/>
      <c r="M33" s="2387"/>
      <c r="N33" s="2387"/>
      <c r="O33" s="2387"/>
      <c r="P33" s="2387"/>
      <c r="Q33" s="2387"/>
      <c r="R33" s="2387"/>
      <c r="S33" s="2387"/>
      <c r="T33" s="2387"/>
      <c r="U33" s="2387"/>
      <c r="V33" s="2387"/>
      <c r="W33" s="2387"/>
      <c r="X33" s="2387"/>
      <c r="Y33" s="2387"/>
      <c r="Z33" s="2387"/>
      <c r="AA33" s="2387"/>
      <c r="AB33" s="2387"/>
      <c r="AC33" s="2387"/>
      <c r="AD33" s="2387"/>
      <c r="AE33" s="2387"/>
      <c r="AF33" s="2387"/>
      <c r="AG33" s="2387"/>
      <c r="AH33" s="2387"/>
      <c r="AI33" s="2387"/>
      <c r="AJ33" s="2388"/>
      <c r="AK33" s="540"/>
      <c r="AL33" s="540"/>
      <c r="AM33" s="540"/>
      <c r="AN33" s="535"/>
      <c r="AO33" s="549">
        <f>IF($B39="yes",9,0)</f>
        <v>0</v>
      </c>
    </row>
    <row r="34" spans="1:43" s="536" customFormat="1" ht="12.75" customHeight="1">
      <c r="A34" s="540"/>
      <c r="B34" s="540"/>
      <c r="C34" s="540"/>
      <c r="D34" s="546"/>
      <c r="E34" s="2427"/>
      <c r="F34" s="2428"/>
      <c r="G34" s="2428"/>
      <c r="H34" s="2428"/>
      <c r="I34" s="2428"/>
      <c r="J34" s="2428"/>
      <c r="K34" s="2428"/>
      <c r="L34" s="2428"/>
      <c r="M34" s="2428"/>
      <c r="N34" s="2428"/>
      <c r="O34" s="2428"/>
      <c r="P34" s="2428"/>
      <c r="Q34" s="2428"/>
      <c r="R34" s="2428"/>
      <c r="S34" s="2428"/>
      <c r="T34" s="2428"/>
      <c r="U34" s="2428"/>
      <c r="V34" s="2428"/>
      <c r="W34" s="2428"/>
      <c r="X34" s="2428"/>
      <c r="Y34" s="2428"/>
      <c r="Z34" s="2428"/>
      <c r="AA34" s="2428"/>
      <c r="AB34" s="2428"/>
      <c r="AC34" s="2428"/>
      <c r="AD34" s="2428"/>
      <c r="AE34" s="2428"/>
      <c r="AF34" s="2428"/>
      <c r="AG34" s="2428"/>
      <c r="AH34" s="2428"/>
      <c r="AI34" s="2428"/>
      <c r="AJ34" s="2429"/>
      <c r="AK34" s="540"/>
      <c r="AL34" s="540"/>
      <c r="AM34" s="540"/>
      <c r="AN34" s="535"/>
      <c r="AO34" s="536">
        <f>MAX(AO30,AO31,AO32,AO33)</f>
        <v>9</v>
      </c>
      <c r="AP34" s="536" t="s">
        <v>1304</v>
      </c>
    </row>
    <row r="35" spans="1:43" s="536" customFormat="1" ht="12.75" customHeight="1">
      <c r="A35" s="540"/>
      <c r="B35" s="540"/>
      <c r="C35" s="540"/>
      <c r="E35" s="2389"/>
      <c r="F35" s="2390"/>
      <c r="G35" s="2390"/>
      <c r="H35" s="2390"/>
      <c r="I35" s="2390"/>
      <c r="J35" s="2390"/>
      <c r="K35" s="2390"/>
      <c r="L35" s="2390"/>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5" t="s">
        <v>590</v>
      </c>
      <c r="C37" s="2385"/>
      <c r="D37" s="1136"/>
      <c r="E37" s="2392" t="s">
        <v>2562</v>
      </c>
      <c r="F37" s="2393"/>
      <c r="G37" s="2393"/>
      <c r="H37" s="2393"/>
      <c r="I37" s="2393"/>
      <c r="J37" s="2393"/>
      <c r="K37" s="2393"/>
      <c r="L37" s="2393"/>
      <c r="M37" s="2393"/>
      <c r="N37" s="2393"/>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4"/>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5" t="s">
        <v>590</v>
      </c>
      <c r="C39" s="2385"/>
      <c r="D39" s="1136"/>
      <c r="E39" s="2392" t="s">
        <v>2559</v>
      </c>
      <c r="F39" s="2393"/>
      <c r="G39" s="2393"/>
      <c r="H39" s="2393"/>
      <c r="I39" s="2393"/>
      <c r="J39" s="2393"/>
      <c r="K39" s="2393"/>
      <c r="L39" s="2393"/>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4"/>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2555</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5" t="s">
        <v>590</v>
      </c>
      <c r="C43" s="2385"/>
      <c r="D43" s="546"/>
      <c r="E43" s="2395" t="s">
        <v>2561</v>
      </c>
      <c r="F43" s="2396"/>
      <c r="G43" s="2396"/>
      <c r="H43" s="2396"/>
      <c r="I43" s="2396"/>
      <c r="J43" s="2396"/>
      <c r="K43" s="2396"/>
      <c r="L43" s="2396"/>
      <c r="M43" s="2396"/>
      <c r="N43" s="2396"/>
      <c r="O43" s="2396"/>
      <c r="P43" s="2396"/>
      <c r="Q43" s="2396"/>
      <c r="R43" s="2396"/>
      <c r="S43" s="2396"/>
      <c r="T43" s="2396"/>
      <c r="U43" s="2396"/>
      <c r="V43" s="2396"/>
      <c r="W43" s="2396"/>
      <c r="X43" s="2396"/>
      <c r="Y43" s="2396"/>
      <c r="Z43" s="2396"/>
      <c r="AA43" s="2396"/>
      <c r="AB43" s="2396"/>
      <c r="AC43" s="2396"/>
      <c r="AD43" s="2396"/>
      <c r="AE43" s="2396"/>
      <c r="AF43" s="2396"/>
      <c r="AG43" s="2396"/>
      <c r="AH43" s="2396"/>
      <c r="AI43" s="2396"/>
      <c r="AJ43" s="2397"/>
      <c r="AK43" s="540"/>
      <c r="AL43" s="540"/>
      <c r="AM43" s="540"/>
      <c r="AN43" s="535"/>
      <c r="AO43" s="549">
        <f>IF($B43="yes",8,0)</f>
        <v>0</v>
      </c>
      <c r="AP43" s="14"/>
    </row>
    <row r="44" spans="1:43" s="536" customFormat="1" ht="12.75" customHeight="1">
      <c r="A44" s="540"/>
      <c r="B44" s="540"/>
      <c r="C44" s="540"/>
      <c r="D44" s="550"/>
      <c r="E44" s="2398"/>
      <c r="F44" s="2399"/>
      <c r="G44" s="2399"/>
      <c r="H44" s="2399"/>
      <c r="I44" s="2399"/>
      <c r="J44" s="2399"/>
      <c r="K44" s="2399"/>
      <c r="L44" s="2399"/>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400"/>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5" t="s">
        <v>590</v>
      </c>
      <c r="C46" s="2385"/>
      <c r="D46" s="546"/>
      <c r="E46" s="2386" t="s">
        <v>2560</v>
      </c>
      <c r="F46" s="2387"/>
      <c r="G46" s="2387"/>
      <c r="H46" s="2387"/>
      <c r="I46" s="2387"/>
      <c r="J46" s="2387"/>
      <c r="K46" s="2387"/>
      <c r="L46" s="2387"/>
      <c r="M46" s="2387"/>
      <c r="N46" s="2387"/>
      <c r="O46" s="2387"/>
      <c r="P46" s="2387"/>
      <c r="Q46" s="2387"/>
      <c r="R46" s="2387"/>
      <c r="S46" s="2387"/>
      <c r="T46" s="2387"/>
      <c r="U46" s="2387"/>
      <c r="V46" s="2387"/>
      <c r="W46" s="2387"/>
      <c r="X46" s="2387"/>
      <c r="Y46" s="2387"/>
      <c r="Z46" s="2387"/>
      <c r="AA46" s="2387"/>
      <c r="AB46" s="2387"/>
      <c r="AC46" s="2387"/>
      <c r="AD46" s="2387"/>
      <c r="AE46" s="2387"/>
      <c r="AF46" s="2387"/>
      <c r="AG46" s="2387"/>
      <c r="AH46" s="2387"/>
      <c r="AI46" s="2387"/>
      <c r="AJ46" s="2388"/>
      <c r="AK46" s="540"/>
      <c r="AL46" s="540"/>
      <c r="AM46" s="540"/>
      <c r="AN46" s="535"/>
      <c r="AO46" s="549">
        <f>IF($B52="yes",8,0)</f>
        <v>0</v>
      </c>
    </row>
    <row r="47" spans="1:43" s="536" customFormat="1" ht="12.75" customHeight="1">
      <c r="A47" s="540"/>
      <c r="B47" s="540"/>
      <c r="C47" s="540"/>
      <c r="D47" s="549"/>
      <c r="E47" s="2389"/>
      <c r="F47" s="2390"/>
      <c r="G47" s="2390"/>
      <c r="H47" s="2390"/>
      <c r="I47" s="2390"/>
      <c r="J47" s="2390"/>
      <c r="K47" s="2390"/>
      <c r="L47" s="2390"/>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1"/>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5" t="s">
        <v>590</v>
      </c>
      <c r="C49" s="2385"/>
      <c r="D49" s="546"/>
      <c r="E49" s="2401" t="s">
        <v>2640</v>
      </c>
      <c r="F49" s="2402"/>
      <c r="G49" s="2402"/>
      <c r="H49" s="2402"/>
      <c r="I49" s="2402"/>
      <c r="J49" s="2402"/>
      <c r="K49" s="2402"/>
      <c r="L49" s="2402"/>
      <c r="M49" s="2402"/>
      <c r="N49" s="2402"/>
      <c r="O49" s="2402"/>
      <c r="P49" s="2402"/>
      <c r="Q49" s="2402"/>
      <c r="R49" s="2402"/>
      <c r="S49" s="2402"/>
      <c r="T49" s="2402"/>
      <c r="U49" s="2402"/>
      <c r="V49" s="2402"/>
      <c r="W49" s="2402"/>
      <c r="X49" s="2402"/>
      <c r="Y49" s="2402"/>
      <c r="Z49" s="2402"/>
      <c r="AA49" s="2402"/>
      <c r="AB49" s="2402"/>
      <c r="AC49" s="2402"/>
      <c r="AD49" s="2402"/>
      <c r="AE49" s="2402"/>
      <c r="AF49" s="2402"/>
      <c r="AG49" s="2402"/>
      <c r="AH49" s="2402"/>
      <c r="AI49" s="2402"/>
      <c r="AJ49" s="2403"/>
      <c r="AK49" s="540"/>
      <c r="AL49" s="540"/>
      <c r="AM49" s="540"/>
      <c r="AN49" s="535"/>
      <c r="AO49" s="549"/>
    </row>
    <row r="50" spans="1:42" s="536" customFormat="1" ht="12.75" customHeight="1">
      <c r="A50" s="540"/>
      <c r="B50" s="540"/>
      <c r="C50" s="540"/>
      <c r="D50" s="549"/>
      <c r="E50" s="2404"/>
      <c r="F50" s="2405"/>
      <c r="G50" s="2405"/>
      <c r="H50" s="2405"/>
      <c r="I50" s="2405"/>
      <c r="J50" s="2405"/>
      <c r="K50" s="2405"/>
      <c r="L50" s="2405"/>
      <c r="M50" s="2405"/>
      <c r="N50" s="2405"/>
      <c r="O50" s="2405"/>
      <c r="P50" s="2405"/>
      <c r="Q50" s="2405"/>
      <c r="R50" s="2405"/>
      <c r="S50" s="2405"/>
      <c r="T50" s="2405"/>
      <c r="U50" s="2405"/>
      <c r="V50" s="2405"/>
      <c r="W50" s="2405"/>
      <c r="X50" s="2405"/>
      <c r="Y50" s="2405"/>
      <c r="Z50" s="2405"/>
      <c r="AA50" s="2405"/>
      <c r="AB50" s="2405"/>
      <c r="AC50" s="2405"/>
      <c r="AD50" s="2405"/>
      <c r="AE50" s="2405"/>
      <c r="AF50" s="2405"/>
      <c r="AG50" s="2405"/>
      <c r="AH50" s="2405"/>
      <c r="AI50" s="2405"/>
      <c r="AJ50" s="2406"/>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5" t="s">
        <v>590</v>
      </c>
      <c r="C52" s="2385"/>
      <c r="D52" s="546"/>
      <c r="E52" s="2392" t="s">
        <v>2641</v>
      </c>
      <c r="F52" s="2393"/>
      <c r="G52" s="2393"/>
      <c r="H52" s="2393"/>
      <c r="I52" s="2393"/>
      <c r="J52" s="2393"/>
      <c r="K52" s="2393"/>
      <c r="L52" s="2393"/>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4"/>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2556</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5" t="s">
        <v>590</v>
      </c>
      <c r="C56" s="2385"/>
      <c r="D56" s="546"/>
      <c r="E56" s="2401" t="s">
        <v>2563</v>
      </c>
      <c r="F56" s="2402"/>
      <c r="G56" s="2402"/>
      <c r="H56" s="2402"/>
      <c r="I56" s="2402"/>
      <c r="J56" s="2402"/>
      <c r="K56" s="2402"/>
      <c r="L56" s="2402"/>
      <c r="M56" s="2402"/>
      <c r="N56" s="2402"/>
      <c r="O56" s="2402"/>
      <c r="P56" s="2402"/>
      <c r="Q56" s="2402"/>
      <c r="R56" s="2402"/>
      <c r="S56" s="2402"/>
      <c r="T56" s="2402"/>
      <c r="U56" s="2402"/>
      <c r="V56" s="2402"/>
      <c r="W56" s="2402"/>
      <c r="X56" s="2402"/>
      <c r="Y56" s="2402"/>
      <c r="Z56" s="2402"/>
      <c r="AA56" s="2402"/>
      <c r="AB56" s="2402"/>
      <c r="AC56" s="2402"/>
      <c r="AD56" s="2402"/>
      <c r="AE56" s="2402"/>
      <c r="AF56" s="2402"/>
      <c r="AG56" s="2402"/>
      <c r="AH56" s="2402"/>
      <c r="AI56" s="2402"/>
      <c r="AJ56" s="2403"/>
      <c r="AK56" s="540"/>
      <c r="AL56" s="540"/>
      <c r="AM56" s="540"/>
      <c r="AN56" s="535"/>
      <c r="AO56" s="549">
        <f>IF($B59="yes",7,0)</f>
        <v>0</v>
      </c>
    </row>
    <row r="57" spans="1:42" s="536" customFormat="1" ht="12.75" customHeight="1">
      <c r="A57" s="540"/>
      <c r="B57" s="540"/>
      <c r="C57" s="540"/>
      <c r="D57" s="549"/>
      <c r="E57" s="2404"/>
      <c r="F57" s="2405"/>
      <c r="G57" s="2405"/>
      <c r="H57" s="2405"/>
      <c r="I57" s="2405"/>
      <c r="J57" s="2405"/>
      <c r="K57" s="2405"/>
      <c r="L57" s="2405"/>
      <c r="M57" s="2405"/>
      <c r="N57" s="2405"/>
      <c r="O57" s="2405"/>
      <c r="P57" s="2405"/>
      <c r="Q57" s="2405"/>
      <c r="R57" s="2405"/>
      <c r="S57" s="2405"/>
      <c r="T57" s="2405"/>
      <c r="U57" s="2405"/>
      <c r="V57" s="2405"/>
      <c r="W57" s="2405"/>
      <c r="X57" s="2405"/>
      <c r="Y57" s="2405"/>
      <c r="Z57" s="2405"/>
      <c r="AA57" s="2405"/>
      <c r="AB57" s="2405"/>
      <c r="AC57" s="2405"/>
      <c r="AD57" s="2405"/>
      <c r="AE57" s="2405"/>
      <c r="AF57" s="2405"/>
      <c r="AG57" s="2405"/>
      <c r="AH57" s="2405"/>
      <c r="AI57" s="2405"/>
      <c r="AJ57" s="2406"/>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5" t="s">
        <v>590</v>
      </c>
      <c r="C59" s="2385"/>
      <c r="D59" s="546"/>
      <c r="E59" s="2392" t="s">
        <v>2564</v>
      </c>
      <c r="F59" s="2393"/>
      <c r="G59" s="2393"/>
      <c r="H59" s="2393"/>
      <c r="I59" s="2393"/>
      <c r="J59" s="2393"/>
      <c r="K59" s="2393"/>
      <c r="L59" s="2393"/>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4"/>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19</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2565</v>
      </c>
      <c r="AK61" s="2424">
        <f>AO60</f>
        <v>19</v>
      </c>
      <c r="AL61" s="2425"/>
      <c r="AM61" s="2426"/>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3" t="s">
        <v>1307</v>
      </c>
      <c r="AF64" s="2413"/>
      <c r="AG64" s="2413"/>
      <c r="AH64" s="2413"/>
      <c r="AI64" s="2413"/>
      <c r="AJ64" s="2413"/>
      <c r="AK64" s="2413"/>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5" t="s">
        <v>590</v>
      </c>
      <c r="C67" s="2385"/>
      <c r="D67" s="546" t="s">
        <v>1308</v>
      </c>
      <c r="E67" s="2395" t="s">
        <v>1980</v>
      </c>
      <c r="F67" s="2396"/>
      <c r="G67" s="2396"/>
      <c r="H67" s="2396"/>
      <c r="I67" s="2396"/>
      <c r="J67" s="2396"/>
      <c r="K67" s="2396"/>
      <c r="L67" s="2396"/>
      <c r="M67" s="2396"/>
      <c r="N67" s="2396"/>
      <c r="O67" s="2396"/>
      <c r="P67" s="2396"/>
      <c r="Q67" s="2396"/>
      <c r="R67" s="2396"/>
      <c r="S67" s="2396"/>
      <c r="T67" s="2396"/>
      <c r="U67" s="2396"/>
      <c r="V67" s="2396"/>
      <c r="W67" s="2396"/>
      <c r="X67" s="2396"/>
      <c r="Y67" s="2396"/>
      <c r="Z67" s="2396"/>
      <c r="AA67" s="2396"/>
      <c r="AB67" s="2396"/>
      <c r="AC67" s="2396"/>
      <c r="AD67" s="2396"/>
      <c r="AE67" s="2396"/>
      <c r="AF67" s="2396"/>
      <c r="AG67" s="2396"/>
      <c r="AH67" s="2396"/>
      <c r="AI67" s="2396"/>
      <c r="AJ67" s="2397"/>
      <c r="AK67" s="543"/>
      <c r="AL67" s="540"/>
      <c r="AM67" s="540"/>
      <c r="AN67" s="535"/>
      <c r="AO67" s="549">
        <f>IF($B67="yes",10,0)</f>
        <v>0</v>
      </c>
    </row>
    <row r="68" spans="1:42" s="536" customFormat="1" ht="12.75" customHeight="1">
      <c r="A68" s="538"/>
      <c r="B68" s="540"/>
      <c r="C68" s="540"/>
      <c r="D68" s="550"/>
      <c r="E68" s="2414"/>
      <c r="F68" s="2415"/>
      <c r="G68" s="2415"/>
      <c r="H68" s="2415"/>
      <c r="I68" s="2415"/>
      <c r="J68" s="2415"/>
      <c r="K68" s="2415"/>
      <c r="L68" s="2415"/>
      <c r="M68" s="2415"/>
      <c r="N68" s="2415"/>
      <c r="O68" s="2415"/>
      <c r="P68" s="2415"/>
      <c r="Q68" s="2415"/>
      <c r="R68" s="2415"/>
      <c r="S68" s="2415"/>
      <c r="T68" s="2415"/>
      <c r="U68" s="2415"/>
      <c r="V68" s="2415"/>
      <c r="W68" s="2415"/>
      <c r="X68" s="2415"/>
      <c r="Y68" s="2415"/>
      <c r="Z68" s="2415"/>
      <c r="AA68" s="2415"/>
      <c r="AB68" s="2415"/>
      <c r="AC68" s="2415"/>
      <c r="AD68" s="2415"/>
      <c r="AE68" s="2415"/>
      <c r="AF68" s="2415"/>
      <c r="AG68" s="2415"/>
      <c r="AH68" s="2415"/>
      <c r="AI68" s="2415"/>
      <c r="AJ68" s="2416"/>
      <c r="AK68" s="543"/>
      <c r="AL68" s="540"/>
      <c r="AM68" s="540"/>
      <c r="AN68" s="535"/>
      <c r="AO68" s="549">
        <f>IF(AND($B73="yes",OR(E74="Yes",E75="Yes",E76="Yes")),10,0)</f>
        <v>0</v>
      </c>
    </row>
    <row r="69" spans="1:42" s="536" customFormat="1" ht="12.75" customHeight="1">
      <c r="A69" s="538"/>
      <c r="B69" s="540"/>
      <c r="C69" s="540"/>
      <c r="D69" s="550"/>
      <c r="E69" s="2414"/>
      <c r="F69" s="2415"/>
      <c r="G69" s="2415"/>
      <c r="H69" s="2415"/>
      <c r="I69" s="2415"/>
      <c r="J69" s="2415"/>
      <c r="K69" s="2415"/>
      <c r="L69" s="2415"/>
      <c r="M69" s="2415"/>
      <c r="N69" s="2415"/>
      <c r="O69" s="2415"/>
      <c r="P69" s="2415"/>
      <c r="Q69" s="2415"/>
      <c r="R69" s="2415"/>
      <c r="S69" s="2415"/>
      <c r="T69" s="2415"/>
      <c r="U69" s="2415"/>
      <c r="V69" s="2415"/>
      <c r="W69" s="2415"/>
      <c r="X69" s="2415"/>
      <c r="Y69" s="2415"/>
      <c r="Z69" s="2415"/>
      <c r="AA69" s="2415"/>
      <c r="AB69" s="2415"/>
      <c r="AC69" s="2415"/>
      <c r="AD69" s="2415"/>
      <c r="AE69" s="2415"/>
      <c r="AF69" s="2415"/>
      <c r="AG69" s="2415"/>
      <c r="AH69" s="2415"/>
      <c r="AI69" s="2415"/>
      <c r="AJ69" s="2416"/>
      <c r="AK69" s="543"/>
      <c r="AL69" s="540"/>
      <c r="AM69" s="540"/>
      <c r="AN69" s="535"/>
      <c r="AO69" s="549">
        <f>IF($B78="yes",10,0)</f>
        <v>0</v>
      </c>
    </row>
    <row r="70" spans="1:42" s="536" customFormat="1" ht="12.75" customHeight="1">
      <c r="A70" s="538"/>
      <c r="B70" s="540"/>
      <c r="C70" s="540"/>
      <c r="D70" s="550"/>
      <c r="E70" s="2414"/>
      <c r="F70" s="2415"/>
      <c r="G70" s="2415"/>
      <c r="H70" s="2415"/>
      <c r="I70" s="2415"/>
      <c r="J70" s="2415"/>
      <c r="K70" s="2415"/>
      <c r="L70" s="2415"/>
      <c r="M70" s="2415"/>
      <c r="N70" s="2415"/>
      <c r="O70" s="2415"/>
      <c r="P70" s="2415"/>
      <c r="Q70" s="2415"/>
      <c r="R70" s="2415"/>
      <c r="S70" s="2415"/>
      <c r="T70" s="2415"/>
      <c r="U70" s="2415"/>
      <c r="V70" s="2415"/>
      <c r="W70" s="2415"/>
      <c r="X70" s="2415"/>
      <c r="Y70" s="2415"/>
      <c r="Z70" s="2415"/>
      <c r="AA70" s="2415"/>
      <c r="AB70" s="2415"/>
      <c r="AC70" s="2415"/>
      <c r="AD70" s="2415"/>
      <c r="AE70" s="2415"/>
      <c r="AF70" s="2415"/>
      <c r="AG70" s="2415"/>
      <c r="AH70" s="2415"/>
      <c r="AI70" s="2415"/>
      <c r="AJ70" s="2416"/>
      <c r="AK70" s="543"/>
      <c r="AL70" s="540"/>
      <c r="AM70" s="540"/>
      <c r="AN70" s="535"/>
      <c r="AO70" s="549">
        <f>IF($B81="yes",10,0)</f>
        <v>0</v>
      </c>
    </row>
    <row r="71" spans="1:42" s="536" customFormat="1" ht="12.75" customHeight="1">
      <c r="A71" s="538"/>
      <c r="B71" s="540"/>
      <c r="C71" s="540"/>
      <c r="D71" s="550"/>
      <c r="E71" s="2398"/>
      <c r="F71" s="2399"/>
      <c r="G71" s="2399"/>
      <c r="H71" s="2399"/>
      <c r="I71" s="2399"/>
      <c r="J71" s="2399"/>
      <c r="K71" s="2399"/>
      <c r="L71" s="2399"/>
      <c r="M71" s="2399"/>
      <c r="N71" s="2399"/>
      <c r="O71" s="2399"/>
      <c r="P71" s="2399"/>
      <c r="Q71" s="2399"/>
      <c r="R71" s="2399"/>
      <c r="S71" s="2399"/>
      <c r="T71" s="2399"/>
      <c r="U71" s="2399"/>
      <c r="V71" s="2399"/>
      <c r="W71" s="2399"/>
      <c r="X71" s="2399"/>
      <c r="Y71" s="2399"/>
      <c r="Z71" s="2399"/>
      <c r="AA71" s="2399"/>
      <c r="AB71" s="2399"/>
      <c r="AC71" s="2399"/>
      <c r="AD71" s="2399"/>
      <c r="AE71" s="2399"/>
      <c r="AF71" s="2399"/>
      <c r="AG71" s="2399"/>
      <c r="AH71" s="2399"/>
      <c r="AI71" s="2399"/>
      <c r="AJ71" s="2400"/>
      <c r="AK71" s="543"/>
      <c r="AL71" s="540"/>
      <c r="AM71" s="540"/>
      <c r="AN71" s="535"/>
      <c r="AO71" s="536">
        <f>IF(SUM(AO67:AO69)&gt;10,10,(SUM(AO67:AO69)))</f>
        <v>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5" t="s">
        <v>590</v>
      </c>
      <c r="C73" s="2385"/>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17" t="s">
        <v>590</v>
      </c>
      <c r="F74" s="2385"/>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1" t="s">
        <v>590</v>
      </c>
      <c r="F75" s="2412"/>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1" t="s">
        <v>590</v>
      </c>
      <c r="F76" s="2412"/>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5" t="s">
        <v>590</v>
      </c>
      <c r="C78" s="2385"/>
      <c r="D78" s="546" t="s">
        <v>1313</v>
      </c>
      <c r="E78" s="2401" t="s">
        <v>1728</v>
      </c>
      <c r="F78" s="2402"/>
      <c r="G78" s="2402"/>
      <c r="H78" s="2402"/>
      <c r="I78" s="2402"/>
      <c r="J78" s="2402"/>
      <c r="K78" s="2402"/>
      <c r="L78" s="2402"/>
      <c r="M78" s="2402"/>
      <c r="N78" s="2402"/>
      <c r="O78" s="2402"/>
      <c r="P78" s="2402"/>
      <c r="Q78" s="2402"/>
      <c r="R78" s="2402"/>
      <c r="S78" s="2402"/>
      <c r="T78" s="2402"/>
      <c r="U78" s="2402"/>
      <c r="V78" s="2402"/>
      <c r="W78" s="2402"/>
      <c r="X78" s="2402"/>
      <c r="Y78" s="2402"/>
      <c r="Z78" s="2402"/>
      <c r="AA78" s="2402"/>
      <c r="AB78" s="2402"/>
      <c r="AC78" s="2402"/>
      <c r="AD78" s="2402"/>
      <c r="AE78" s="2402"/>
      <c r="AF78" s="2402"/>
      <c r="AG78" s="2402"/>
      <c r="AH78" s="2402"/>
      <c r="AI78" s="2402"/>
      <c r="AJ78" s="2403"/>
      <c r="AK78" s="543"/>
      <c r="AL78" s="540"/>
      <c r="AM78" s="540"/>
      <c r="AN78" s="535"/>
    </row>
    <row r="79" spans="1:42" s="536" customFormat="1" ht="12.75" customHeight="1">
      <c r="A79" s="538"/>
      <c r="B79" s="540"/>
      <c r="C79" s="540"/>
      <c r="E79" s="2404"/>
      <c r="F79" s="2405"/>
      <c r="G79" s="2405"/>
      <c r="H79" s="2405"/>
      <c r="I79" s="2405"/>
      <c r="J79" s="2405"/>
      <c r="K79" s="2405"/>
      <c r="L79" s="2405"/>
      <c r="M79" s="2405"/>
      <c r="N79" s="2405"/>
      <c r="O79" s="2405"/>
      <c r="P79" s="2405"/>
      <c r="Q79" s="2405"/>
      <c r="R79" s="2405"/>
      <c r="S79" s="2405"/>
      <c r="T79" s="2405"/>
      <c r="U79" s="2405"/>
      <c r="V79" s="2405"/>
      <c r="W79" s="2405"/>
      <c r="X79" s="2405"/>
      <c r="Y79" s="2405"/>
      <c r="Z79" s="2405"/>
      <c r="AA79" s="2405"/>
      <c r="AB79" s="2405"/>
      <c r="AC79" s="2405"/>
      <c r="AD79" s="2405"/>
      <c r="AE79" s="2405"/>
      <c r="AF79" s="2405"/>
      <c r="AG79" s="2405"/>
      <c r="AH79" s="2405"/>
      <c r="AI79" s="2405"/>
      <c r="AJ79" s="2406"/>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5" t="s">
        <v>590</v>
      </c>
      <c r="C81" s="2385"/>
      <c r="D81" s="546" t="s">
        <v>1460</v>
      </c>
      <c r="E81" s="2392" t="s">
        <v>1726</v>
      </c>
      <c r="F81" s="2393"/>
      <c r="G81" s="2393"/>
      <c r="H81" s="2393"/>
      <c r="I81" s="2393"/>
      <c r="J81" s="2393"/>
      <c r="K81" s="2393"/>
      <c r="L81" s="2393"/>
      <c r="M81" s="2393"/>
      <c r="N81" s="2393"/>
      <c r="O81" s="2393"/>
      <c r="P81" s="2393"/>
      <c r="Q81" s="2393"/>
      <c r="R81" s="2393"/>
      <c r="S81" s="2393"/>
      <c r="T81" s="2393"/>
      <c r="U81" s="2393"/>
      <c r="V81" s="2393"/>
      <c r="W81" s="2393"/>
      <c r="X81" s="2393"/>
      <c r="Y81" s="2393"/>
      <c r="Z81" s="2393"/>
      <c r="AA81" s="2393"/>
      <c r="AB81" s="2393"/>
      <c r="AC81" s="2393"/>
      <c r="AD81" s="2393"/>
      <c r="AE81" s="2393"/>
      <c r="AF81" s="2393"/>
      <c r="AG81" s="2393"/>
      <c r="AH81" s="2393"/>
      <c r="AI81" s="2393"/>
      <c r="AJ81" s="2394"/>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24">
        <f>IF(AK61&gt;0,0,AO71)</f>
        <v>0</v>
      </c>
      <c r="AL83" s="2425"/>
      <c r="AM83" s="2426"/>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3" t="s">
        <v>1302</v>
      </c>
      <c r="AF86" s="2413"/>
      <c r="AG86" s="2413"/>
      <c r="AH86" s="2413"/>
      <c r="AI86" s="2413"/>
      <c r="AJ86" s="2413"/>
      <c r="AK86" s="2413"/>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5" t="s">
        <v>544</v>
      </c>
      <c r="C89" s="2385"/>
      <c r="D89" s="546" t="s">
        <v>1308</v>
      </c>
      <c r="E89" s="2395" t="s">
        <v>1318</v>
      </c>
      <c r="F89" s="2396"/>
      <c r="G89" s="2396"/>
      <c r="H89" s="2396"/>
      <c r="I89" s="2396"/>
      <c r="J89" s="2396"/>
      <c r="K89" s="2396"/>
      <c r="L89" s="2396"/>
      <c r="M89" s="2396"/>
      <c r="N89" s="2396"/>
      <c r="O89" s="2396"/>
      <c r="P89" s="2396"/>
      <c r="Q89" s="2396"/>
      <c r="R89" s="2396"/>
      <c r="S89" s="2396"/>
      <c r="T89" s="2396"/>
      <c r="U89" s="2396"/>
      <c r="V89" s="2396"/>
      <c r="W89" s="2396"/>
      <c r="X89" s="2396"/>
      <c r="Y89" s="2396"/>
      <c r="Z89" s="2396"/>
      <c r="AA89" s="2396"/>
      <c r="AB89" s="2396"/>
      <c r="AC89" s="2396"/>
      <c r="AD89" s="2396"/>
      <c r="AE89" s="2396"/>
      <c r="AF89" s="2396"/>
      <c r="AG89" s="2396"/>
      <c r="AH89" s="2396"/>
      <c r="AI89" s="2396"/>
      <c r="AJ89" s="2397"/>
      <c r="AK89" s="543"/>
      <c r="AL89" s="540"/>
      <c r="AM89" s="540"/>
      <c r="AN89" s="535"/>
    </row>
    <row r="90" spans="1:43" s="536" customFormat="1" ht="12.75" customHeight="1">
      <c r="A90" s="538"/>
      <c r="B90" s="539"/>
      <c r="C90" s="539"/>
      <c r="D90" s="539"/>
      <c r="E90" s="2414"/>
      <c r="F90" s="2415"/>
      <c r="G90" s="2415"/>
      <c r="H90" s="2415"/>
      <c r="I90" s="2415"/>
      <c r="J90" s="2415"/>
      <c r="K90" s="2415"/>
      <c r="L90" s="2415"/>
      <c r="M90" s="2415"/>
      <c r="N90" s="2415"/>
      <c r="O90" s="2415"/>
      <c r="P90" s="2415"/>
      <c r="Q90" s="2415"/>
      <c r="R90" s="2415"/>
      <c r="S90" s="2415"/>
      <c r="T90" s="2415"/>
      <c r="U90" s="2415"/>
      <c r="V90" s="2415"/>
      <c r="W90" s="2415"/>
      <c r="X90" s="2415"/>
      <c r="Y90" s="2415"/>
      <c r="Z90" s="2415"/>
      <c r="AA90" s="2415"/>
      <c r="AB90" s="2415"/>
      <c r="AC90" s="2415"/>
      <c r="AD90" s="2415"/>
      <c r="AE90" s="2415"/>
      <c r="AF90" s="2415"/>
      <c r="AG90" s="2415"/>
      <c r="AH90" s="2415"/>
      <c r="AI90" s="2415"/>
      <c r="AJ90" s="241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07">
        <f>Application!AC761</f>
        <v>0.4</v>
      </c>
      <c r="F92" s="2408"/>
      <c r="G92" s="2408"/>
      <c r="H92" s="2408"/>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09">
        <f>0.6-ROUNDUP(E92,2)</f>
        <v>0.19999999999999996</v>
      </c>
      <c r="F93" s="2410"/>
      <c r="G93" s="2410"/>
      <c r="H93" s="2410"/>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36">
        <f>IF(E93*200&gt;20,20,E93*200)</f>
        <v>20</v>
      </c>
      <c r="F94" s="2437"/>
      <c r="G94" s="2437"/>
      <c r="H94" s="2437"/>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5" t="s">
        <v>590</v>
      </c>
      <c r="C97" s="2385"/>
      <c r="D97" s="546" t="s">
        <v>1310</v>
      </c>
      <c r="E97" s="2395" t="s">
        <v>1713</v>
      </c>
      <c r="F97" s="2396"/>
      <c r="G97" s="2396"/>
      <c r="H97" s="2396"/>
      <c r="I97" s="2396"/>
      <c r="J97" s="2396"/>
      <c r="K97" s="2396"/>
      <c r="L97" s="2396"/>
      <c r="M97" s="2396"/>
      <c r="N97" s="2396"/>
      <c r="O97" s="2396"/>
      <c r="P97" s="2396"/>
      <c r="Q97" s="2396"/>
      <c r="R97" s="2396"/>
      <c r="S97" s="2396"/>
      <c r="T97" s="2396"/>
      <c r="U97" s="2396"/>
      <c r="V97" s="2396"/>
      <c r="W97" s="2396"/>
      <c r="X97" s="2396"/>
      <c r="Y97" s="2396"/>
      <c r="Z97" s="2396"/>
      <c r="AA97" s="2396"/>
      <c r="AB97" s="2396"/>
      <c r="AC97" s="2396"/>
      <c r="AD97" s="2396"/>
      <c r="AE97" s="2396"/>
      <c r="AF97" s="2396"/>
      <c r="AG97" s="2396"/>
      <c r="AH97" s="2396"/>
      <c r="AI97" s="2396"/>
      <c r="AJ97" s="2397"/>
      <c r="AK97" s="543"/>
      <c r="AL97" s="540"/>
      <c r="AM97" s="540"/>
      <c r="AN97" s="535"/>
    </row>
    <row r="98" spans="1:47" s="536" customFormat="1" ht="12.75" customHeight="1">
      <c r="A98" s="538"/>
      <c r="B98" s="539"/>
      <c r="C98" s="539"/>
      <c r="D98" s="539"/>
      <c r="E98" s="2414"/>
      <c r="F98" s="2415"/>
      <c r="G98" s="2415"/>
      <c r="H98" s="2415"/>
      <c r="I98" s="2415"/>
      <c r="J98" s="2415"/>
      <c r="K98" s="2415"/>
      <c r="L98" s="2415"/>
      <c r="M98" s="2415"/>
      <c r="N98" s="2415"/>
      <c r="O98" s="2415"/>
      <c r="P98" s="2415"/>
      <c r="Q98" s="2415"/>
      <c r="R98" s="2415"/>
      <c r="S98" s="2415"/>
      <c r="T98" s="2415"/>
      <c r="U98" s="2415"/>
      <c r="V98" s="2415"/>
      <c r="W98" s="2415"/>
      <c r="X98" s="2415"/>
      <c r="Y98" s="2415"/>
      <c r="Z98" s="2415"/>
      <c r="AA98" s="2415"/>
      <c r="AB98" s="2415"/>
      <c r="AC98" s="2415"/>
      <c r="AD98" s="2415"/>
      <c r="AE98" s="2415"/>
      <c r="AF98" s="2415"/>
      <c r="AG98" s="2415"/>
      <c r="AH98" s="2415"/>
      <c r="AI98" s="2415"/>
      <c r="AJ98" s="2416"/>
      <c r="AK98" s="543"/>
      <c r="AL98" s="540"/>
      <c r="AM98" s="540"/>
      <c r="AN98" s="535"/>
    </row>
    <row r="99" spans="1:47" s="536" customFormat="1" ht="12.75" customHeight="1">
      <c r="A99" s="538"/>
      <c r="B99" s="539"/>
      <c r="C99" s="539"/>
      <c r="D99" s="539"/>
      <c r="E99" s="2414"/>
      <c r="F99" s="2415"/>
      <c r="G99" s="2415"/>
      <c r="H99" s="2415"/>
      <c r="I99" s="2415"/>
      <c r="J99" s="2415"/>
      <c r="K99" s="2415"/>
      <c r="L99" s="2415"/>
      <c r="M99" s="2415"/>
      <c r="N99" s="2415"/>
      <c r="O99" s="2415"/>
      <c r="P99" s="2415"/>
      <c r="Q99" s="2415"/>
      <c r="R99" s="2415"/>
      <c r="S99" s="2415"/>
      <c r="T99" s="2415"/>
      <c r="U99" s="2415"/>
      <c r="V99" s="2415"/>
      <c r="W99" s="2415"/>
      <c r="X99" s="2415"/>
      <c r="Y99" s="2415"/>
      <c r="Z99" s="2415"/>
      <c r="AA99" s="2415"/>
      <c r="AB99" s="2415"/>
      <c r="AC99" s="2415"/>
      <c r="AD99" s="2415"/>
      <c r="AE99" s="2415"/>
      <c r="AF99" s="2415"/>
      <c r="AG99" s="2415"/>
      <c r="AH99" s="2415"/>
      <c r="AI99" s="2415"/>
      <c r="AJ99" s="2416"/>
      <c r="AK99" s="543"/>
      <c r="AL99" s="540"/>
      <c r="AM99" s="540"/>
      <c r="AN99" s="535"/>
    </row>
    <row r="100" spans="1:47" s="536" customFormat="1" ht="12.75" customHeight="1">
      <c r="A100" s="538"/>
      <c r="B100" s="539"/>
      <c r="C100" s="539"/>
      <c r="D100" s="539"/>
      <c r="E100" s="2414"/>
      <c r="F100" s="2415"/>
      <c r="G100" s="2415"/>
      <c r="H100" s="2415"/>
      <c r="I100" s="2415"/>
      <c r="J100" s="2415"/>
      <c r="K100" s="2415"/>
      <c r="L100" s="2415"/>
      <c r="M100" s="2415"/>
      <c r="N100" s="2415"/>
      <c r="O100" s="2415"/>
      <c r="P100" s="2415"/>
      <c r="Q100" s="2415"/>
      <c r="R100" s="2415"/>
      <c r="S100" s="2415"/>
      <c r="T100" s="2415"/>
      <c r="U100" s="2415"/>
      <c r="V100" s="2415"/>
      <c r="W100" s="2415"/>
      <c r="X100" s="2415"/>
      <c r="Y100" s="2415"/>
      <c r="Z100" s="2415"/>
      <c r="AA100" s="2415"/>
      <c r="AB100" s="2415"/>
      <c r="AC100" s="2415"/>
      <c r="AD100" s="2415"/>
      <c r="AE100" s="2415"/>
      <c r="AF100" s="2415"/>
      <c r="AG100" s="2415"/>
      <c r="AH100" s="2415"/>
      <c r="AI100" s="2415"/>
      <c r="AJ100" s="241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07">
        <f>Application!AC761</f>
        <v>0.4</v>
      </c>
      <c r="F102" s="2408"/>
      <c r="G102" s="2408"/>
      <c r="H102" s="2408"/>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07">
        <f ca="1">SUMIF(Application!AC726:AG760,0.2,Application!G726:J760)/Application!G761+SUMIF(Application!AC726:AG760,0.25,Application!G726:J760)/Application!G761+SUMIF(Application!AC726:AG760,0.3,Application!G726:J760)/Application!G761</f>
        <v>0.5</v>
      </c>
      <c r="F103" s="2408"/>
      <c r="G103" s="2408"/>
      <c r="H103" s="2408"/>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07">
        <f ca="1">SUMIF(Application!AC726:AG760,0.35,Application!G726:J760)/Application!G761+SUMIF(Application!AC726:AG760,0.4,Application!G726:J760)/Application!G761+SUMIF(Application!AC726:AG760,0.45,Application!G726:J760)/Application!G761+SUMIF(Application!AC726:AG760,0.5,Application!G726:J760)/Application!G761</f>
        <v>0.5</v>
      </c>
      <c r="F104" s="2408"/>
      <c r="G104" s="2408"/>
      <c r="H104" s="2408"/>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2">
        <f ca="1">IF(AND(E102&lt;=0.6,OR(AND(E103&gt;=0.1,E104&gt;=0.1),AND(E103&gt;0.1,(E103+E104)&gt;=0.2))),20,0)</f>
        <v>20</v>
      </c>
      <c r="F105" s="2443"/>
      <c r="G105" s="2443"/>
      <c r="H105" s="2443"/>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24">
        <f>MAX(AP94,AP105)</f>
        <v>20</v>
      </c>
      <c r="AL108" s="2425"/>
      <c r="AM108" s="2426"/>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3" t="s">
        <v>1307</v>
      </c>
      <c r="AF111" s="2413"/>
      <c r="AG111" s="2413"/>
      <c r="AH111" s="2413"/>
      <c r="AI111" s="2413"/>
      <c r="AJ111" s="2413"/>
      <c r="AK111" s="2413"/>
      <c r="AL111" s="540"/>
      <c r="AM111" s="540"/>
      <c r="AN111" s="535"/>
      <c r="AO111" s="536" t="str">
        <f>Application!B726</f>
        <v>1 Bedroom</v>
      </c>
      <c r="AQ111" s="536">
        <f>Application!O726</f>
        <v>822</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1390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f>Application!B728</f>
        <v>0</v>
      </c>
      <c r="AQ113" s="536">
        <f>Application!O728</f>
        <v>0</v>
      </c>
    </row>
    <row r="114" spans="1:52" s="536" customFormat="1" ht="12.75" customHeight="1">
      <c r="A114" s="540"/>
      <c r="B114" s="2385" t="s">
        <v>544</v>
      </c>
      <c r="C114" s="2385"/>
      <c r="D114" s="546" t="s">
        <v>1308</v>
      </c>
      <c r="E114" s="2395" t="s">
        <v>2566</v>
      </c>
      <c r="F114" s="2396"/>
      <c r="G114" s="2396"/>
      <c r="H114" s="2396"/>
      <c r="I114" s="2396"/>
      <c r="J114" s="2396"/>
      <c r="K114" s="2396"/>
      <c r="L114" s="2396"/>
      <c r="M114" s="2396"/>
      <c r="N114" s="2396"/>
      <c r="O114" s="2396"/>
      <c r="P114" s="2396"/>
      <c r="Q114" s="2396"/>
      <c r="R114" s="2396"/>
      <c r="S114" s="2396"/>
      <c r="T114" s="2396"/>
      <c r="U114" s="2396"/>
      <c r="V114" s="2396"/>
      <c r="W114" s="2396"/>
      <c r="X114" s="2396"/>
      <c r="Y114" s="2396"/>
      <c r="Z114" s="2396"/>
      <c r="AA114" s="2396"/>
      <c r="AB114" s="2396"/>
      <c r="AC114" s="2396"/>
      <c r="AD114" s="2396"/>
      <c r="AE114" s="2396"/>
      <c r="AF114" s="2396"/>
      <c r="AG114" s="2396"/>
      <c r="AH114" s="2396"/>
      <c r="AI114" s="2396"/>
      <c r="AJ114" s="2397"/>
      <c r="AK114" s="540"/>
      <c r="AL114" s="540"/>
      <c r="AM114" s="540"/>
      <c r="AN114" s="535"/>
      <c r="AO114" s="536">
        <f>Application!B729</f>
        <v>0</v>
      </c>
      <c r="AQ114" s="536">
        <f>Application!O729</f>
        <v>0</v>
      </c>
      <c r="AU114" s="536" t="s">
        <v>1816</v>
      </c>
      <c r="AV114" s="593" t="s">
        <v>1817</v>
      </c>
      <c r="AW114" s="536" t="s">
        <v>1818</v>
      </c>
    </row>
    <row r="115" spans="1:52" s="536" customFormat="1" ht="12.75" customHeight="1">
      <c r="A115" s="540"/>
      <c r="B115" s="539"/>
      <c r="C115" s="539"/>
      <c r="D115" s="539"/>
      <c r="E115" s="2414"/>
      <c r="F115" s="2415"/>
      <c r="G115" s="2415"/>
      <c r="H115" s="2415"/>
      <c r="I115" s="2415"/>
      <c r="J115" s="2415"/>
      <c r="K115" s="2415"/>
      <c r="L115" s="2415"/>
      <c r="M115" s="2415"/>
      <c r="N115" s="2415"/>
      <c r="O115" s="2415"/>
      <c r="P115" s="2415"/>
      <c r="Q115" s="2415"/>
      <c r="R115" s="2415"/>
      <c r="S115" s="2415"/>
      <c r="T115" s="2415"/>
      <c r="U115" s="2415"/>
      <c r="V115" s="2415"/>
      <c r="W115" s="2415"/>
      <c r="X115" s="2415"/>
      <c r="Y115" s="2415"/>
      <c r="Z115" s="2415"/>
      <c r="AA115" s="2415"/>
      <c r="AB115" s="2415"/>
      <c r="AC115" s="2415"/>
      <c r="AD115" s="2415"/>
      <c r="AE115" s="2415"/>
      <c r="AF115" s="2415"/>
      <c r="AG115" s="2415"/>
      <c r="AH115" s="2415"/>
      <c r="AI115" s="2415"/>
      <c r="AJ115" s="2416"/>
      <c r="AK115" s="540"/>
      <c r="AL115" s="540"/>
      <c r="AM115" s="540"/>
      <c r="AN115" s="535"/>
      <c r="AO115" s="536">
        <f>Application!B730</f>
        <v>0</v>
      </c>
      <c r="AQ115" s="536">
        <f>Application!O730</f>
        <v>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14"/>
      <c r="F116" s="2415"/>
      <c r="G116" s="2415"/>
      <c r="H116" s="2415"/>
      <c r="I116" s="2415"/>
      <c r="J116" s="2415"/>
      <c r="K116" s="2415"/>
      <c r="L116" s="2415"/>
      <c r="M116" s="2415"/>
      <c r="N116" s="2415"/>
      <c r="O116" s="2415"/>
      <c r="P116" s="2415"/>
      <c r="Q116" s="2415"/>
      <c r="R116" s="2415"/>
      <c r="S116" s="2415"/>
      <c r="T116" s="2415"/>
      <c r="U116" s="2415"/>
      <c r="V116" s="2415"/>
      <c r="W116" s="2415"/>
      <c r="X116" s="2415"/>
      <c r="Y116" s="2415"/>
      <c r="Z116" s="2415"/>
      <c r="AA116" s="2415"/>
      <c r="AB116" s="2415"/>
      <c r="AC116" s="2415"/>
      <c r="AD116" s="2415"/>
      <c r="AE116" s="2415"/>
      <c r="AF116" s="2415"/>
      <c r="AG116" s="2415"/>
      <c r="AH116" s="2415"/>
      <c r="AI116" s="2415"/>
      <c r="AJ116" s="2416"/>
      <c r="AK116" s="540"/>
      <c r="AL116" s="540"/>
      <c r="AM116" s="540"/>
      <c r="AN116" s="535"/>
      <c r="AO116" s="536">
        <f>Application!B731</f>
        <v>0</v>
      </c>
      <c r="AQ116" s="536">
        <f>Application!O731</f>
        <v>0</v>
      </c>
      <c r="AU116" s="852" t="str">
        <f>J123</f>
        <v>1-bedroom</v>
      </c>
      <c r="AV116" s="536">
        <f t="array" ref="AV116">SUM(IF(Application!B726:F760="1 Bedroom",Application!G726:J760))</f>
        <v>60</v>
      </c>
      <c r="AW116" s="1006">
        <f>AV116/AV121</f>
        <v>1</v>
      </c>
    </row>
    <row r="117" spans="1:52" s="536" customFormat="1" ht="12.75" customHeight="1">
      <c r="A117" s="540"/>
      <c r="B117" s="539"/>
      <c r="C117" s="539"/>
      <c r="D117" s="539"/>
      <c r="E117" s="2414"/>
      <c r="F117" s="2415"/>
      <c r="G117" s="2415"/>
      <c r="H117" s="2415"/>
      <c r="I117" s="2415"/>
      <c r="J117" s="2415"/>
      <c r="K117" s="2415"/>
      <c r="L117" s="2415"/>
      <c r="M117" s="2415"/>
      <c r="N117" s="2415"/>
      <c r="O117" s="2415"/>
      <c r="P117" s="2415"/>
      <c r="Q117" s="2415"/>
      <c r="R117" s="2415"/>
      <c r="S117" s="2415"/>
      <c r="T117" s="2415"/>
      <c r="U117" s="2415"/>
      <c r="V117" s="2415"/>
      <c r="W117" s="2415"/>
      <c r="X117" s="2415"/>
      <c r="Y117" s="2415"/>
      <c r="Z117" s="2415"/>
      <c r="AA117" s="2415"/>
      <c r="AB117" s="2415"/>
      <c r="AC117" s="2415"/>
      <c r="AD117" s="2415"/>
      <c r="AE117" s="2415"/>
      <c r="AF117" s="2415"/>
      <c r="AG117" s="2415"/>
      <c r="AH117" s="2415"/>
      <c r="AI117" s="2415"/>
      <c r="AJ117" s="2416"/>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414"/>
      <c r="F118" s="2415"/>
      <c r="G118" s="2415"/>
      <c r="H118" s="2415"/>
      <c r="I118" s="2415"/>
      <c r="J118" s="2415"/>
      <c r="K118" s="2415"/>
      <c r="L118" s="2415"/>
      <c r="M118" s="2415"/>
      <c r="N118" s="2415"/>
      <c r="O118" s="2415"/>
      <c r="P118" s="2415"/>
      <c r="Q118" s="2415"/>
      <c r="R118" s="2415"/>
      <c r="S118" s="2415"/>
      <c r="T118" s="2415"/>
      <c r="U118" s="2415"/>
      <c r="V118" s="2415"/>
      <c r="W118" s="2415"/>
      <c r="X118" s="2415"/>
      <c r="Y118" s="2415"/>
      <c r="Z118" s="2415"/>
      <c r="AA118" s="2415"/>
      <c r="AB118" s="2415"/>
      <c r="AC118" s="2415"/>
      <c r="AD118" s="2415"/>
      <c r="AE118" s="2415"/>
      <c r="AF118" s="2415"/>
      <c r="AG118" s="2415"/>
      <c r="AH118" s="2415"/>
      <c r="AI118" s="2415"/>
      <c r="AJ118" s="2416"/>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414"/>
      <c r="F119" s="2415"/>
      <c r="G119" s="2415"/>
      <c r="H119" s="2415"/>
      <c r="I119" s="2415"/>
      <c r="J119" s="2415"/>
      <c r="K119" s="2415"/>
      <c r="L119" s="2415"/>
      <c r="M119" s="2415"/>
      <c r="N119" s="2415"/>
      <c r="O119" s="2415"/>
      <c r="P119" s="2415"/>
      <c r="Q119" s="2415"/>
      <c r="R119" s="2415"/>
      <c r="S119" s="2415"/>
      <c r="T119" s="2415"/>
      <c r="U119" s="2415"/>
      <c r="V119" s="2415"/>
      <c r="W119" s="2415"/>
      <c r="X119" s="2415"/>
      <c r="Y119" s="2415"/>
      <c r="Z119" s="2415"/>
      <c r="AA119" s="2415"/>
      <c r="AB119" s="2415"/>
      <c r="AC119" s="2415"/>
      <c r="AD119" s="2415"/>
      <c r="AE119" s="2415"/>
      <c r="AF119" s="2415"/>
      <c r="AG119" s="2415"/>
      <c r="AH119" s="2415"/>
      <c r="AI119" s="2415"/>
      <c r="AJ119" s="2416"/>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4"/>
      <c r="F120" s="2415"/>
      <c r="G120" s="2415"/>
      <c r="H120" s="2415"/>
      <c r="I120" s="2415"/>
      <c r="J120" s="2415"/>
      <c r="K120" s="2415"/>
      <c r="L120" s="2415"/>
      <c r="M120" s="2415"/>
      <c r="N120" s="2415"/>
      <c r="O120" s="2415"/>
      <c r="P120" s="2415"/>
      <c r="Q120" s="2415"/>
      <c r="R120" s="2415"/>
      <c r="S120" s="2415"/>
      <c r="T120" s="2415"/>
      <c r="U120" s="2415"/>
      <c r="V120" s="2415"/>
      <c r="W120" s="2415"/>
      <c r="X120" s="2415"/>
      <c r="Y120" s="2415"/>
      <c r="Z120" s="2415"/>
      <c r="AA120" s="2415"/>
      <c r="AB120" s="2415"/>
      <c r="AC120" s="2415"/>
      <c r="AD120" s="2415"/>
      <c r="AE120" s="2415"/>
      <c r="AF120" s="2415"/>
      <c r="AG120" s="2415"/>
      <c r="AH120" s="2415"/>
      <c r="AI120" s="2415"/>
      <c r="AJ120" s="2416"/>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4"/>
      <c r="F121" s="2415"/>
      <c r="G121" s="2415"/>
      <c r="H121" s="2415"/>
      <c r="I121" s="2415"/>
      <c r="J121" s="2415"/>
      <c r="K121" s="2415"/>
      <c r="L121" s="2415"/>
      <c r="M121" s="2415"/>
      <c r="N121" s="2415"/>
      <c r="O121" s="2415"/>
      <c r="P121" s="2415"/>
      <c r="Q121" s="2415"/>
      <c r="R121" s="2415"/>
      <c r="S121" s="2415"/>
      <c r="T121" s="2415"/>
      <c r="U121" s="2415"/>
      <c r="V121" s="2415"/>
      <c r="W121" s="2415"/>
      <c r="X121" s="2415"/>
      <c r="Y121" s="2415"/>
      <c r="Z121" s="2415"/>
      <c r="AA121" s="2415"/>
      <c r="AB121" s="2415"/>
      <c r="AC121" s="2415"/>
      <c r="AD121" s="2415"/>
      <c r="AE121" s="2415"/>
      <c r="AF121" s="2415"/>
      <c r="AG121" s="2415"/>
      <c r="AH121" s="2415"/>
      <c r="AI121" s="2415"/>
      <c r="AJ121" s="2416"/>
      <c r="AK121" s="540"/>
      <c r="AL121" s="540"/>
      <c r="AM121" s="540"/>
      <c r="AN121" s="535"/>
      <c r="AO121" s="536">
        <f>Application!B736</f>
        <v>0</v>
      </c>
      <c r="AQ121" s="536">
        <f>Application!O736</f>
        <v>0</v>
      </c>
      <c r="AV121" s="536">
        <f>SUM(AV115:AV120)</f>
        <v>60</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07" t="s">
        <v>1576</v>
      </c>
      <c r="F123" s="2408"/>
      <c r="G123" s="2408"/>
      <c r="H123" s="2408"/>
      <c r="I123" s="575"/>
      <c r="J123" s="2408" t="s">
        <v>1619</v>
      </c>
      <c r="K123" s="2408"/>
      <c r="L123" s="2408"/>
      <c r="M123" s="2408"/>
      <c r="N123" s="575"/>
      <c r="O123" s="2408" t="s">
        <v>1620</v>
      </c>
      <c r="P123" s="2408"/>
      <c r="Q123" s="2408"/>
      <c r="R123" s="2408"/>
      <c r="S123" s="575"/>
      <c r="T123" s="2408" t="s">
        <v>1327</v>
      </c>
      <c r="U123" s="2408"/>
      <c r="V123" s="2408"/>
      <c r="W123" s="2408"/>
      <c r="X123" s="575"/>
      <c r="Y123" s="2408" t="s">
        <v>1621</v>
      </c>
      <c r="Z123" s="2408"/>
      <c r="AA123" s="2408"/>
      <c r="AB123" s="2408"/>
      <c r="AC123" s="575"/>
      <c r="AD123" s="2408" t="s">
        <v>1622</v>
      </c>
      <c r="AE123" s="2408"/>
      <c r="AF123" s="2408"/>
      <c r="AG123" s="2408"/>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4"/>
      <c r="F126" s="2445"/>
      <c r="G126" s="2445"/>
      <c r="H126" s="2445"/>
      <c r="I126" s="860"/>
      <c r="J126" s="2445">
        <v>1871</v>
      </c>
      <c r="K126" s="2445"/>
      <c r="L126" s="2445"/>
      <c r="M126" s="2445"/>
      <c r="N126" s="860"/>
      <c r="O126" s="2445"/>
      <c r="P126" s="2445"/>
      <c r="Q126" s="2445"/>
      <c r="R126" s="2445"/>
      <c r="S126" s="860"/>
      <c r="T126" s="2445"/>
      <c r="U126" s="2445"/>
      <c r="V126" s="2445"/>
      <c r="W126" s="2445"/>
      <c r="X126" s="860"/>
      <c r="Y126" s="2445"/>
      <c r="Z126" s="2445"/>
      <c r="AA126" s="2445"/>
      <c r="AB126" s="2445"/>
      <c r="AC126" s="860"/>
      <c r="AD126" s="2445"/>
      <c r="AE126" s="2445"/>
      <c r="AF126" s="2445"/>
      <c r="AG126" s="2445"/>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18">
        <f>Application!DX678</f>
        <v>0</v>
      </c>
      <c r="F129" s="2419"/>
      <c r="G129" s="2419"/>
      <c r="H129" s="2419"/>
      <c r="I129" s="860"/>
      <c r="J129" s="2419">
        <f>Application!EC678</f>
        <v>1106</v>
      </c>
      <c r="K129" s="2419"/>
      <c r="L129" s="2419"/>
      <c r="M129" s="2419"/>
      <c r="N129" s="860"/>
      <c r="O129" s="2419">
        <f>Application!EH678</f>
        <v>0</v>
      </c>
      <c r="P129" s="2419"/>
      <c r="Q129" s="2419"/>
      <c r="R129" s="2419"/>
      <c r="S129" s="864"/>
      <c r="T129" s="2419">
        <f>Application!EM678</f>
        <v>0</v>
      </c>
      <c r="U129" s="2419"/>
      <c r="V129" s="2419"/>
      <c r="W129" s="2419"/>
      <c r="X129" s="864"/>
      <c r="Y129" s="2419">
        <f>Application!ER678</f>
        <v>0</v>
      </c>
      <c r="Z129" s="2419"/>
      <c r="AA129" s="2419"/>
      <c r="AB129" s="2419"/>
      <c r="AC129" s="864"/>
      <c r="AD129" s="2419">
        <f>Application!EW678</f>
        <v>0</v>
      </c>
      <c r="AE129" s="2419"/>
      <c r="AF129" s="2419"/>
      <c r="AG129" s="2419"/>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17" t="e">
        <f>(E126-E129)/E126</f>
        <v>#DIV/0!</v>
      </c>
      <c r="F132" s="2410"/>
      <c r="G132" s="2410"/>
      <c r="H132" s="2618"/>
      <c r="I132" s="575"/>
      <c r="J132" s="2617">
        <f>(J126-J129)/J126</f>
        <v>0.40887226082308925</v>
      </c>
      <c r="K132" s="2410"/>
      <c r="L132" s="2410"/>
      <c r="M132" s="2618"/>
      <c r="N132" s="575"/>
      <c r="O132" s="2617" t="e">
        <f>(O126-O129)/O126</f>
        <v>#DIV/0!</v>
      </c>
      <c r="P132" s="2410"/>
      <c r="Q132" s="2410"/>
      <c r="R132" s="2618"/>
      <c r="S132" s="575"/>
      <c r="T132" s="2617" t="e">
        <f>(T126-T129)/T126</f>
        <v>#DIV/0!</v>
      </c>
      <c r="U132" s="2410"/>
      <c r="V132" s="2410"/>
      <c r="W132" s="2618"/>
      <c r="X132" s="575"/>
      <c r="Y132" s="2617" t="e">
        <f>(Y126-Y129)/Y126</f>
        <v>#DIV/0!</v>
      </c>
      <c r="Z132" s="2410"/>
      <c r="AA132" s="2410"/>
      <c r="AB132" s="2618"/>
      <c r="AC132" s="575"/>
      <c r="AD132" s="2617" t="e">
        <f>(AD126-AD129)/AD126</f>
        <v>#DIV/0!</v>
      </c>
      <c r="AE132" s="2410"/>
      <c r="AF132" s="2410"/>
      <c r="AG132" s="2618"/>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3" t="e">
        <f>IF(((E132-0.1)*AW115)&gt;0,((E132-0.1)*AW115),0)</f>
        <v>#DIV/0!</v>
      </c>
      <c r="F135" s="2434"/>
      <c r="G135" s="2434"/>
      <c r="H135" s="2435"/>
      <c r="I135" s="575"/>
      <c r="J135" s="2433">
        <f>IF(((J132-0.1)*AW116)&gt;0,((J132-0.1)*AW116),0)</f>
        <v>0.30887226082308927</v>
      </c>
      <c r="K135" s="2434"/>
      <c r="L135" s="2434"/>
      <c r="M135" s="2435"/>
      <c r="N135" s="575"/>
      <c r="O135" s="2433" t="e">
        <f>IF(((O132-0.1)*AW117)&gt;0,((O132-0.1)*AW117),0)</f>
        <v>#DIV/0!</v>
      </c>
      <c r="P135" s="2434"/>
      <c r="Q135" s="2434"/>
      <c r="R135" s="2435"/>
      <c r="S135" s="575"/>
      <c r="T135" s="2433" t="e">
        <f>IF(((T132-0.1)*AW118)&gt;0,((T132-0.1)*AW118),0)</f>
        <v>#DIV/0!</v>
      </c>
      <c r="U135" s="2434"/>
      <c r="V135" s="2434"/>
      <c r="W135" s="2435"/>
      <c r="X135" s="575"/>
      <c r="Y135" s="2433" t="e">
        <f>IF(((Y132-0.1)*AW119)&gt;0,((Y132-0.1)*AW119),0)</f>
        <v>#DIV/0!</v>
      </c>
      <c r="Z135" s="2434"/>
      <c r="AA135" s="2434"/>
      <c r="AB135" s="2435"/>
      <c r="AC135" s="575"/>
      <c r="AD135" s="2433" t="e">
        <f>IF(((AD132-0.1)*AW120)&gt;0,((AD132-0.1)*AW120),0)</f>
        <v>#DIV/0!</v>
      </c>
      <c r="AE135" s="2434"/>
      <c r="AF135" s="2434"/>
      <c r="AG135" s="2435"/>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17">
        <f>ROUNDDOWN(SUMIF(E135:AG135,"&gt;0"),2)</f>
        <v>0.3</v>
      </c>
      <c r="F137" s="2410"/>
      <c r="G137" s="2410"/>
      <c r="H137" s="2618"/>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4">
        <f>IF((E137*100)&gt;10,10,E137*100)</f>
        <v>10</v>
      </c>
      <c r="F138" s="2425"/>
      <c r="G138" s="2425"/>
      <c r="H138" s="2426"/>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24">
        <f>E138</f>
        <v>10</v>
      </c>
      <c r="AL142" s="2425"/>
      <c r="AM142" s="2426"/>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13" t="s">
        <v>1307</v>
      </c>
      <c r="AF145" s="2413"/>
      <c r="AG145" s="2413"/>
      <c r="AH145" s="2413"/>
      <c r="AI145" s="2413"/>
      <c r="AJ145" s="2413"/>
      <c r="AK145" s="2413"/>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46" t="s">
        <v>1331</v>
      </c>
      <c r="AG147" s="2446"/>
      <c r="AH147" s="2446"/>
      <c r="AI147" s="2446"/>
      <c r="AJ147" s="2446"/>
      <c r="AK147" s="2446"/>
      <c r="AL147" s="2446"/>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56" t="s">
        <v>2656</v>
      </c>
      <c r="C149" s="2456"/>
      <c r="D149" s="2456"/>
      <c r="E149" s="2456"/>
      <c r="F149" s="2456"/>
      <c r="G149" s="2456"/>
      <c r="H149" s="2456"/>
      <c r="I149" s="2456"/>
      <c r="J149" s="2456"/>
      <c r="K149" s="2456"/>
      <c r="L149" s="2456"/>
      <c r="M149" s="2456"/>
      <c r="N149" s="2456"/>
      <c r="O149" s="2456"/>
      <c r="P149" s="2456"/>
      <c r="Q149" s="2456"/>
      <c r="R149" s="2456"/>
      <c r="S149" s="2456"/>
      <c r="T149" s="2456"/>
      <c r="U149" s="2456"/>
      <c r="V149" s="2456"/>
      <c r="W149" s="2456"/>
      <c r="X149" s="2456"/>
      <c r="Y149" s="2456"/>
      <c r="Z149" s="2456"/>
      <c r="AA149" s="2456"/>
      <c r="AB149" s="2456"/>
      <c r="AC149" s="245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57" t="s">
        <v>1334</v>
      </c>
      <c r="C152" s="2457"/>
      <c r="D152" s="2457"/>
      <c r="E152" s="2457"/>
      <c r="F152" s="2457"/>
      <c r="G152" s="2457"/>
      <c r="H152" s="2457"/>
      <c r="I152" s="2457"/>
      <c r="J152" s="2457"/>
      <c r="K152" s="2457"/>
      <c r="L152" s="2457"/>
      <c r="M152" s="2457"/>
      <c r="N152" s="2457"/>
      <c r="O152" s="2457"/>
      <c r="P152" s="2457"/>
      <c r="Q152" s="2457"/>
      <c r="R152" s="2457"/>
      <c r="S152" s="2457"/>
      <c r="T152" s="2457"/>
      <c r="U152" s="2457"/>
      <c r="V152" s="2457"/>
      <c r="W152" s="2457"/>
      <c r="X152" s="2457"/>
      <c r="Y152" s="2457"/>
      <c r="Z152" s="2457"/>
      <c r="AA152" s="2457"/>
      <c r="AB152" s="2457"/>
      <c r="AC152" s="2457"/>
      <c r="AD152" s="2457"/>
      <c r="AE152" s="2457"/>
      <c r="AF152" s="2457"/>
      <c r="AG152" s="2457"/>
      <c r="AH152" s="2457"/>
      <c r="AI152" s="2457"/>
      <c r="AM152" s="539"/>
      <c r="AN152" s="535"/>
      <c r="AO152" s="476" t="s">
        <v>1334</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2625</v>
      </c>
      <c r="AP153" s="489">
        <v>7</v>
      </c>
    </row>
    <row r="154" spans="1:42" s="536" customFormat="1" ht="12.75" customHeight="1">
      <c r="A154" s="538"/>
      <c r="B154" s="539" t="s">
        <v>1335</v>
      </c>
      <c r="AB154" s="2458" t="s">
        <v>590</v>
      </c>
      <c r="AC154" s="2458"/>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57" t="s">
        <v>1336</v>
      </c>
      <c r="C157" s="2457"/>
      <c r="D157" s="2457"/>
      <c r="E157" s="2457"/>
      <c r="F157" s="2457"/>
      <c r="G157" s="2457"/>
      <c r="H157" s="2457"/>
      <c r="I157" s="2457"/>
      <c r="J157" s="2457"/>
      <c r="K157" s="2457"/>
      <c r="L157" s="2457"/>
      <c r="M157" s="2457"/>
      <c r="N157" s="2457"/>
      <c r="O157" s="2457"/>
      <c r="P157" s="2457"/>
      <c r="Q157" s="2457"/>
      <c r="R157" s="2457"/>
      <c r="S157" s="2457"/>
      <c r="T157" s="2457"/>
      <c r="U157" s="2457"/>
      <c r="V157" s="2457"/>
      <c r="W157" s="2457"/>
      <c r="X157" s="2457"/>
      <c r="Y157" s="2457"/>
      <c r="Z157" s="2457"/>
      <c r="AA157" s="2457"/>
      <c r="AB157" s="2457"/>
      <c r="AC157" s="2457"/>
      <c r="AD157" s="2457"/>
      <c r="AE157" s="2457"/>
      <c r="AF157" s="2457"/>
      <c r="AG157" s="2457"/>
      <c r="AH157" s="2457"/>
      <c r="AI157" s="2457"/>
      <c r="AJ157" s="2457"/>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2" t="s">
        <v>2405</v>
      </c>
      <c r="C160" s="2622"/>
      <c r="D160" s="2622"/>
      <c r="E160" s="2622"/>
      <c r="F160" s="2622"/>
      <c r="G160" s="2622"/>
      <c r="H160" s="2622"/>
      <c r="I160" s="2622"/>
      <c r="J160" s="2622"/>
      <c r="K160" s="2622"/>
      <c r="L160" s="2622"/>
      <c r="M160" s="2622"/>
      <c r="N160" s="2622"/>
      <c r="O160" s="2622"/>
      <c r="P160" s="2622"/>
      <c r="Q160" s="2622"/>
      <c r="R160" s="2622"/>
      <c r="S160" s="2622"/>
      <c r="T160" s="2622"/>
      <c r="U160" s="2622"/>
      <c r="V160" s="2622"/>
      <c r="W160" s="2622"/>
      <c r="X160" s="2622"/>
      <c r="Y160" s="2622"/>
      <c r="Z160" s="2622"/>
      <c r="AA160" s="2622"/>
      <c r="AB160" s="2622"/>
      <c r="AC160" s="2622"/>
      <c r="AD160" s="2622"/>
      <c r="AE160" s="2622"/>
      <c r="AF160" s="2622"/>
      <c r="AG160" s="2622"/>
      <c r="AH160" s="2622"/>
      <c r="AI160" s="2622"/>
      <c r="AJ160" s="2622"/>
      <c r="AK160" s="1173"/>
      <c r="AM160" s="539"/>
      <c r="AN160" s="535"/>
      <c r="AO160" s="476"/>
      <c r="AP160" s="489"/>
    </row>
    <row r="161" spans="1:42" s="536" customFormat="1" ht="12.75" customHeight="1">
      <c r="B161" s="2622"/>
      <c r="C161" s="2622"/>
      <c r="D161" s="2622"/>
      <c r="E161" s="2622"/>
      <c r="F161" s="2622"/>
      <c r="G161" s="2622"/>
      <c r="H161" s="2622"/>
      <c r="I161" s="2622"/>
      <c r="J161" s="2622"/>
      <c r="K161" s="2622"/>
      <c r="L161" s="2622"/>
      <c r="M161" s="2622"/>
      <c r="N161" s="2622"/>
      <c r="O161" s="2622"/>
      <c r="P161" s="2622"/>
      <c r="Q161" s="2622"/>
      <c r="R161" s="2622"/>
      <c r="S161" s="2622"/>
      <c r="T161" s="2622"/>
      <c r="U161" s="2622"/>
      <c r="V161" s="2622"/>
      <c r="W161" s="2622"/>
      <c r="X161" s="2622"/>
      <c r="Y161" s="2622"/>
      <c r="Z161" s="2622"/>
      <c r="AA161" s="2622"/>
      <c r="AB161" s="2622"/>
      <c r="AC161" s="2622"/>
      <c r="AD161" s="2622"/>
      <c r="AE161" s="2622"/>
      <c r="AF161" s="2622"/>
      <c r="AG161" s="2622"/>
      <c r="AH161" s="2622"/>
      <c r="AI161" s="2622"/>
      <c r="AJ161" s="2622"/>
      <c r="AK161" s="1173"/>
      <c r="AM161" s="539"/>
      <c r="AN161" s="535"/>
      <c r="AO161" s="476"/>
      <c r="AP161" s="489"/>
    </row>
    <row r="162" spans="1:42" s="536" customFormat="1" ht="12.75" customHeight="1">
      <c r="C162" s="2533" t="s">
        <v>2406</v>
      </c>
      <c r="D162" s="2533"/>
      <c r="E162" s="2533"/>
      <c r="F162" s="2533"/>
      <c r="G162" s="2533"/>
      <c r="H162" s="2533"/>
      <c r="I162" s="2533"/>
      <c r="J162" s="2533"/>
      <c r="K162" s="2533"/>
      <c r="L162" s="2533"/>
      <c r="M162" s="2533"/>
      <c r="N162" s="2533"/>
      <c r="O162" s="2533"/>
      <c r="P162" s="2533"/>
      <c r="Q162" s="2533"/>
      <c r="R162" s="2533"/>
      <c r="S162" s="2533"/>
      <c r="T162" s="2533"/>
      <c r="U162" s="2533"/>
      <c r="V162" s="2533"/>
      <c r="W162" s="2533"/>
      <c r="X162" s="2533"/>
      <c r="Y162" s="2533"/>
      <c r="Z162" s="2533"/>
      <c r="AA162" s="2533"/>
      <c r="AB162" s="2533"/>
      <c r="AC162" s="2533"/>
      <c r="AD162" s="2533"/>
      <c r="AE162" s="2533"/>
      <c r="AF162" s="2533"/>
      <c r="AG162" s="2533"/>
      <c r="AH162" s="2533"/>
      <c r="AI162" s="2533"/>
      <c r="AJ162" s="2533"/>
      <c r="AK162" s="1173"/>
      <c r="AM162" s="539"/>
      <c r="AN162" s="535"/>
      <c r="AO162" s="476"/>
      <c r="AP162" s="489"/>
    </row>
    <row r="163" spans="1:42" s="536" customFormat="1" ht="12.75" customHeight="1">
      <c r="B163" s="1173"/>
      <c r="C163" s="2455" t="s">
        <v>2404</v>
      </c>
      <c r="D163" s="2455"/>
      <c r="E163" s="2455"/>
      <c r="F163" s="2455"/>
      <c r="G163" s="2455"/>
      <c r="H163" s="2455"/>
      <c r="I163" s="2455"/>
      <c r="J163" s="2455"/>
      <c r="K163" s="2455"/>
      <c r="L163" s="2455"/>
      <c r="M163" s="2455"/>
      <c r="N163" s="2455"/>
      <c r="O163" s="2455"/>
      <c r="P163" s="2455"/>
      <c r="Q163" s="2455"/>
      <c r="R163" s="2455"/>
      <c r="S163" s="2455"/>
      <c r="T163" s="2455"/>
      <c r="U163" s="2455"/>
      <c r="V163" s="2455"/>
      <c r="W163" s="2455"/>
      <c r="X163" s="2455"/>
      <c r="Y163" s="2455"/>
      <c r="Z163" s="2455"/>
      <c r="AA163" s="1163"/>
      <c r="AB163" s="1163"/>
      <c r="AC163" s="1163"/>
      <c r="AD163" s="1163"/>
      <c r="AE163" s="1163"/>
      <c r="AF163" s="1163"/>
      <c r="AG163" s="1163"/>
      <c r="AH163" s="1163"/>
      <c r="AJ163" s="2458" t="s">
        <v>590</v>
      </c>
      <c r="AK163" s="2458"/>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61">
        <f>IF($AB$154="N/A",VLOOKUP($B$152,$AO$150:$AP$153,2,FALSE),VLOOKUP($B$157,$AO$155:$AP$157,2,FALSE))</f>
        <v>7</v>
      </c>
      <c r="AK165" s="2461"/>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46" t="s">
        <v>1345</v>
      </c>
      <c r="AG167" s="2446"/>
      <c r="AH167" s="2446"/>
      <c r="AI167" s="2446"/>
      <c r="AJ167" s="2446"/>
      <c r="AK167" s="2446"/>
      <c r="AL167" s="2446"/>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57" t="s">
        <v>1343</v>
      </c>
      <c r="D169" s="2457"/>
      <c r="E169" s="2457"/>
      <c r="F169" s="2457"/>
      <c r="G169" s="2457"/>
      <c r="H169" s="2457"/>
      <c r="I169" s="2457"/>
      <c r="J169" s="2457"/>
      <c r="K169" s="2457"/>
      <c r="L169" s="2457"/>
      <c r="M169" s="2457"/>
      <c r="N169" s="2457"/>
      <c r="O169" s="2457"/>
      <c r="P169" s="2457"/>
      <c r="Q169" s="2457"/>
      <c r="R169" s="2457"/>
      <c r="S169" s="2457"/>
      <c r="T169" s="2457"/>
      <c r="U169" s="2457"/>
      <c r="V169" s="2457"/>
      <c r="W169" s="2457"/>
      <c r="X169" s="2457"/>
      <c r="Y169" s="2457"/>
      <c r="Z169" s="2457"/>
      <c r="AA169" s="2457"/>
      <c r="AB169" s="2457"/>
      <c r="AC169" s="2457"/>
      <c r="AD169" s="2457"/>
      <c r="AE169" s="2457"/>
      <c r="AF169" s="2457"/>
      <c r="AG169" s="2457"/>
      <c r="AH169" s="2457"/>
      <c r="AI169" s="2457"/>
      <c r="AJ169" s="536"/>
      <c r="AK169" s="536"/>
      <c r="AL169" s="536"/>
      <c r="AM169" s="601"/>
      <c r="AN169" s="595"/>
      <c r="AO169" s="476" t="s">
        <v>306</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58" t="s">
        <v>590</v>
      </c>
      <c r="AG171" s="2458"/>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57" t="s">
        <v>1336</v>
      </c>
      <c r="D173" s="2457"/>
      <c r="E173" s="2457"/>
      <c r="F173" s="2457"/>
      <c r="G173" s="2457"/>
      <c r="H173" s="2457"/>
      <c r="I173" s="2457"/>
      <c r="J173" s="2457"/>
      <c r="K173" s="2457"/>
      <c r="L173" s="2457"/>
      <c r="M173" s="2457"/>
      <c r="N173" s="2457"/>
      <c r="O173" s="2457"/>
      <c r="P173" s="2457"/>
      <c r="Q173" s="2457"/>
      <c r="R173" s="2457"/>
      <c r="S173" s="2457"/>
      <c r="T173" s="2457"/>
      <c r="U173" s="2457"/>
      <c r="V173" s="2457"/>
      <c r="W173" s="2457"/>
      <c r="X173" s="2457"/>
      <c r="Y173" s="2457"/>
      <c r="Z173" s="2457"/>
      <c r="AA173" s="2457"/>
      <c r="AB173" s="2457"/>
      <c r="AC173" s="2457"/>
      <c r="AD173" s="2457"/>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59" t="str">
        <f>Application!AA344</f>
        <v>HumanGood Affordable Housing</v>
      </c>
      <c r="D177" s="2459"/>
      <c r="E177" s="2459"/>
      <c r="F177" s="2459"/>
      <c r="G177" s="2459"/>
      <c r="H177" s="2459"/>
      <c r="I177" s="2459"/>
      <c r="J177" s="2459"/>
      <c r="K177" s="2459"/>
      <c r="L177" s="2459"/>
      <c r="M177" s="2459"/>
      <c r="N177" s="2459"/>
      <c r="O177" s="2459"/>
      <c r="P177" s="2459"/>
      <c r="Q177" s="2459"/>
      <c r="R177" s="2459"/>
      <c r="S177" s="2459"/>
      <c r="T177" s="2459"/>
      <c r="U177" s="2459"/>
      <c r="V177" s="2459"/>
      <c r="W177" s="2459"/>
      <c r="X177" s="2459"/>
      <c r="Y177" s="2459"/>
      <c r="Z177" s="2459"/>
      <c r="AA177" s="2459"/>
      <c r="AB177" s="2459"/>
      <c r="AC177" s="2459"/>
      <c r="AD177" s="2459"/>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60">
        <f>IF($AF$171="N/A",VLOOKUP($C$169,$AO$169:$AP$172,2,FALSE),VLOOKUP($C$173,$AO$176:$AP$178,2,FALSE))</f>
        <v>3</v>
      </c>
      <c r="AK179" s="2460"/>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24">
        <f>$AJ$165+$AJ$179</f>
        <v>10</v>
      </c>
      <c r="AL182" s="2425"/>
      <c r="AM182" s="2426"/>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3" t="s">
        <v>1307</v>
      </c>
      <c r="AF185" s="2413"/>
      <c r="AG185" s="2413"/>
      <c r="AH185" s="2413"/>
      <c r="AI185" s="2413"/>
      <c r="AJ185" s="2413"/>
      <c r="AK185" s="2413"/>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54" t="s">
        <v>1353</v>
      </c>
      <c r="C187" s="2454"/>
      <c r="D187" s="2454"/>
      <c r="E187" s="2454"/>
      <c r="F187" s="2454"/>
      <c r="G187" s="2454"/>
      <c r="H187" s="2454"/>
      <c r="I187" s="2454"/>
      <c r="J187" s="2454"/>
      <c r="K187" s="2454"/>
      <c r="L187" s="2454"/>
      <c r="M187" s="2454"/>
      <c r="N187" s="2454"/>
      <c r="O187" s="2454"/>
      <c r="P187" s="2454"/>
      <c r="Q187" s="2454"/>
      <c r="R187" s="2454"/>
      <c r="S187" s="2454"/>
      <c r="T187" s="2454"/>
      <c r="U187" s="2454"/>
      <c r="V187" s="2454"/>
      <c r="W187" s="2454"/>
      <c r="X187" s="2454"/>
      <c r="Y187" s="2454"/>
      <c r="Z187" s="2454"/>
      <c r="AA187" s="2454"/>
      <c r="AB187" s="2454"/>
      <c r="AC187" s="2454"/>
      <c r="AD187" s="536"/>
      <c r="AE187" s="536"/>
      <c r="AF187" s="2446" t="s">
        <v>1356</v>
      </c>
      <c r="AG187" s="2446"/>
      <c r="AH187" s="2446"/>
      <c r="AI187" s="2446"/>
      <c r="AJ187" s="2446"/>
      <c r="AK187" s="2446"/>
      <c r="AL187" s="2446"/>
      <c r="AN187" s="595"/>
      <c r="AP187" s="549" t="s">
        <v>1042</v>
      </c>
      <c r="AQ187" s="549">
        <v>10</v>
      </c>
    </row>
    <row r="188" spans="1:73" s="549" customFormat="1" ht="12.75" customHeight="1">
      <c r="A188" s="536"/>
      <c r="B188" s="2455" t="s">
        <v>1714</v>
      </c>
      <c r="C188" s="2455"/>
      <c r="D188" s="2455"/>
      <c r="E188" s="2455"/>
      <c r="F188" s="2455"/>
      <c r="G188" s="2455"/>
      <c r="H188" s="2455"/>
      <c r="I188" s="2455"/>
      <c r="J188" s="2455"/>
      <c r="K188" s="2455"/>
      <c r="L188" s="2455"/>
      <c r="M188" s="2455"/>
      <c r="N188" s="2455"/>
      <c r="O188" s="2455"/>
      <c r="P188" s="2455"/>
      <c r="Q188" s="2455"/>
      <c r="R188" s="2455"/>
      <c r="S188" s="2455"/>
      <c r="T188" s="2456" t="s">
        <v>590</v>
      </c>
      <c r="U188" s="2456"/>
      <c r="V188" s="2456"/>
      <c r="W188" s="2456"/>
      <c r="X188" s="2456"/>
      <c r="Y188" s="2456"/>
      <c r="Z188" s="2456"/>
      <c r="AA188" s="2456"/>
      <c r="AB188" s="2456"/>
      <c r="AC188" s="2456"/>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2626</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71">
        <f>IF(AK83&gt;0,VLOOKUP($B$187,AP184:AQ190,2,FALSE),0)</f>
        <v>0</v>
      </c>
      <c r="AL190" s="2472"/>
      <c r="AM190" s="2473"/>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3" t="s">
        <v>1364</v>
      </c>
      <c r="AF193" s="2413"/>
      <c r="AG193" s="2413"/>
      <c r="AH193" s="2413"/>
      <c r="AI193" s="2413"/>
      <c r="AJ193" s="2413"/>
      <c r="AK193" s="2413"/>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48"/>
      <c r="C198" s="2448"/>
      <c r="D198" s="2448"/>
      <c r="E198" s="2448"/>
      <c r="F198" s="2448"/>
      <c r="G198" s="2448"/>
      <c r="H198" s="2448"/>
      <c r="I198" s="2448"/>
      <c r="J198" s="2448"/>
      <c r="K198" s="2448"/>
      <c r="L198" s="2448"/>
      <c r="M198" s="2448"/>
      <c r="N198" s="2448"/>
      <c r="O198" s="2448"/>
      <c r="P198" s="2448"/>
      <c r="Q198" s="2448"/>
      <c r="R198" s="2448"/>
      <c r="S198" s="2448"/>
      <c r="T198" s="2448"/>
      <c r="U198" s="2448"/>
      <c r="V198" s="2448"/>
      <c r="W198" s="2448"/>
      <c r="X198" s="2448"/>
      <c r="Y198" s="2448"/>
      <c r="Z198" s="2448"/>
      <c r="AA198" s="2448"/>
      <c r="AB198" s="2448"/>
      <c r="AC198" s="842"/>
      <c r="AD198" s="2449"/>
      <c r="AE198" s="2449"/>
      <c r="AF198" s="2449"/>
      <c r="AG198" s="2449"/>
      <c r="AH198" s="2449"/>
      <c r="AI198" s="2449"/>
      <c r="AJ198" s="2449"/>
      <c r="AK198" s="608"/>
    </row>
    <row r="199" spans="1:37" hidden="1">
      <c r="A199" s="603"/>
      <c r="B199" s="2448"/>
      <c r="C199" s="2448"/>
      <c r="D199" s="2448"/>
      <c r="E199" s="2448"/>
      <c r="F199" s="2448"/>
      <c r="G199" s="2448"/>
      <c r="H199" s="2448"/>
      <c r="I199" s="2448"/>
      <c r="J199" s="2448"/>
      <c r="K199" s="2448"/>
      <c r="L199" s="2448"/>
      <c r="M199" s="2448"/>
      <c r="N199" s="2448"/>
      <c r="O199" s="2448"/>
      <c r="P199" s="2448"/>
      <c r="Q199" s="2448"/>
      <c r="R199" s="2448"/>
      <c r="S199" s="2448"/>
      <c r="T199" s="2448"/>
      <c r="U199" s="2448"/>
      <c r="V199" s="2448"/>
      <c r="W199" s="2448"/>
      <c r="X199" s="2448"/>
      <c r="Y199" s="2448"/>
      <c r="Z199" s="2448"/>
      <c r="AA199" s="2448"/>
      <c r="AB199" s="2448"/>
      <c r="AC199" s="842"/>
      <c r="AD199" s="2449"/>
      <c r="AE199" s="2449"/>
      <c r="AF199" s="2449"/>
      <c r="AG199" s="2449"/>
      <c r="AH199" s="2449"/>
      <c r="AI199" s="2449"/>
      <c r="AJ199" s="2449"/>
      <c r="AK199" s="608"/>
    </row>
    <row r="200" spans="1:37" hidden="1">
      <c r="A200" s="603"/>
      <c r="B200" s="2448"/>
      <c r="C200" s="2448"/>
      <c r="D200" s="2448"/>
      <c r="E200" s="2448"/>
      <c r="F200" s="2448"/>
      <c r="G200" s="2448"/>
      <c r="H200" s="2448"/>
      <c r="I200" s="2448"/>
      <c r="J200" s="2448"/>
      <c r="K200" s="2448"/>
      <c r="L200" s="2448"/>
      <c r="M200" s="2448"/>
      <c r="N200" s="2448"/>
      <c r="O200" s="2448"/>
      <c r="P200" s="2448"/>
      <c r="Q200" s="2448"/>
      <c r="R200" s="2448"/>
      <c r="S200" s="2448"/>
      <c r="T200" s="2448"/>
      <c r="U200" s="2448"/>
      <c r="V200" s="2448"/>
      <c r="W200" s="2448"/>
      <c r="X200" s="2448"/>
      <c r="Y200" s="2448"/>
      <c r="Z200" s="2448"/>
      <c r="AA200" s="2448"/>
      <c r="AB200" s="2448"/>
      <c r="AC200" s="842"/>
      <c r="AD200" s="2449"/>
      <c r="AE200" s="2449"/>
      <c r="AF200" s="2449"/>
      <c r="AG200" s="2449"/>
      <c r="AH200" s="2449"/>
      <c r="AI200" s="2449"/>
      <c r="AJ200" s="2449"/>
      <c r="AK200" s="608"/>
    </row>
    <row r="201" spans="1:37" hidden="1">
      <c r="A201" s="603"/>
      <c r="B201" s="2448"/>
      <c r="C201" s="2448"/>
      <c r="D201" s="2448"/>
      <c r="E201" s="2448"/>
      <c r="F201" s="2448"/>
      <c r="G201" s="2448"/>
      <c r="H201" s="2448"/>
      <c r="I201" s="2448"/>
      <c r="J201" s="2448"/>
      <c r="K201" s="2448"/>
      <c r="L201" s="2448"/>
      <c r="M201" s="2448"/>
      <c r="N201" s="2448"/>
      <c r="O201" s="2448"/>
      <c r="P201" s="2448"/>
      <c r="Q201" s="2448"/>
      <c r="R201" s="2448"/>
      <c r="S201" s="2448"/>
      <c r="T201" s="2448"/>
      <c r="U201" s="2448"/>
      <c r="V201" s="2448"/>
      <c r="W201" s="2448"/>
      <c r="X201" s="2448"/>
      <c r="Y201" s="2448"/>
      <c r="Z201" s="2448"/>
      <c r="AA201" s="2448"/>
      <c r="AB201" s="2448"/>
      <c r="AC201" s="842"/>
      <c r="AD201" s="2449"/>
      <c r="AE201" s="2449"/>
      <c r="AF201" s="2449"/>
      <c r="AG201" s="2449"/>
      <c r="AH201" s="2449"/>
      <c r="AI201" s="2449"/>
      <c r="AJ201" s="2449"/>
      <c r="AK201" s="608"/>
    </row>
    <row r="202" spans="1:37" hidden="1">
      <c r="A202" s="603"/>
      <c r="B202" s="2448"/>
      <c r="C202" s="2448"/>
      <c r="D202" s="2448"/>
      <c r="E202" s="2448"/>
      <c r="F202" s="2448"/>
      <c r="G202" s="2448"/>
      <c r="H202" s="2448"/>
      <c r="I202" s="2448"/>
      <c r="J202" s="2448"/>
      <c r="K202" s="2448"/>
      <c r="L202" s="2448"/>
      <c r="M202" s="2448"/>
      <c r="N202" s="2448"/>
      <c r="O202" s="2448"/>
      <c r="P202" s="2448"/>
      <c r="Q202" s="2448"/>
      <c r="R202" s="2448"/>
      <c r="S202" s="2448"/>
      <c r="T202" s="2448"/>
      <c r="U202" s="2448"/>
      <c r="V202" s="2448"/>
      <c r="W202" s="2448"/>
      <c r="X202" s="2448"/>
      <c r="Y202" s="2448"/>
      <c r="Z202" s="2448"/>
      <c r="AA202" s="2448"/>
      <c r="AB202" s="2448"/>
      <c r="AC202" s="842"/>
      <c r="AD202" s="2449"/>
      <c r="AE202" s="2449"/>
      <c r="AF202" s="2449"/>
      <c r="AG202" s="2449"/>
      <c r="AH202" s="2449"/>
      <c r="AI202" s="2449"/>
      <c r="AJ202" s="2449"/>
      <c r="AK202" s="608"/>
    </row>
    <row r="203" spans="1:37" hidden="1">
      <c r="A203" s="603"/>
      <c r="B203" s="2448"/>
      <c r="C203" s="2448"/>
      <c r="D203" s="2448"/>
      <c r="E203" s="2448"/>
      <c r="F203" s="2448"/>
      <c r="G203" s="2448"/>
      <c r="H203" s="2448"/>
      <c r="I203" s="2448"/>
      <c r="J203" s="2448"/>
      <c r="K203" s="2448"/>
      <c r="L203" s="2448"/>
      <c r="M203" s="2448"/>
      <c r="N203" s="2448"/>
      <c r="O203" s="2448"/>
      <c r="P203" s="2448"/>
      <c r="Q203" s="2448"/>
      <c r="R203" s="2448"/>
      <c r="S203" s="2448"/>
      <c r="T203" s="2448"/>
      <c r="U203" s="2448"/>
      <c r="V203" s="2448"/>
      <c r="W203" s="2448"/>
      <c r="X203" s="2448"/>
      <c r="Y203" s="2448"/>
      <c r="Z203" s="2448"/>
      <c r="AA203" s="2448"/>
      <c r="AB203" s="2448"/>
      <c r="AC203" s="842"/>
      <c r="AD203" s="2449"/>
      <c r="AE203" s="2449"/>
      <c r="AF203" s="2449"/>
      <c r="AG203" s="2449"/>
      <c r="AH203" s="2449"/>
      <c r="AI203" s="2449"/>
      <c r="AJ203" s="2449"/>
      <c r="AK203" s="608"/>
    </row>
    <row r="204" spans="1:37" hidden="1">
      <c r="A204" s="603"/>
      <c r="B204" s="2448"/>
      <c r="C204" s="2448"/>
      <c r="D204" s="2448"/>
      <c r="E204" s="2448"/>
      <c r="F204" s="2448"/>
      <c r="G204" s="2448"/>
      <c r="H204" s="2448"/>
      <c r="I204" s="2448"/>
      <c r="J204" s="2448"/>
      <c r="K204" s="2448"/>
      <c r="L204" s="2448"/>
      <c r="M204" s="2448"/>
      <c r="N204" s="2448"/>
      <c r="O204" s="2448"/>
      <c r="P204" s="2448"/>
      <c r="Q204" s="2448"/>
      <c r="R204" s="2448"/>
      <c r="S204" s="2448"/>
      <c r="T204" s="2448"/>
      <c r="U204" s="2448"/>
      <c r="V204" s="2448"/>
      <c r="W204" s="2448"/>
      <c r="X204" s="2448"/>
      <c r="Y204" s="2448"/>
      <c r="Z204" s="2448"/>
      <c r="AA204" s="2448"/>
      <c r="AB204" s="2448"/>
      <c r="AC204" s="842"/>
      <c r="AD204" s="2449"/>
      <c r="AE204" s="2449"/>
      <c r="AF204" s="2449"/>
      <c r="AG204" s="2449"/>
      <c r="AH204" s="2449"/>
      <c r="AI204" s="2449"/>
      <c r="AJ204" s="2449"/>
      <c r="AK204" s="608"/>
    </row>
    <row r="205" spans="1:37" hidden="1">
      <c r="A205" s="603"/>
      <c r="B205" s="2448"/>
      <c r="C205" s="2448"/>
      <c r="D205" s="2448"/>
      <c r="E205" s="2448"/>
      <c r="F205" s="2448"/>
      <c r="G205" s="2448"/>
      <c r="H205" s="2448"/>
      <c r="I205" s="2448"/>
      <c r="J205" s="2448"/>
      <c r="K205" s="2448"/>
      <c r="L205" s="2448"/>
      <c r="M205" s="2448"/>
      <c r="N205" s="2448"/>
      <c r="O205" s="2448"/>
      <c r="P205" s="2448"/>
      <c r="Q205" s="2448"/>
      <c r="R205" s="2448"/>
      <c r="S205" s="2448"/>
      <c r="T205" s="2448"/>
      <c r="U205" s="2448"/>
      <c r="V205" s="2448"/>
      <c r="W205" s="2448"/>
      <c r="X205" s="2448"/>
      <c r="Y205" s="2448"/>
      <c r="Z205" s="2448"/>
      <c r="AA205" s="2448"/>
      <c r="AB205" s="2448"/>
      <c r="AC205" s="842"/>
      <c r="AD205" s="2449"/>
      <c r="AE205" s="2449"/>
      <c r="AF205" s="2449"/>
      <c r="AG205" s="2449"/>
      <c r="AH205" s="2449"/>
      <c r="AI205" s="2449"/>
      <c r="AJ205" s="2449"/>
      <c r="AK205" s="608"/>
    </row>
    <row r="206" spans="1:37" hidden="1">
      <c r="A206" s="603"/>
      <c r="B206" s="2448"/>
      <c r="C206" s="2448"/>
      <c r="D206" s="2448"/>
      <c r="E206" s="2448"/>
      <c r="F206" s="2448"/>
      <c r="G206" s="2448"/>
      <c r="H206" s="2448"/>
      <c r="I206" s="2448"/>
      <c r="J206" s="2448"/>
      <c r="K206" s="2448"/>
      <c r="L206" s="2448"/>
      <c r="M206" s="2448"/>
      <c r="N206" s="2448"/>
      <c r="O206" s="2448"/>
      <c r="P206" s="2448"/>
      <c r="Q206" s="2448"/>
      <c r="R206" s="2448"/>
      <c r="S206" s="2448"/>
      <c r="T206" s="2448"/>
      <c r="U206" s="2448"/>
      <c r="V206" s="2448"/>
      <c r="W206" s="2448"/>
      <c r="X206" s="2448"/>
      <c r="Y206" s="2448"/>
      <c r="Z206" s="2448"/>
      <c r="AA206" s="2448"/>
      <c r="AB206" s="2448"/>
      <c r="AC206" s="842"/>
      <c r="AD206" s="2449"/>
      <c r="AE206" s="2449"/>
      <c r="AF206" s="2449"/>
      <c r="AG206" s="2449"/>
      <c r="AH206" s="2449"/>
      <c r="AI206" s="2449"/>
      <c r="AJ206" s="2449"/>
      <c r="AK206" s="608"/>
    </row>
    <row r="207" spans="1:37" hidden="1">
      <c r="A207" s="603"/>
      <c r="B207" s="2448"/>
      <c r="C207" s="2448"/>
      <c r="D207" s="2448"/>
      <c r="E207" s="2448"/>
      <c r="F207" s="2448"/>
      <c r="G207" s="2448"/>
      <c r="H207" s="2448"/>
      <c r="I207" s="2448"/>
      <c r="J207" s="2448"/>
      <c r="K207" s="2448"/>
      <c r="L207" s="2448"/>
      <c r="M207" s="2448"/>
      <c r="N207" s="2448"/>
      <c r="O207" s="2448"/>
      <c r="P207" s="2448"/>
      <c r="Q207" s="2448"/>
      <c r="R207" s="2448"/>
      <c r="S207" s="2448"/>
      <c r="T207" s="2448"/>
      <c r="U207" s="2448"/>
      <c r="V207" s="2448"/>
      <c r="W207" s="2448"/>
      <c r="X207" s="2448"/>
      <c r="Y207" s="2448"/>
      <c r="Z207" s="2448"/>
      <c r="AA207" s="2448"/>
      <c r="AB207" s="2448"/>
      <c r="AC207" s="842"/>
      <c r="AD207" s="2449"/>
      <c r="AE207" s="2449"/>
      <c r="AF207" s="2449"/>
      <c r="AG207" s="2449"/>
      <c r="AH207" s="2449"/>
      <c r="AI207" s="2449"/>
      <c r="AJ207" s="2449"/>
      <c r="AK207" s="608"/>
    </row>
    <row r="208" spans="1:37" hidden="1">
      <c r="A208" s="603"/>
      <c r="B208" s="2495" t="s">
        <v>1615</v>
      </c>
      <c r="C208" s="2495"/>
      <c r="D208" s="2495"/>
      <c r="E208" s="2495"/>
      <c r="F208" s="2495"/>
      <c r="G208" s="2495"/>
      <c r="H208" s="2495"/>
      <c r="I208" s="2495"/>
      <c r="J208" s="2495"/>
      <c r="K208" s="2495"/>
      <c r="L208" s="2495"/>
      <c r="M208" s="2495"/>
      <c r="N208" s="2495"/>
      <c r="O208" s="2495"/>
      <c r="P208" s="2495"/>
      <c r="Q208" s="2495"/>
      <c r="R208" s="2495"/>
      <c r="S208" s="2495"/>
      <c r="T208" s="2495"/>
      <c r="U208" s="2495"/>
      <c r="V208" s="2495"/>
      <c r="W208" s="2495"/>
      <c r="X208" s="2495"/>
      <c r="Y208" s="2495"/>
      <c r="Z208" s="2495"/>
      <c r="AA208" s="2495"/>
      <c r="AB208" s="2495"/>
      <c r="AC208" s="536"/>
      <c r="AD208" s="2478">
        <f>AB259</f>
        <v>0</v>
      </c>
      <c r="AE208" s="2478"/>
      <c r="AF208" s="2478"/>
      <c r="AG208" s="2478"/>
      <c r="AH208" s="2478"/>
      <c r="AI208" s="2478"/>
      <c r="AJ208" s="2478"/>
      <c r="AK208" s="608"/>
    </row>
    <row r="209" spans="1:37" hidden="1">
      <c r="A209" s="603"/>
      <c r="B209" s="2633" t="s">
        <v>1578</v>
      </c>
      <c r="C209" s="2633"/>
      <c r="D209" s="2633"/>
      <c r="E209" s="2633"/>
      <c r="F209" s="2633"/>
      <c r="G209" s="2633"/>
      <c r="H209" s="2633"/>
      <c r="I209" s="2633"/>
      <c r="J209" s="2633"/>
      <c r="K209" s="2633"/>
      <c r="L209" s="2633"/>
      <c r="M209" s="2633"/>
      <c r="N209" s="2633"/>
      <c r="O209" s="2633"/>
      <c r="P209" s="2633"/>
      <c r="Q209" s="2633"/>
      <c r="R209" s="2633"/>
      <c r="S209" s="2633"/>
      <c r="T209" s="2633"/>
      <c r="U209" s="2633"/>
      <c r="V209" s="2633"/>
      <c r="W209" s="2633"/>
      <c r="X209" s="2633"/>
      <c r="Y209" s="2633"/>
      <c r="Z209" s="2633"/>
      <c r="AA209" s="2633"/>
      <c r="AB209" s="2633"/>
      <c r="AC209" s="842"/>
      <c r="AD209" s="2479">
        <f>'Sources and Uses Budget'!B15</f>
        <v>0</v>
      </c>
      <c r="AE209" s="2479"/>
      <c r="AF209" s="2479"/>
      <c r="AG209" s="2479"/>
      <c r="AH209" s="2479"/>
      <c r="AI209" s="2479"/>
      <c r="AJ209" s="2479"/>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83">
        <f>SUM(AD198:AJ208)-AD209</f>
        <v>0</v>
      </c>
      <c r="AE210" s="2483"/>
      <c r="AF210" s="2483"/>
      <c r="AG210" s="2483"/>
      <c r="AH210" s="2483"/>
      <c r="AI210" s="2483"/>
      <c r="AJ210" s="2483"/>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2" t="s">
        <v>1595</v>
      </c>
      <c r="J221" s="2452"/>
      <c r="K221" s="2452"/>
      <c r="L221" s="536"/>
      <c r="M221" s="536"/>
      <c r="N221" s="536"/>
      <c r="O221" s="536"/>
      <c r="P221" s="536"/>
      <c r="Q221" s="536"/>
      <c r="R221" s="536"/>
      <c r="S221" s="536"/>
      <c r="T221" s="2620" t="s">
        <v>1589</v>
      </c>
      <c r="U221" s="2620"/>
      <c r="V221" s="2620"/>
      <c r="W221" s="2620"/>
      <c r="X221" s="2620"/>
      <c r="Y221" s="2620"/>
      <c r="Z221" s="845"/>
      <c r="AA221" s="489"/>
      <c r="AB221" s="2447" t="s">
        <v>1590</v>
      </c>
      <c r="AC221" s="2447"/>
      <c r="AD221" s="2447"/>
      <c r="AE221" s="2447"/>
      <c r="AF221" s="2447"/>
      <c r="AG221" s="2447"/>
      <c r="AH221" s="823"/>
      <c r="AI221" s="823"/>
      <c r="AJ221" s="823"/>
      <c r="AK221" s="608"/>
    </row>
    <row r="222" spans="1:37" hidden="1">
      <c r="A222" s="603"/>
      <c r="B222" s="2450" t="s">
        <v>1575</v>
      </c>
      <c r="C222" s="2450"/>
      <c r="D222" s="2450"/>
      <c r="E222" s="2450"/>
      <c r="F222" s="2450"/>
      <c r="G222" s="2450"/>
      <c r="I222" s="2451" t="s">
        <v>1596</v>
      </c>
      <c r="J222" s="2451"/>
      <c r="K222" s="2451"/>
      <c r="L222" s="1003"/>
      <c r="N222" s="2441" t="s">
        <v>1591</v>
      </c>
      <c r="O222" s="2441"/>
      <c r="P222" s="2441"/>
      <c r="Q222" s="2441"/>
      <c r="R222" s="2441"/>
      <c r="T222" s="2441" t="s">
        <v>1592</v>
      </c>
      <c r="U222" s="2441"/>
      <c r="V222" s="2441"/>
      <c r="W222" s="2441"/>
      <c r="X222" s="2441"/>
      <c r="Y222" s="2441"/>
      <c r="Z222" s="846"/>
      <c r="AA222" s="489"/>
      <c r="AB222" s="2599" t="s">
        <v>1593</v>
      </c>
      <c r="AC222" s="2599"/>
      <c r="AD222" s="2599"/>
      <c r="AE222" s="2599"/>
      <c r="AF222" s="2599"/>
      <c r="AG222" s="2599"/>
      <c r="AH222" s="823"/>
      <c r="AI222" s="823"/>
      <c r="AJ222" s="823"/>
      <c r="AK222" s="608"/>
    </row>
    <row r="223" spans="1:37" hidden="1">
      <c r="A223" s="603"/>
      <c r="B223" s="2453" t="s">
        <v>1183</v>
      </c>
      <c r="C223" s="2453"/>
      <c r="D223" s="2453"/>
      <c r="E223" s="2453"/>
      <c r="F223" s="2453"/>
      <c r="G223" s="2453"/>
      <c r="H223" s="848"/>
      <c r="I223" s="2439"/>
      <c r="J223" s="2439"/>
      <c r="K223" s="2439"/>
      <c r="L223" s="1003"/>
      <c r="N223" s="2494"/>
      <c r="O223" s="2494"/>
      <c r="P223" s="2494"/>
      <c r="Q223" s="2494"/>
      <c r="R223" s="2494"/>
      <c r="T223" s="2598"/>
      <c r="U223" s="2598"/>
      <c r="V223" s="2598"/>
      <c r="W223" s="2598"/>
      <c r="X223" s="2598"/>
      <c r="Y223" s="2598"/>
      <c r="Z223" s="847"/>
      <c r="AA223" s="847"/>
      <c r="AB223" s="2438">
        <f t="shared" ref="AB223:AB232" si="0">MAX(($T223-$N223)*$I223*12,0)</f>
        <v>0</v>
      </c>
      <c r="AC223" s="2438"/>
      <c r="AD223" s="2438"/>
      <c r="AE223" s="2438"/>
      <c r="AF223" s="2438"/>
      <c r="AG223" s="2438"/>
      <c r="AH223" s="823"/>
      <c r="AI223" s="823"/>
      <c r="AJ223" s="823"/>
      <c r="AK223" s="608"/>
    </row>
    <row r="224" spans="1:37" hidden="1">
      <c r="A224" s="603"/>
      <c r="B224" s="2453" t="s">
        <v>1183</v>
      </c>
      <c r="C224" s="2453"/>
      <c r="D224" s="2453"/>
      <c r="E224" s="2453"/>
      <c r="F224" s="2453"/>
      <c r="G224" s="2453"/>
      <c r="I224" s="2439"/>
      <c r="J224" s="2439"/>
      <c r="K224" s="2439"/>
      <c r="L224" s="1003"/>
      <c r="N224" s="2494"/>
      <c r="O224" s="2494"/>
      <c r="P224" s="2494"/>
      <c r="Q224" s="2494"/>
      <c r="R224" s="2494"/>
      <c r="T224" s="2598"/>
      <c r="U224" s="2598"/>
      <c r="V224" s="2598"/>
      <c r="W224" s="2598"/>
      <c r="X224" s="2598"/>
      <c r="Y224" s="2598"/>
      <c r="Z224" s="847"/>
      <c r="AA224" s="847"/>
      <c r="AB224" s="2438">
        <f t="shared" si="0"/>
        <v>0</v>
      </c>
      <c r="AC224" s="2438"/>
      <c r="AD224" s="2438"/>
      <c r="AE224" s="2438"/>
      <c r="AF224" s="2438"/>
      <c r="AG224" s="2438"/>
      <c r="AH224" s="823"/>
      <c r="AI224" s="823"/>
      <c r="AJ224" s="823"/>
      <c r="AK224" s="608"/>
    </row>
    <row r="225" spans="1:37" hidden="1">
      <c r="A225" s="603"/>
      <c r="B225" s="2453" t="s">
        <v>1183</v>
      </c>
      <c r="C225" s="2453"/>
      <c r="D225" s="2453"/>
      <c r="E225" s="2453"/>
      <c r="F225" s="2453"/>
      <c r="G225" s="2453"/>
      <c r="I225" s="2439"/>
      <c r="J225" s="2439"/>
      <c r="K225" s="2439"/>
      <c r="L225" s="1003"/>
      <c r="N225" s="2494"/>
      <c r="O225" s="2494"/>
      <c r="P225" s="2494"/>
      <c r="Q225" s="2494"/>
      <c r="R225" s="2494"/>
      <c r="T225" s="2598"/>
      <c r="U225" s="2598"/>
      <c r="V225" s="2598"/>
      <c r="W225" s="2598"/>
      <c r="X225" s="2598"/>
      <c r="Y225" s="2598"/>
      <c r="Z225" s="847"/>
      <c r="AA225" s="847"/>
      <c r="AB225" s="2438">
        <f t="shared" si="0"/>
        <v>0</v>
      </c>
      <c r="AC225" s="2438"/>
      <c r="AD225" s="2438"/>
      <c r="AE225" s="2438"/>
      <c r="AF225" s="2438"/>
      <c r="AG225" s="2438"/>
      <c r="AH225" s="823"/>
      <c r="AI225" s="823"/>
      <c r="AJ225" s="823"/>
      <c r="AK225" s="608"/>
    </row>
    <row r="226" spans="1:37" hidden="1">
      <c r="A226" s="603"/>
      <c r="B226" s="2453" t="s">
        <v>1183</v>
      </c>
      <c r="C226" s="2453"/>
      <c r="D226" s="2453"/>
      <c r="E226" s="2453"/>
      <c r="F226" s="2453"/>
      <c r="G226" s="2453"/>
      <c r="I226" s="2439"/>
      <c r="J226" s="2439"/>
      <c r="K226" s="2439"/>
      <c r="L226" s="1003"/>
      <c r="N226" s="2494"/>
      <c r="O226" s="2494"/>
      <c r="P226" s="2494"/>
      <c r="Q226" s="2494"/>
      <c r="R226" s="2494"/>
      <c r="T226" s="2598"/>
      <c r="U226" s="2598"/>
      <c r="V226" s="2598"/>
      <c r="W226" s="2598"/>
      <c r="X226" s="2598"/>
      <c r="Y226" s="2598"/>
      <c r="Z226" s="847"/>
      <c r="AA226" s="847"/>
      <c r="AB226" s="2438">
        <f t="shared" si="0"/>
        <v>0</v>
      </c>
      <c r="AC226" s="2438"/>
      <c r="AD226" s="2438"/>
      <c r="AE226" s="2438"/>
      <c r="AF226" s="2438"/>
      <c r="AG226" s="2438"/>
      <c r="AH226" s="823"/>
      <c r="AI226" s="823"/>
      <c r="AJ226" s="823"/>
      <c r="AK226" s="608"/>
    </row>
    <row r="227" spans="1:37" hidden="1">
      <c r="A227" s="603"/>
      <c r="B227" s="2453" t="s">
        <v>1183</v>
      </c>
      <c r="C227" s="2453"/>
      <c r="D227" s="2453"/>
      <c r="E227" s="2453"/>
      <c r="F227" s="2453"/>
      <c r="G227" s="2453"/>
      <c r="I227" s="2439"/>
      <c r="J227" s="2439"/>
      <c r="K227" s="2439"/>
      <c r="L227" s="1010"/>
      <c r="N227" s="2494"/>
      <c r="O227" s="2494"/>
      <c r="P227" s="2494"/>
      <c r="Q227" s="2494"/>
      <c r="R227" s="2494"/>
      <c r="T227" s="2598"/>
      <c r="U227" s="2598"/>
      <c r="V227" s="2598"/>
      <c r="W227" s="2598"/>
      <c r="X227" s="2598"/>
      <c r="Y227" s="2598"/>
      <c r="Z227" s="847"/>
      <c r="AA227" s="847"/>
      <c r="AB227" s="2438">
        <f t="shared" si="0"/>
        <v>0</v>
      </c>
      <c r="AC227" s="2438"/>
      <c r="AD227" s="2438"/>
      <c r="AE227" s="2438"/>
      <c r="AF227" s="2438"/>
      <c r="AG227" s="2438"/>
      <c r="AH227" s="823"/>
      <c r="AI227" s="823"/>
      <c r="AJ227" s="823"/>
      <c r="AK227" s="608"/>
    </row>
    <row r="228" spans="1:37" hidden="1">
      <c r="A228" s="603"/>
      <c r="B228" s="2453" t="s">
        <v>1183</v>
      </c>
      <c r="C228" s="2453"/>
      <c r="D228" s="2453"/>
      <c r="E228" s="2453"/>
      <c r="F228" s="2453"/>
      <c r="G228" s="2453"/>
      <c r="I228" s="2439"/>
      <c r="J228" s="2439"/>
      <c r="K228" s="2439"/>
      <c r="L228" s="1010"/>
      <c r="N228" s="2494"/>
      <c r="O228" s="2494"/>
      <c r="P228" s="2494"/>
      <c r="Q228" s="2494"/>
      <c r="R228" s="2494"/>
      <c r="T228" s="2598"/>
      <c r="U228" s="2598"/>
      <c r="V228" s="2598"/>
      <c r="W228" s="2598"/>
      <c r="X228" s="2598"/>
      <c r="Y228" s="2598"/>
      <c r="Z228" s="847"/>
      <c r="AA228" s="847"/>
      <c r="AB228" s="2438">
        <f t="shared" si="0"/>
        <v>0</v>
      </c>
      <c r="AC228" s="2438"/>
      <c r="AD228" s="2438"/>
      <c r="AE228" s="2438"/>
      <c r="AF228" s="2438"/>
      <c r="AG228" s="2438"/>
      <c r="AH228" s="823"/>
      <c r="AI228" s="823"/>
      <c r="AJ228" s="823"/>
      <c r="AK228" s="608"/>
    </row>
    <row r="229" spans="1:37" hidden="1">
      <c r="A229" s="603"/>
      <c r="B229" s="2453" t="s">
        <v>1183</v>
      </c>
      <c r="C229" s="2453"/>
      <c r="D229" s="2453"/>
      <c r="E229" s="2453"/>
      <c r="F229" s="2453"/>
      <c r="G229" s="2453"/>
      <c r="I229" s="2439"/>
      <c r="J229" s="2439"/>
      <c r="K229" s="2439"/>
      <c r="L229" s="1010"/>
      <c r="N229" s="2494"/>
      <c r="O229" s="2494"/>
      <c r="P229" s="2494"/>
      <c r="Q229" s="2494"/>
      <c r="R229" s="2494"/>
      <c r="T229" s="2598"/>
      <c r="U229" s="2598"/>
      <c r="V229" s="2598"/>
      <c r="W229" s="2598"/>
      <c r="X229" s="2598"/>
      <c r="Y229" s="2598"/>
      <c r="Z229" s="847"/>
      <c r="AA229" s="847"/>
      <c r="AB229" s="2438">
        <f t="shared" si="0"/>
        <v>0</v>
      </c>
      <c r="AC229" s="2438"/>
      <c r="AD229" s="2438"/>
      <c r="AE229" s="2438"/>
      <c r="AF229" s="2438"/>
      <c r="AG229" s="2438"/>
      <c r="AH229" s="823"/>
      <c r="AI229" s="823"/>
      <c r="AJ229" s="823"/>
      <c r="AK229" s="608"/>
    </row>
    <row r="230" spans="1:37" hidden="1">
      <c r="A230" s="603"/>
      <c r="B230" s="2453" t="s">
        <v>1183</v>
      </c>
      <c r="C230" s="2453"/>
      <c r="D230" s="2453"/>
      <c r="E230" s="2453"/>
      <c r="F230" s="2453"/>
      <c r="G230" s="2453"/>
      <c r="I230" s="2439"/>
      <c r="J230" s="2439"/>
      <c r="K230" s="2439"/>
      <c r="L230" s="1010"/>
      <c r="N230" s="2494"/>
      <c r="O230" s="2494"/>
      <c r="P230" s="2494"/>
      <c r="Q230" s="2494"/>
      <c r="R230" s="2494"/>
      <c r="T230" s="2598"/>
      <c r="U230" s="2598"/>
      <c r="V230" s="2598"/>
      <c r="W230" s="2598"/>
      <c r="X230" s="2598"/>
      <c r="Y230" s="2598"/>
      <c r="Z230" s="847"/>
      <c r="AA230" s="847"/>
      <c r="AB230" s="2438">
        <f t="shared" si="0"/>
        <v>0</v>
      </c>
      <c r="AC230" s="2438"/>
      <c r="AD230" s="2438"/>
      <c r="AE230" s="2438"/>
      <c r="AF230" s="2438"/>
      <c r="AG230" s="2438"/>
      <c r="AH230" s="823"/>
      <c r="AI230" s="823"/>
      <c r="AJ230" s="823"/>
      <c r="AK230" s="608"/>
    </row>
    <row r="231" spans="1:37" hidden="1">
      <c r="A231" s="603"/>
      <c r="B231" s="2453" t="s">
        <v>1183</v>
      </c>
      <c r="C231" s="2453"/>
      <c r="D231" s="2453"/>
      <c r="E231" s="2453"/>
      <c r="F231" s="2453"/>
      <c r="G231" s="2453"/>
      <c r="I231" s="2439"/>
      <c r="J231" s="2439"/>
      <c r="K231" s="2439"/>
      <c r="L231" s="1010"/>
      <c r="N231" s="2494"/>
      <c r="O231" s="2494"/>
      <c r="P231" s="2494"/>
      <c r="Q231" s="2494"/>
      <c r="R231" s="2494"/>
      <c r="T231" s="2598"/>
      <c r="U231" s="2598"/>
      <c r="V231" s="2598"/>
      <c r="W231" s="2598"/>
      <c r="X231" s="2598"/>
      <c r="Y231" s="2598"/>
      <c r="Z231" s="847"/>
      <c r="AA231" s="847"/>
      <c r="AB231" s="2438">
        <f t="shared" si="0"/>
        <v>0</v>
      </c>
      <c r="AC231" s="2438"/>
      <c r="AD231" s="2438"/>
      <c r="AE231" s="2438"/>
      <c r="AF231" s="2438"/>
      <c r="AG231" s="2438"/>
      <c r="AH231" s="823"/>
      <c r="AI231" s="823"/>
      <c r="AJ231" s="823"/>
      <c r="AK231" s="608"/>
    </row>
    <row r="232" spans="1:37" hidden="1">
      <c r="A232" s="603"/>
      <c r="B232" s="2453" t="s">
        <v>1183</v>
      </c>
      <c r="C232" s="2453"/>
      <c r="D232" s="2453"/>
      <c r="E232" s="2453"/>
      <c r="F232" s="2453"/>
      <c r="G232" s="2453"/>
      <c r="I232" s="2440"/>
      <c r="J232" s="2440"/>
      <c r="K232" s="2440"/>
      <c r="L232" s="1010"/>
      <c r="N232" s="2494"/>
      <c r="O232" s="2494"/>
      <c r="P232" s="2494"/>
      <c r="Q232" s="2494"/>
      <c r="R232" s="2494"/>
      <c r="T232" s="2598"/>
      <c r="U232" s="2598"/>
      <c r="V232" s="2598"/>
      <c r="W232" s="2598"/>
      <c r="X232" s="2598"/>
      <c r="Y232" s="2598"/>
      <c r="Z232" s="847"/>
      <c r="AA232" s="847"/>
      <c r="AB232" s="2607">
        <f t="shared" si="0"/>
        <v>0</v>
      </c>
      <c r="AC232" s="2607"/>
      <c r="AD232" s="2607"/>
      <c r="AE232" s="2607"/>
      <c r="AF232" s="2607"/>
      <c r="AG232" s="260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38">
        <f>SUM(AB223:AB232)</f>
        <v>0</v>
      </c>
      <c r="AC233" s="2438"/>
      <c r="AD233" s="2438"/>
      <c r="AE233" s="2438"/>
      <c r="AF233" s="2438"/>
      <c r="AG233" s="2438"/>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08"/>
      <c r="AC239" s="2608"/>
      <c r="AD239" s="2608"/>
      <c r="AE239" s="2608"/>
      <c r="AF239" s="2608"/>
      <c r="AG239" s="2608"/>
      <c r="AH239" s="608"/>
      <c r="AI239" s="608"/>
      <c r="AJ239" s="608"/>
      <c r="AK239" s="608"/>
    </row>
    <row r="240" spans="1:37" ht="13"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08"/>
      <c r="AC242" s="2608"/>
      <c r="AD242" s="2608"/>
      <c r="AE242" s="2608"/>
      <c r="AF242" s="2608"/>
      <c r="AG242" s="2608"/>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19"/>
      <c r="AC243" s="2619"/>
      <c r="AD243" s="2619"/>
      <c r="AE243" s="2619"/>
      <c r="AF243" s="2619"/>
      <c r="AG243" s="2619"/>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2">
        <f>IFERROR(AB242/AB243,0)</f>
        <v>0</v>
      </c>
      <c r="AC244" s="2632"/>
      <c r="AD244" s="2632"/>
      <c r="AE244" s="2632"/>
      <c r="AF244" s="2632"/>
      <c r="AG244" s="2632"/>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07">
        <f>MAX(AB239,AB244)</f>
        <v>0</v>
      </c>
      <c r="AC246" s="2607"/>
      <c r="AD246" s="2607"/>
      <c r="AE246" s="2607"/>
      <c r="AF246" s="2607"/>
      <c r="AG246" s="260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38">
        <f>AB233+AB246</f>
        <v>0</v>
      </c>
      <c r="AC249" s="2438"/>
      <c r="AD249" s="2438"/>
      <c r="AE249" s="2438"/>
      <c r="AF249" s="2438"/>
      <c r="AG249" s="2438"/>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87">
        <v>0.05</v>
      </c>
      <c r="AC250" s="2487"/>
      <c r="AD250" s="2487"/>
      <c r="AE250" s="2487"/>
      <c r="AF250" s="2487"/>
      <c r="AG250" s="2487"/>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88">
        <f>AB249-(AB249*AB250)</f>
        <v>0</v>
      </c>
      <c r="AC251" s="2488"/>
      <c r="AD251" s="2488"/>
      <c r="AE251" s="2488"/>
      <c r="AF251" s="2488"/>
      <c r="AG251" s="2488"/>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38">
        <f>AB251/AB257</f>
        <v>0</v>
      </c>
      <c r="AC253" s="2438"/>
      <c r="AD253" s="2438"/>
      <c r="AE253" s="2438"/>
      <c r="AF253" s="2438"/>
      <c r="AG253" s="2438"/>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47">
        <v>15</v>
      </c>
      <c r="AC255" s="2447"/>
      <c r="AD255" s="2447"/>
      <c r="AE255" s="2447"/>
      <c r="AF255" s="2447"/>
      <c r="AG255" s="2447"/>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89">
        <v>0.04</v>
      </c>
      <c r="AC256" s="2489"/>
      <c r="AD256" s="2489"/>
      <c r="AE256" s="2489"/>
      <c r="AF256" s="2489"/>
      <c r="AG256" s="2489"/>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496">
        <v>1.1499999999999999</v>
      </c>
      <c r="AC257" s="2496"/>
      <c r="AD257" s="2496"/>
      <c r="AE257" s="2496"/>
      <c r="AF257" s="2496"/>
      <c r="AG257" s="249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0">
        <f>PV(AB256/12,AB255*12,-AB253/12, ,0)</f>
        <v>0</v>
      </c>
      <c r="AC259" s="2481"/>
      <c r="AD259" s="2481"/>
      <c r="AE259" s="2481"/>
      <c r="AF259" s="2481"/>
      <c r="AG259" s="2482"/>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4">
        <f>IFERROR(('Sources and Uses Budget'!D105/'Sources and Uses Budget'!B105),0)</f>
        <v>0</v>
      </c>
      <c r="AC265" s="2485"/>
      <c r="AD265" s="2485"/>
      <c r="AE265" s="2485"/>
      <c r="AF265" s="2485"/>
      <c r="AG265" s="2486"/>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4">
        <f>AD210*(1-AB265)</f>
        <v>0</v>
      </c>
      <c r="AH267" s="2474"/>
      <c r="AI267" s="2474"/>
      <c r="AJ267" s="2474"/>
      <c r="AK267" s="2474"/>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4">
        <f>'Sources and Uses Budget'!C105</f>
        <v>35096325</v>
      </c>
      <c r="AH268" s="2474"/>
      <c r="AI268" s="2474"/>
      <c r="AJ268" s="2474"/>
      <c r="AK268" s="247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5">
        <f>ROUNDDOWN(IF(AND(C305="Yes",AK83=10),((AG267*2)/AG268),AG267/AG268),2)</f>
        <v>0</v>
      </c>
      <c r="AH269" s="2475"/>
      <c r="AI269" s="2475"/>
      <c r="AJ269" s="2475"/>
      <c r="AK269" s="2475"/>
    </row>
    <row r="270" spans="1:39" ht="13"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76">
        <f>IFERROR(IF(AG269=0,0,IF((AG269*100)&gt;8,8,(AG269*100))),0)</f>
        <v>0</v>
      </c>
      <c r="AL272" s="2476"/>
      <c r="AM272" s="2477"/>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2575</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68" t="s">
        <v>544</v>
      </c>
      <c r="D279" s="2468"/>
      <c r="E279" s="546"/>
      <c r="F279" s="2623" t="s">
        <v>2567</v>
      </c>
      <c r="G279" s="2624"/>
      <c r="H279" s="2624"/>
      <c r="I279" s="2624"/>
      <c r="J279" s="2624"/>
      <c r="K279" s="2624"/>
      <c r="L279" s="2624"/>
      <c r="M279" s="2624"/>
      <c r="N279" s="2624"/>
      <c r="O279" s="2624"/>
      <c r="P279" s="2624"/>
      <c r="Q279" s="2624"/>
      <c r="R279" s="2624"/>
      <c r="S279" s="2624"/>
      <c r="T279" s="2624"/>
      <c r="U279" s="2624"/>
      <c r="V279" s="2624"/>
      <c r="W279" s="2624"/>
      <c r="X279" s="2624"/>
      <c r="Y279" s="2624"/>
      <c r="Z279" s="2624"/>
      <c r="AA279" s="2624"/>
      <c r="AB279" s="2624"/>
      <c r="AC279" s="2624"/>
      <c r="AD279" s="2625"/>
      <c r="AE279" s="549"/>
      <c r="AF279" s="633"/>
      <c r="AG279" s="2469" t="s">
        <v>1356</v>
      </c>
      <c r="AH279" s="2469"/>
      <c r="AI279" s="2469"/>
      <c r="AJ279" s="2469"/>
      <c r="AK279" s="549"/>
      <c r="AL279" s="549"/>
      <c r="AM279" s="549"/>
      <c r="AO279" s="549"/>
    </row>
    <row r="280" spans="1:52" ht="13.75" customHeight="1">
      <c r="A280" s="549"/>
      <c r="B280" s="594"/>
      <c r="C280" s="634"/>
      <c r="D280" s="549"/>
      <c r="E280" s="546"/>
      <c r="F280" s="2626"/>
      <c r="G280" s="2627"/>
      <c r="H280" s="2627"/>
      <c r="I280" s="2627"/>
      <c r="J280" s="2627"/>
      <c r="K280" s="2627"/>
      <c r="L280" s="2627"/>
      <c r="M280" s="2627"/>
      <c r="N280" s="2627"/>
      <c r="O280" s="2627"/>
      <c r="P280" s="2627"/>
      <c r="Q280" s="2627"/>
      <c r="R280" s="2627"/>
      <c r="S280" s="2627"/>
      <c r="T280" s="2627"/>
      <c r="U280" s="2627"/>
      <c r="V280" s="2627"/>
      <c r="W280" s="2627"/>
      <c r="X280" s="2627"/>
      <c r="Y280" s="2627"/>
      <c r="Z280" s="2627"/>
      <c r="AA280" s="2627"/>
      <c r="AB280" s="2627"/>
      <c r="AC280" s="2627"/>
      <c r="AD280" s="2628"/>
      <c r="AE280" s="549"/>
      <c r="AF280" s="633"/>
      <c r="AG280" s="633"/>
      <c r="AH280" s="633"/>
      <c r="AI280" s="633"/>
      <c r="AJ280" s="549"/>
      <c r="AK280" s="549"/>
      <c r="AL280" s="549"/>
      <c r="AM280" s="549"/>
      <c r="AO280" s="549"/>
    </row>
    <row r="281" spans="1:52" ht="13.75" customHeight="1">
      <c r="A281" s="549"/>
      <c r="B281" s="594"/>
      <c r="C281" s="634"/>
      <c r="D281" s="549"/>
      <c r="E281" s="546"/>
      <c r="F281" s="2626"/>
      <c r="G281" s="2627"/>
      <c r="H281" s="2627"/>
      <c r="I281" s="2627"/>
      <c r="J281" s="2627"/>
      <c r="K281" s="2627"/>
      <c r="L281" s="2627"/>
      <c r="M281" s="2627"/>
      <c r="N281" s="2627"/>
      <c r="O281" s="2627"/>
      <c r="P281" s="2627"/>
      <c r="Q281" s="2627"/>
      <c r="R281" s="2627"/>
      <c r="S281" s="2627"/>
      <c r="T281" s="2627"/>
      <c r="U281" s="2627"/>
      <c r="V281" s="2627"/>
      <c r="W281" s="2627"/>
      <c r="X281" s="2627"/>
      <c r="Y281" s="2627"/>
      <c r="Z281" s="2627"/>
      <c r="AA281" s="2627"/>
      <c r="AB281" s="2627"/>
      <c r="AC281" s="2627"/>
      <c r="AD281" s="2628"/>
      <c r="AE281" s="549"/>
      <c r="AF281" s="633"/>
      <c r="AG281" s="633"/>
      <c r="AH281" s="633"/>
      <c r="AI281" s="633"/>
      <c r="AJ281" s="549"/>
      <c r="AK281" s="549"/>
      <c r="AL281" s="549"/>
      <c r="AM281" s="549"/>
      <c r="AO281" s="549"/>
    </row>
    <row r="282" spans="1:52" ht="13.75" customHeight="1">
      <c r="A282" s="549"/>
      <c r="B282" s="594"/>
      <c r="C282" s="634"/>
      <c r="D282" s="549"/>
      <c r="E282" s="546"/>
      <c r="F282" s="2626"/>
      <c r="G282" s="2627"/>
      <c r="H282" s="2627"/>
      <c r="I282" s="2627"/>
      <c r="J282" s="2627"/>
      <c r="K282" s="2627"/>
      <c r="L282" s="2627"/>
      <c r="M282" s="2627"/>
      <c r="N282" s="2627"/>
      <c r="O282" s="2627"/>
      <c r="P282" s="2627"/>
      <c r="Q282" s="2627"/>
      <c r="R282" s="2627"/>
      <c r="S282" s="2627"/>
      <c r="T282" s="2627"/>
      <c r="U282" s="2627"/>
      <c r="V282" s="2627"/>
      <c r="W282" s="2627"/>
      <c r="X282" s="2627"/>
      <c r="Y282" s="2627"/>
      <c r="Z282" s="2627"/>
      <c r="AA282" s="2627"/>
      <c r="AB282" s="2627"/>
      <c r="AC282" s="2627"/>
      <c r="AD282" s="2628"/>
      <c r="AE282" s="549"/>
      <c r="AF282" s="633"/>
      <c r="AG282" s="633"/>
      <c r="AH282" s="633"/>
      <c r="AI282" s="633"/>
      <c r="AJ282" s="549"/>
      <c r="AK282" s="549"/>
      <c r="AL282" s="549"/>
      <c r="AM282" s="549"/>
      <c r="AO282" s="549"/>
    </row>
    <row r="283" spans="1:52" ht="13.75" customHeight="1">
      <c r="A283" s="549"/>
      <c r="B283" s="594"/>
      <c r="C283" s="634"/>
      <c r="D283" s="549"/>
      <c r="E283" s="546"/>
      <c r="F283" s="2626"/>
      <c r="G283" s="2627"/>
      <c r="H283" s="2627"/>
      <c r="I283" s="2627"/>
      <c r="J283" s="2627"/>
      <c r="K283" s="2627"/>
      <c r="L283" s="2627"/>
      <c r="M283" s="2627"/>
      <c r="N283" s="2627"/>
      <c r="O283" s="2627"/>
      <c r="P283" s="2627"/>
      <c r="Q283" s="2627"/>
      <c r="R283" s="2627"/>
      <c r="S283" s="2627"/>
      <c r="T283" s="2627"/>
      <c r="U283" s="2627"/>
      <c r="V283" s="2627"/>
      <c r="W283" s="2627"/>
      <c r="X283" s="2627"/>
      <c r="Y283" s="2627"/>
      <c r="Z283" s="2627"/>
      <c r="AA283" s="2627"/>
      <c r="AB283" s="2627"/>
      <c r="AC283" s="2627"/>
      <c r="AD283" s="2628"/>
      <c r="AE283" s="549"/>
      <c r="AF283" s="633"/>
      <c r="AG283" s="633"/>
      <c r="AH283" s="633"/>
      <c r="AI283" s="633"/>
      <c r="AJ283" s="549"/>
      <c r="AK283" s="549"/>
      <c r="AL283" s="549"/>
      <c r="AM283" s="549"/>
      <c r="AO283" s="549"/>
    </row>
    <row r="284" spans="1:52">
      <c r="A284" s="549"/>
      <c r="B284" s="594"/>
      <c r="C284" s="634"/>
      <c r="D284" s="549"/>
      <c r="E284" s="546"/>
      <c r="F284" s="2626"/>
      <c r="G284" s="2627"/>
      <c r="H284" s="2627"/>
      <c r="I284" s="2627"/>
      <c r="J284" s="2627"/>
      <c r="K284" s="2627"/>
      <c r="L284" s="2627"/>
      <c r="M284" s="2627"/>
      <c r="N284" s="2627"/>
      <c r="O284" s="2627"/>
      <c r="P284" s="2627"/>
      <c r="Q284" s="2627"/>
      <c r="R284" s="2627"/>
      <c r="S284" s="2627"/>
      <c r="T284" s="2627"/>
      <c r="U284" s="2627"/>
      <c r="V284" s="2627"/>
      <c r="W284" s="2627"/>
      <c r="X284" s="2627"/>
      <c r="Y284" s="2627"/>
      <c r="Z284" s="2627"/>
      <c r="AA284" s="2627"/>
      <c r="AB284" s="2627"/>
      <c r="AC284" s="2627"/>
      <c r="AD284" s="2628"/>
      <c r="AE284" s="549"/>
      <c r="AF284" s="633"/>
      <c r="AG284" s="633"/>
      <c r="AH284" s="633"/>
      <c r="AI284" s="633"/>
      <c r="AJ284" s="549"/>
      <c r="AK284" s="549"/>
      <c r="AL284" s="549"/>
      <c r="AM284" s="549"/>
      <c r="AO284" s="549"/>
      <c r="AP284" s="635"/>
    </row>
    <row r="285" spans="1:52">
      <c r="A285" s="549"/>
      <c r="B285" s="594"/>
      <c r="C285" s="634"/>
      <c r="D285" s="549"/>
      <c r="E285" s="546"/>
      <c r="F285" s="2626"/>
      <c r="G285" s="2627"/>
      <c r="H285" s="2627"/>
      <c r="I285" s="2627"/>
      <c r="J285" s="2627"/>
      <c r="K285" s="2627"/>
      <c r="L285" s="2627"/>
      <c r="M285" s="2627"/>
      <c r="N285" s="2627"/>
      <c r="O285" s="2627"/>
      <c r="P285" s="2627"/>
      <c r="Q285" s="2627"/>
      <c r="R285" s="2627"/>
      <c r="S285" s="2627"/>
      <c r="T285" s="2627"/>
      <c r="U285" s="2627"/>
      <c r="V285" s="2627"/>
      <c r="W285" s="2627"/>
      <c r="X285" s="2627"/>
      <c r="Y285" s="2627"/>
      <c r="Z285" s="2627"/>
      <c r="AA285" s="2627"/>
      <c r="AB285" s="2627"/>
      <c r="AC285" s="2627"/>
      <c r="AD285" s="2628"/>
      <c r="AE285" s="549"/>
      <c r="AF285" s="633"/>
      <c r="AG285" s="633"/>
      <c r="AH285" s="633"/>
      <c r="AI285" s="633"/>
      <c r="AJ285" s="549"/>
      <c r="AK285" s="549"/>
      <c r="AL285" s="549"/>
      <c r="AM285" s="549"/>
      <c r="AO285" s="549"/>
      <c r="AP285" s="635"/>
    </row>
    <row r="286" spans="1:52" ht="13.75" customHeight="1">
      <c r="A286" s="549"/>
      <c r="B286" s="594"/>
      <c r="C286" s="2470"/>
      <c r="D286" s="2470"/>
      <c r="E286" s="546"/>
      <c r="F286" s="2629"/>
      <c r="G286" s="2630"/>
      <c r="H286" s="2630"/>
      <c r="I286" s="2630"/>
      <c r="J286" s="2630"/>
      <c r="K286" s="2630"/>
      <c r="L286" s="2630"/>
      <c r="M286" s="2630"/>
      <c r="N286" s="2630"/>
      <c r="O286" s="2630"/>
      <c r="P286" s="2630"/>
      <c r="Q286" s="2630"/>
      <c r="R286" s="2630"/>
      <c r="S286" s="2630"/>
      <c r="T286" s="2630"/>
      <c r="U286" s="2630"/>
      <c r="V286" s="2630"/>
      <c r="W286" s="2630"/>
      <c r="X286" s="2630"/>
      <c r="Y286" s="2630"/>
      <c r="Z286" s="2630"/>
      <c r="AA286" s="2630"/>
      <c r="AB286" s="2630"/>
      <c r="AC286" s="2630"/>
      <c r="AD286" s="2631"/>
      <c r="AE286" s="549"/>
      <c r="AF286" s="633"/>
      <c r="AG286" s="2469"/>
      <c r="AH286" s="2469"/>
      <c r="AI286" s="2469"/>
      <c r="AJ286" s="2469"/>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4" t="s">
        <v>2574</v>
      </c>
      <c r="C289" s="2384"/>
      <c r="D289" s="2384"/>
      <c r="E289" s="2384"/>
      <c r="F289" s="2384"/>
      <c r="G289" s="2384"/>
      <c r="H289" s="2384"/>
      <c r="I289" s="2384"/>
      <c r="J289" s="2384"/>
      <c r="K289" s="2384"/>
      <c r="L289" s="2384"/>
      <c r="M289" s="2384"/>
      <c r="N289" s="2384"/>
      <c r="O289" s="2384"/>
      <c r="P289" s="2384"/>
      <c r="Q289" s="2384"/>
      <c r="R289" s="2384"/>
      <c r="S289" s="2384"/>
      <c r="T289" s="2384"/>
      <c r="U289" s="2384"/>
      <c r="V289" s="2384"/>
      <c r="W289" s="2384"/>
      <c r="X289" s="2384"/>
      <c r="Y289" s="2384"/>
      <c r="Z289" s="2384"/>
      <c r="AA289" s="2384"/>
      <c r="AB289" s="2384"/>
      <c r="AC289" s="2384"/>
      <c r="AD289" s="2384"/>
      <c r="AE289" s="2384"/>
      <c r="AF289" s="2384"/>
      <c r="AG289" s="2384"/>
      <c r="AH289" s="2384"/>
      <c r="AI289" s="2384"/>
      <c r="AJ289" s="2384"/>
      <c r="AK289" s="2384"/>
      <c r="AL289" s="2384"/>
      <c r="AM289" s="549"/>
      <c r="AN289" s="73"/>
    </row>
    <row r="290" spans="1:49">
      <c r="A290" s="549"/>
      <c r="B290" s="2384"/>
      <c r="C290" s="2384"/>
      <c r="D290" s="2384"/>
      <c r="E290" s="2384"/>
      <c r="F290" s="2384"/>
      <c r="G290" s="2384"/>
      <c r="H290" s="2384"/>
      <c r="I290" s="2384"/>
      <c r="J290" s="2384"/>
      <c r="K290" s="2384"/>
      <c r="L290" s="2384"/>
      <c r="M290" s="2384"/>
      <c r="N290" s="2384"/>
      <c r="O290" s="2384"/>
      <c r="P290" s="2384"/>
      <c r="Q290" s="2384"/>
      <c r="R290" s="2384"/>
      <c r="S290" s="2384"/>
      <c r="T290" s="2384"/>
      <c r="U290" s="2384"/>
      <c r="V290" s="2384"/>
      <c r="W290" s="2384"/>
      <c r="X290" s="2384"/>
      <c r="Y290" s="2384"/>
      <c r="Z290" s="2384"/>
      <c r="AA290" s="2384"/>
      <c r="AB290" s="2384"/>
      <c r="AC290" s="2384"/>
      <c r="AD290" s="2384"/>
      <c r="AE290" s="2384"/>
      <c r="AF290" s="2384"/>
      <c r="AG290" s="2384"/>
      <c r="AH290" s="2384"/>
      <c r="AI290" s="2384"/>
      <c r="AJ290" s="2384"/>
      <c r="AK290" s="2384"/>
      <c r="AL290" s="2384"/>
      <c r="AM290" s="549"/>
      <c r="AN290" s="73"/>
    </row>
    <row r="291" spans="1:49">
      <c r="A291" s="549"/>
      <c r="B291" s="2384"/>
      <c r="C291" s="2384"/>
      <c r="D291" s="2384"/>
      <c r="E291" s="2384"/>
      <c r="F291" s="2384"/>
      <c r="G291" s="2384"/>
      <c r="H291" s="2384"/>
      <c r="I291" s="2384"/>
      <c r="J291" s="2384"/>
      <c r="K291" s="2384"/>
      <c r="L291" s="2384"/>
      <c r="M291" s="2384"/>
      <c r="N291" s="2384"/>
      <c r="O291" s="2384"/>
      <c r="P291" s="2384"/>
      <c r="Q291" s="2384"/>
      <c r="R291" s="2384"/>
      <c r="S291" s="2384"/>
      <c r="T291" s="2384"/>
      <c r="U291" s="2384"/>
      <c r="V291" s="2384"/>
      <c r="W291" s="2384"/>
      <c r="X291" s="2384"/>
      <c r="Y291" s="2384"/>
      <c r="Z291" s="2384"/>
      <c r="AA291" s="2384"/>
      <c r="AB291" s="2384"/>
      <c r="AC291" s="2384"/>
      <c r="AD291" s="2384"/>
      <c r="AE291" s="2384"/>
      <c r="AF291" s="2384"/>
      <c r="AG291" s="2384"/>
      <c r="AH291" s="2384"/>
      <c r="AI291" s="2384"/>
      <c r="AJ291" s="2384"/>
      <c r="AK291" s="2384"/>
      <c r="AL291" s="2384"/>
      <c r="AM291" s="549"/>
      <c r="AN291" s="73"/>
    </row>
    <row r="292" spans="1:49">
      <c r="A292" s="549"/>
      <c r="B292" s="2384"/>
      <c r="C292" s="2384"/>
      <c r="D292" s="2384"/>
      <c r="E292" s="2384"/>
      <c r="F292" s="2384"/>
      <c r="G292" s="2384"/>
      <c r="H292" s="2384"/>
      <c r="I292" s="2384"/>
      <c r="J292" s="2384"/>
      <c r="K292" s="2384"/>
      <c r="L292" s="2384"/>
      <c r="M292" s="2384"/>
      <c r="N292" s="2384"/>
      <c r="O292" s="2384"/>
      <c r="P292" s="2384"/>
      <c r="Q292" s="2384"/>
      <c r="R292" s="2384"/>
      <c r="S292" s="2384"/>
      <c r="T292" s="2384"/>
      <c r="U292" s="2384"/>
      <c r="V292" s="2384"/>
      <c r="W292" s="2384"/>
      <c r="X292" s="2384"/>
      <c r="Y292" s="2384"/>
      <c r="Z292" s="2384"/>
      <c r="AA292" s="2384"/>
      <c r="AB292" s="2384"/>
      <c r="AC292" s="2384"/>
      <c r="AD292" s="2384"/>
      <c r="AE292" s="2384"/>
      <c r="AF292" s="2384"/>
      <c r="AG292" s="2384"/>
      <c r="AH292" s="2384"/>
      <c r="AI292" s="2384"/>
      <c r="AJ292" s="2384"/>
      <c r="AK292" s="2384"/>
      <c r="AL292" s="2384"/>
      <c r="AM292" s="549"/>
      <c r="AN292" s="73"/>
    </row>
    <row r="293" spans="1:49">
      <c r="A293" s="549"/>
      <c r="B293" s="2384"/>
      <c r="C293" s="2384"/>
      <c r="D293" s="2384"/>
      <c r="E293" s="2384"/>
      <c r="F293" s="2384"/>
      <c r="G293" s="2384"/>
      <c r="H293" s="2384"/>
      <c r="I293" s="2384"/>
      <c r="J293" s="2384"/>
      <c r="K293" s="2384"/>
      <c r="L293" s="2384"/>
      <c r="M293" s="2384"/>
      <c r="N293" s="2384"/>
      <c r="O293" s="2384"/>
      <c r="P293" s="2384"/>
      <c r="Q293" s="2384"/>
      <c r="R293" s="2384"/>
      <c r="S293" s="2384"/>
      <c r="T293" s="2384"/>
      <c r="U293" s="2384"/>
      <c r="V293" s="2384"/>
      <c r="W293" s="2384"/>
      <c r="X293" s="2384"/>
      <c r="Y293" s="2384"/>
      <c r="Z293" s="2384"/>
      <c r="AA293" s="2384"/>
      <c r="AB293" s="2384"/>
      <c r="AC293" s="2384"/>
      <c r="AD293" s="2384"/>
      <c r="AE293" s="2384"/>
      <c r="AF293" s="2384"/>
      <c r="AG293" s="2384"/>
      <c r="AH293" s="2384"/>
      <c r="AI293" s="2384"/>
      <c r="AJ293" s="2384"/>
      <c r="AK293" s="2384"/>
      <c r="AL293" s="2384"/>
      <c r="AM293" s="549"/>
      <c r="AN293" s="73"/>
    </row>
    <row r="294" spans="1:49">
      <c r="A294" s="549"/>
      <c r="B294" s="2384"/>
      <c r="C294" s="2384"/>
      <c r="D294" s="2384"/>
      <c r="E294" s="2384"/>
      <c r="F294" s="2384"/>
      <c r="G294" s="2384"/>
      <c r="H294" s="2384"/>
      <c r="I294" s="2384"/>
      <c r="J294" s="2384"/>
      <c r="K294" s="2384"/>
      <c r="L294" s="2384"/>
      <c r="M294" s="2384"/>
      <c r="N294" s="2384"/>
      <c r="O294" s="2384"/>
      <c r="P294" s="2384"/>
      <c r="Q294" s="2384"/>
      <c r="R294" s="2384"/>
      <c r="S294" s="2384"/>
      <c r="T294" s="2384"/>
      <c r="U294" s="2384"/>
      <c r="V294" s="2384"/>
      <c r="W294" s="2384"/>
      <c r="X294" s="2384"/>
      <c r="Y294" s="2384"/>
      <c r="Z294" s="2384"/>
      <c r="AA294" s="2384"/>
      <c r="AB294" s="2384"/>
      <c r="AC294" s="2384"/>
      <c r="AD294" s="2384"/>
      <c r="AE294" s="2384"/>
      <c r="AF294" s="2384"/>
      <c r="AG294" s="2384"/>
      <c r="AH294" s="2384"/>
      <c r="AI294" s="2384"/>
      <c r="AJ294" s="2384"/>
      <c r="AK294" s="2384"/>
      <c r="AL294" s="2384"/>
      <c r="AM294" s="549"/>
      <c r="AN294" s="73"/>
    </row>
    <row r="295" spans="1:49">
      <c r="A295" s="549"/>
      <c r="B295" s="2384"/>
      <c r="C295" s="2384"/>
      <c r="D295" s="2384"/>
      <c r="E295" s="2384"/>
      <c r="F295" s="2384"/>
      <c r="G295" s="2384"/>
      <c r="H295" s="2384"/>
      <c r="I295" s="2384"/>
      <c r="J295" s="2384"/>
      <c r="K295" s="2384"/>
      <c r="L295" s="2384"/>
      <c r="M295" s="2384"/>
      <c r="N295" s="2384"/>
      <c r="O295" s="2384"/>
      <c r="P295" s="2384"/>
      <c r="Q295" s="2384"/>
      <c r="R295" s="2384"/>
      <c r="S295" s="2384"/>
      <c r="T295" s="2384"/>
      <c r="U295" s="2384"/>
      <c r="V295" s="2384"/>
      <c r="W295" s="2384"/>
      <c r="X295" s="2384"/>
      <c r="Y295" s="2384"/>
      <c r="Z295" s="2384"/>
      <c r="AA295" s="2384"/>
      <c r="AB295" s="2384"/>
      <c r="AC295" s="2384"/>
      <c r="AD295" s="2384"/>
      <c r="AE295" s="2384"/>
      <c r="AF295" s="2384"/>
      <c r="AG295" s="2384"/>
      <c r="AH295" s="2384"/>
      <c r="AI295" s="2384"/>
      <c r="AJ295" s="2384"/>
      <c r="AK295" s="2384"/>
      <c r="AL295" s="2384"/>
      <c r="AM295" s="549"/>
      <c r="AN295" s="73"/>
    </row>
    <row r="296" spans="1:49">
      <c r="A296" s="549"/>
      <c r="B296" s="2384"/>
      <c r="C296" s="2384"/>
      <c r="D296" s="2384"/>
      <c r="E296" s="2384"/>
      <c r="F296" s="2384"/>
      <c r="G296" s="2384"/>
      <c r="H296" s="2384"/>
      <c r="I296" s="2384"/>
      <c r="J296" s="2384"/>
      <c r="K296" s="2384"/>
      <c r="L296" s="2384"/>
      <c r="M296" s="2384"/>
      <c r="N296" s="2384"/>
      <c r="O296" s="2384"/>
      <c r="P296" s="2384"/>
      <c r="Q296" s="2384"/>
      <c r="R296" s="2384"/>
      <c r="S296" s="2384"/>
      <c r="T296" s="2384"/>
      <c r="U296" s="2384"/>
      <c r="V296" s="2384"/>
      <c r="W296" s="2384"/>
      <c r="X296" s="2384"/>
      <c r="Y296" s="2384"/>
      <c r="Z296" s="2384"/>
      <c r="AA296" s="2384"/>
      <c r="AB296" s="2384"/>
      <c r="AC296" s="2384"/>
      <c r="AD296" s="2384"/>
      <c r="AE296" s="2384"/>
      <c r="AF296" s="2384"/>
      <c r="AG296" s="2384"/>
      <c r="AH296" s="2384"/>
      <c r="AI296" s="2384"/>
      <c r="AJ296" s="2384"/>
      <c r="AK296" s="2384"/>
      <c r="AL296" s="2384"/>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76">
        <f>IF($C$279="yes",10,0)</f>
        <v>10</v>
      </c>
      <c r="AL298" s="2476"/>
      <c r="AM298" s="2477"/>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1368</v>
      </c>
      <c r="B301" s="538" t="s">
        <v>2568</v>
      </c>
      <c r="AH301" s="589" t="s">
        <v>1307</v>
      </c>
    </row>
    <row r="302" spans="1:49" ht="15" customHeight="1">
      <c r="B302" s="539"/>
    </row>
    <row r="303" spans="1:49" ht="15" customHeight="1">
      <c r="B303" s="539" t="s">
        <v>1716</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9" t="s">
        <v>1373</v>
      </c>
      <c r="B305" s="1679"/>
      <c r="C305" s="2458" t="s">
        <v>590</v>
      </c>
      <c r="D305" s="2468"/>
      <c r="E305" s="546"/>
      <c r="F305" s="2490" t="s">
        <v>1374</v>
      </c>
      <c r="G305" s="2491"/>
      <c r="H305" s="2491"/>
      <c r="I305" s="2491"/>
      <c r="J305" s="2491"/>
      <c r="K305" s="2491"/>
      <c r="L305" s="2491"/>
      <c r="M305" s="2491"/>
      <c r="N305" s="2491"/>
      <c r="O305" s="2491"/>
      <c r="P305" s="2491"/>
      <c r="Q305" s="2491"/>
      <c r="R305" s="2491"/>
      <c r="S305" s="2491"/>
      <c r="T305" s="2491"/>
      <c r="U305" s="2491"/>
      <c r="V305" s="2491"/>
      <c r="W305" s="2491"/>
      <c r="X305" s="2491"/>
      <c r="Y305" s="2491"/>
      <c r="Z305" s="2491"/>
      <c r="AA305" s="2491"/>
      <c r="AB305" s="2491"/>
      <c r="AC305" s="2491"/>
      <c r="AD305" s="2492"/>
      <c r="AE305" s="640"/>
      <c r="AF305" s="549"/>
      <c r="AG305" s="2493" t="s">
        <v>1981</v>
      </c>
      <c r="AH305" s="2493"/>
      <c r="AI305" s="2493"/>
      <c r="AJ305" s="2493"/>
      <c r="AK305" s="2493"/>
      <c r="AL305" s="549"/>
      <c r="AM305" s="549"/>
      <c r="AN305" s="73"/>
      <c r="AO305" s="14"/>
      <c r="AP305" s="30"/>
      <c r="AS305" s="568"/>
      <c r="AT305" s="568"/>
      <c r="AU305" s="568"/>
      <c r="AV305" s="32"/>
      <c r="AW305" s="32"/>
    </row>
    <row r="306" spans="1:49" ht="13">
      <c r="A306" s="638"/>
      <c r="B306" s="594"/>
      <c r="F306" s="2462"/>
      <c r="G306" s="2463"/>
      <c r="H306" s="2463"/>
      <c r="I306" s="2463"/>
      <c r="J306" s="2463"/>
      <c r="K306" s="2463"/>
      <c r="L306" s="2463"/>
      <c r="M306" s="2463"/>
      <c r="N306" s="2463"/>
      <c r="O306" s="2463"/>
      <c r="P306" s="2463"/>
      <c r="Q306" s="2463"/>
      <c r="R306" s="2463"/>
      <c r="S306" s="2463"/>
      <c r="T306" s="2463"/>
      <c r="U306" s="2463"/>
      <c r="V306" s="2463"/>
      <c r="W306" s="2463"/>
      <c r="X306" s="2463"/>
      <c r="Y306" s="2463"/>
      <c r="Z306" s="2463"/>
      <c r="AA306" s="2463"/>
      <c r="AB306" s="2463"/>
      <c r="AC306" s="2463"/>
      <c r="AD306" s="2464"/>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2"/>
      <c r="G307" s="2463"/>
      <c r="H307" s="2463"/>
      <c r="I307" s="2463"/>
      <c r="J307" s="2463"/>
      <c r="K307" s="2463"/>
      <c r="L307" s="2463"/>
      <c r="M307" s="2463"/>
      <c r="N307" s="2463"/>
      <c r="O307" s="2463"/>
      <c r="P307" s="2463"/>
      <c r="Q307" s="2463"/>
      <c r="R307" s="2463"/>
      <c r="S307" s="2463"/>
      <c r="T307" s="2463"/>
      <c r="U307" s="2463"/>
      <c r="V307" s="2463"/>
      <c r="W307" s="2463"/>
      <c r="X307" s="2463"/>
      <c r="Y307" s="2463"/>
      <c r="Z307" s="2463"/>
      <c r="AA307" s="2463"/>
      <c r="AB307" s="2463"/>
      <c r="AC307" s="2463"/>
      <c r="AD307" s="2464"/>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2" t="s">
        <v>1986</v>
      </c>
      <c r="G308" s="2463"/>
      <c r="H308" s="2463"/>
      <c r="I308" s="2463"/>
      <c r="J308" s="2463"/>
      <c r="K308" s="2463"/>
      <c r="L308" s="2463"/>
      <c r="M308" s="2463"/>
      <c r="N308" s="2463"/>
      <c r="O308" s="2463"/>
      <c r="P308" s="2463"/>
      <c r="Q308" s="2463"/>
      <c r="R308" s="2463"/>
      <c r="S308" s="2463"/>
      <c r="T308" s="2463"/>
      <c r="U308" s="2463"/>
      <c r="V308" s="2463"/>
      <c r="W308" s="2463"/>
      <c r="X308" s="2463"/>
      <c r="Y308" s="2463"/>
      <c r="Z308" s="2463"/>
      <c r="AA308" s="2463"/>
      <c r="AB308" s="2463"/>
      <c r="AC308" s="2463"/>
      <c r="AD308" s="2464"/>
      <c r="AE308" s="640"/>
      <c r="AF308" s="550"/>
      <c r="AH308" s="550"/>
      <c r="AI308" s="550"/>
      <c r="AJ308" s="549"/>
      <c r="AK308" s="549"/>
      <c r="AL308" s="549"/>
      <c r="AM308" s="549"/>
      <c r="AN308" s="73"/>
      <c r="AO308" s="14"/>
      <c r="AP308" s="609">
        <f>MAX(AP306,AP307)</f>
        <v>0</v>
      </c>
      <c r="AQ308" s="572" t="s">
        <v>1309</v>
      </c>
      <c r="AS308" s="568"/>
      <c r="AT308" s="568"/>
      <c r="AU308" s="568"/>
      <c r="AV308" s="32"/>
      <c r="AW308" s="32"/>
    </row>
    <row r="309" spans="1:49" ht="13">
      <c r="A309" s="638"/>
      <c r="B309" s="594"/>
      <c r="F309" s="2462"/>
      <c r="G309" s="2463"/>
      <c r="H309" s="2463"/>
      <c r="I309" s="2463"/>
      <c r="J309" s="2463"/>
      <c r="K309" s="2463"/>
      <c r="L309" s="2463"/>
      <c r="M309" s="2463"/>
      <c r="N309" s="2463"/>
      <c r="O309" s="2463"/>
      <c r="P309" s="2463"/>
      <c r="Q309" s="2463"/>
      <c r="R309" s="2463"/>
      <c r="S309" s="2463"/>
      <c r="T309" s="2463"/>
      <c r="U309" s="2463"/>
      <c r="V309" s="2463"/>
      <c r="W309" s="2463"/>
      <c r="X309" s="2463"/>
      <c r="Y309" s="2463"/>
      <c r="Z309" s="2463"/>
      <c r="AA309" s="2463"/>
      <c r="AB309" s="2463"/>
      <c r="AC309" s="2463"/>
      <c r="AD309" s="2464"/>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2" t="s">
        <v>1375</v>
      </c>
      <c r="G310" s="2463"/>
      <c r="H310" s="2463"/>
      <c r="I310" s="2463"/>
      <c r="J310" s="2463"/>
      <c r="K310" s="2463"/>
      <c r="L310" s="2463"/>
      <c r="M310" s="2463"/>
      <c r="N310" s="2463"/>
      <c r="O310" s="2463"/>
      <c r="P310" s="2463"/>
      <c r="Q310" s="2463"/>
      <c r="R310" s="2463"/>
      <c r="S310" s="2463"/>
      <c r="T310" s="2463"/>
      <c r="U310" s="2463"/>
      <c r="V310" s="2463"/>
      <c r="W310" s="2463"/>
      <c r="X310" s="2463"/>
      <c r="Y310" s="2463"/>
      <c r="Z310" s="2463"/>
      <c r="AA310" s="2463"/>
      <c r="AB310" s="2463"/>
      <c r="AC310" s="2463"/>
      <c r="AD310" s="2464"/>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2"/>
      <c r="G311" s="2463"/>
      <c r="H311" s="2463"/>
      <c r="I311" s="2463"/>
      <c r="J311" s="2463"/>
      <c r="K311" s="2463"/>
      <c r="L311" s="2463"/>
      <c r="M311" s="2463"/>
      <c r="N311" s="2463"/>
      <c r="O311" s="2463"/>
      <c r="P311" s="2463"/>
      <c r="Q311" s="2463"/>
      <c r="R311" s="2463"/>
      <c r="S311" s="2463"/>
      <c r="T311" s="2463"/>
      <c r="U311" s="2463"/>
      <c r="V311" s="2463"/>
      <c r="W311" s="2463"/>
      <c r="X311" s="2463"/>
      <c r="Y311" s="2463"/>
      <c r="Z311" s="2463"/>
      <c r="AA311" s="2463"/>
      <c r="AB311" s="2463"/>
      <c r="AC311" s="2463"/>
      <c r="AD311" s="2464"/>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2" t="s">
        <v>1376</v>
      </c>
      <c r="G312" s="2463"/>
      <c r="H312" s="2463"/>
      <c r="I312" s="2463"/>
      <c r="J312" s="2463"/>
      <c r="K312" s="2463"/>
      <c r="L312" s="2463"/>
      <c r="M312" s="2463"/>
      <c r="N312" s="2463"/>
      <c r="O312" s="2463"/>
      <c r="P312" s="2463"/>
      <c r="Q312" s="2463"/>
      <c r="R312" s="2463"/>
      <c r="S312" s="2463"/>
      <c r="T312" s="2463"/>
      <c r="U312" s="2463"/>
      <c r="V312" s="2463"/>
      <c r="W312" s="2463"/>
      <c r="X312" s="2463"/>
      <c r="Y312" s="2463"/>
      <c r="Z312" s="2463"/>
      <c r="AA312" s="2463"/>
      <c r="AB312" s="2463"/>
      <c r="AC312" s="2463"/>
      <c r="AD312" s="2464"/>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5"/>
      <c r="G313" s="2466"/>
      <c r="H313" s="2466"/>
      <c r="I313" s="2466"/>
      <c r="J313" s="2466"/>
      <c r="K313" s="2466"/>
      <c r="L313" s="2466"/>
      <c r="M313" s="2466"/>
      <c r="N313" s="2466"/>
      <c r="O313" s="2466"/>
      <c r="P313" s="2466"/>
      <c r="Q313" s="2466"/>
      <c r="R313" s="2466"/>
      <c r="S313" s="2466"/>
      <c r="T313" s="2466"/>
      <c r="U313" s="2466"/>
      <c r="V313" s="2466"/>
      <c r="W313" s="2466"/>
      <c r="X313" s="2466"/>
      <c r="Y313" s="2466"/>
      <c r="Z313" s="2466"/>
      <c r="AA313" s="2466"/>
      <c r="AB313" s="2466"/>
      <c r="AC313" s="2466"/>
      <c r="AD313" s="246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9" t="s">
        <v>1377</v>
      </c>
      <c r="B315" s="1679"/>
      <c r="C315" s="2468" t="s">
        <v>590</v>
      </c>
      <c r="D315" s="2468"/>
      <c r="E315" s="546"/>
      <c r="F315" s="967" t="s">
        <v>2569</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62" t="s">
        <v>1982</v>
      </c>
      <c r="G316" s="2463"/>
      <c r="H316" s="2463"/>
      <c r="I316" s="2463"/>
      <c r="J316" s="2463"/>
      <c r="K316" s="2463"/>
      <c r="L316" s="2463"/>
      <c r="M316" s="2463"/>
      <c r="N316" s="2463"/>
      <c r="O316" s="2463"/>
      <c r="P316" s="2463"/>
      <c r="Q316" s="2463"/>
      <c r="R316" s="2463"/>
      <c r="S316" s="2463"/>
      <c r="T316" s="2463"/>
      <c r="U316" s="2463"/>
      <c r="V316" s="2463"/>
      <c r="W316" s="2463"/>
      <c r="X316" s="2463"/>
      <c r="Y316" s="2463"/>
      <c r="Z316" s="2463"/>
      <c r="AA316" s="2463"/>
      <c r="AB316" s="2463"/>
      <c r="AC316" s="2463"/>
      <c r="AD316" s="2464"/>
      <c r="AE316" s="550"/>
      <c r="AF316" s="550"/>
      <c r="AG316" s="550"/>
      <c r="AH316" s="550"/>
      <c r="AI316" s="550"/>
      <c r="AJ316" s="549"/>
      <c r="AK316" s="549"/>
      <c r="AL316" s="549"/>
      <c r="AM316" s="549"/>
      <c r="AR316" s="644"/>
    </row>
    <row r="317" spans="1:49" ht="15" customHeight="1">
      <c r="A317" s="549"/>
      <c r="B317" s="550"/>
      <c r="C317" s="549"/>
      <c r="D317" s="550"/>
      <c r="E317" s="549"/>
      <c r="F317" s="2462"/>
      <c r="G317" s="2463"/>
      <c r="H317" s="2463"/>
      <c r="I317" s="2463"/>
      <c r="J317" s="2463"/>
      <c r="K317" s="2463"/>
      <c r="L317" s="2463"/>
      <c r="M317" s="2463"/>
      <c r="N317" s="2463"/>
      <c r="O317" s="2463"/>
      <c r="P317" s="2463"/>
      <c r="Q317" s="2463"/>
      <c r="R317" s="2463"/>
      <c r="S317" s="2463"/>
      <c r="T317" s="2463"/>
      <c r="U317" s="2463"/>
      <c r="V317" s="2463"/>
      <c r="W317" s="2463"/>
      <c r="X317" s="2463"/>
      <c r="Y317" s="2463"/>
      <c r="Z317" s="2463"/>
      <c r="AA317" s="2463"/>
      <c r="AB317" s="2463"/>
      <c r="AC317" s="2463"/>
      <c r="AD317" s="2464"/>
      <c r="AE317" s="550"/>
      <c r="AF317" s="550"/>
      <c r="AG317" s="550"/>
      <c r="AH317" s="550"/>
      <c r="AI317" s="550"/>
      <c r="AJ317" s="549"/>
      <c r="AK317" s="549"/>
      <c r="AL317" s="549"/>
      <c r="AM317" s="549"/>
      <c r="AR317" s="644"/>
    </row>
    <row r="318" spans="1:49">
      <c r="A318" s="549"/>
      <c r="B318" s="550"/>
      <c r="C318" s="549"/>
      <c r="D318" s="550"/>
      <c r="E318" s="549"/>
      <c r="F318" s="2462"/>
      <c r="G318" s="2463"/>
      <c r="H318" s="2463"/>
      <c r="I318" s="2463"/>
      <c r="J318" s="2463"/>
      <c r="K318" s="2463"/>
      <c r="L318" s="2463"/>
      <c r="M318" s="2463"/>
      <c r="N318" s="2463"/>
      <c r="O318" s="2463"/>
      <c r="P318" s="2463"/>
      <c r="Q318" s="2463"/>
      <c r="R318" s="2463"/>
      <c r="S318" s="2463"/>
      <c r="T318" s="2463"/>
      <c r="U318" s="2463"/>
      <c r="V318" s="2463"/>
      <c r="W318" s="2463"/>
      <c r="X318" s="2463"/>
      <c r="Y318" s="2463"/>
      <c r="Z318" s="2463"/>
      <c r="AA318" s="2463"/>
      <c r="AB318" s="2463"/>
      <c r="AC318" s="2463"/>
      <c r="AD318" s="2464"/>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5"/>
      <c r="G319" s="2466"/>
      <c r="H319" s="2466"/>
      <c r="I319" s="2466"/>
      <c r="J319" s="2466"/>
      <c r="K319" s="2466"/>
      <c r="L319" s="2466"/>
      <c r="M319" s="2466"/>
      <c r="N319" s="2466"/>
      <c r="O319" s="2466"/>
      <c r="P319" s="2466"/>
      <c r="Q319" s="2466"/>
      <c r="R319" s="2466"/>
      <c r="S319" s="2466"/>
      <c r="T319" s="2466"/>
      <c r="U319" s="2466"/>
      <c r="V319" s="2466"/>
      <c r="W319" s="2466"/>
      <c r="X319" s="2466"/>
      <c r="Y319" s="2466"/>
      <c r="Z319" s="2466"/>
      <c r="AA319" s="2466"/>
      <c r="AB319" s="2466"/>
      <c r="AC319" s="2466"/>
      <c r="AD319" s="246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79" t="s">
        <v>1380</v>
      </c>
      <c r="B323" s="1679"/>
      <c r="C323" s="2468" t="s">
        <v>590</v>
      </c>
      <c r="D323" s="2468"/>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t="13" hidden="1">
      <c r="A324" s="89"/>
      <c r="B324" s="89"/>
      <c r="C324" s="726"/>
      <c r="D324" s="726"/>
      <c r="E324" s="546"/>
      <c r="F324" s="2462" t="s">
        <v>1987</v>
      </c>
      <c r="G324" s="2463"/>
      <c r="H324" s="2463"/>
      <c r="I324" s="2463"/>
      <c r="J324" s="2463"/>
      <c r="K324" s="2463"/>
      <c r="L324" s="2463"/>
      <c r="M324" s="2463"/>
      <c r="N324" s="2463"/>
      <c r="O324" s="2463"/>
      <c r="P324" s="2463"/>
      <c r="Q324" s="2463"/>
      <c r="R324" s="2463"/>
      <c r="S324" s="2463"/>
      <c r="T324" s="2463"/>
      <c r="U324" s="2463"/>
      <c r="V324" s="2463"/>
      <c r="W324" s="2463"/>
      <c r="X324" s="2463"/>
      <c r="Y324" s="2463"/>
      <c r="Z324" s="2463"/>
      <c r="AA324" s="2463"/>
      <c r="AB324" s="2463"/>
      <c r="AC324" s="2463"/>
      <c r="AD324" s="2464"/>
      <c r="AE324" s="550"/>
      <c r="AF324" s="550"/>
      <c r="AG324" s="539"/>
      <c r="AH324" s="550"/>
      <c r="AI324" s="550"/>
      <c r="AJ324" s="549"/>
      <c r="AK324" s="549"/>
      <c r="AL324" s="549"/>
      <c r="AM324" s="549"/>
      <c r="AN324" s="73"/>
      <c r="AO324" s="14"/>
      <c r="AP324" s="555" t="s">
        <v>1183</v>
      </c>
    </row>
    <row r="325" spans="1:44" hidden="1">
      <c r="F325" s="2462"/>
      <c r="G325" s="2463"/>
      <c r="H325" s="2463"/>
      <c r="I325" s="2463"/>
      <c r="J325" s="2463"/>
      <c r="K325" s="2463"/>
      <c r="L325" s="2463"/>
      <c r="M325" s="2463"/>
      <c r="N325" s="2463"/>
      <c r="O325" s="2463"/>
      <c r="P325" s="2463"/>
      <c r="Q325" s="2463"/>
      <c r="R325" s="2463"/>
      <c r="S325" s="2463"/>
      <c r="T325" s="2463"/>
      <c r="U325" s="2463"/>
      <c r="V325" s="2463"/>
      <c r="W325" s="2463"/>
      <c r="X325" s="2463"/>
      <c r="Y325" s="2463"/>
      <c r="Z325" s="2463"/>
      <c r="AA325" s="2463"/>
      <c r="AB325" s="2463"/>
      <c r="AC325" s="2463"/>
      <c r="AD325" s="2464"/>
      <c r="AE325" s="550"/>
      <c r="AF325" s="550"/>
      <c r="AH325" s="550"/>
      <c r="AI325" s="550"/>
      <c r="AJ325" s="549"/>
      <c r="AK325" s="549"/>
      <c r="AL325" s="549"/>
      <c r="AM325" s="549"/>
      <c r="AN325" s="73"/>
      <c r="AO325" s="14"/>
      <c r="AP325" s="555" t="s">
        <v>1718</v>
      </c>
    </row>
    <row r="326" spans="1:44" ht="13"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497" t="s">
        <v>1183</v>
      </c>
      <c r="G329" s="2498"/>
      <c r="H329" s="2498"/>
      <c r="I329" s="2498"/>
      <c r="J329" s="2498"/>
      <c r="K329" s="2498"/>
      <c r="L329" s="2498"/>
      <c r="M329" s="2498"/>
      <c r="N329" s="2498"/>
      <c r="O329" s="2498"/>
      <c r="P329" s="2498"/>
      <c r="Q329" s="2498"/>
      <c r="R329" s="2498"/>
      <c r="S329" s="2498"/>
      <c r="T329" s="2498"/>
      <c r="U329" s="2498"/>
      <c r="V329" s="2498"/>
      <c r="W329" s="2498"/>
      <c r="X329" s="2498"/>
      <c r="Y329" s="2498"/>
      <c r="Z329" s="2498"/>
      <c r="AA329" s="2498"/>
      <c r="AB329" s="2498"/>
      <c r="AC329" s="2498"/>
      <c r="AD329" s="2499"/>
      <c r="AE329" s="640"/>
      <c r="AF329" s="640"/>
      <c r="AG329" s="640"/>
      <c r="AH329" s="640"/>
      <c r="AI329" s="640"/>
      <c r="AJ329" s="640"/>
      <c r="AK329" s="640"/>
      <c r="AL329" s="549"/>
      <c r="AM329" s="549"/>
      <c r="AN329" s="73"/>
      <c r="AO329" s="14"/>
      <c r="AP329" s="30"/>
    </row>
    <row r="330" spans="1:44" ht="13" hidden="1">
      <c r="A330" s="549"/>
      <c r="B330" s="550"/>
      <c r="C330" s="726"/>
      <c r="D330" s="726"/>
      <c r="E330" s="546"/>
      <c r="F330" s="2497"/>
      <c r="G330" s="2498"/>
      <c r="H330" s="2498"/>
      <c r="I330" s="2498"/>
      <c r="J330" s="2498"/>
      <c r="K330" s="2498"/>
      <c r="L330" s="2498"/>
      <c r="M330" s="2498"/>
      <c r="N330" s="2498"/>
      <c r="O330" s="2498"/>
      <c r="P330" s="2498"/>
      <c r="Q330" s="2498"/>
      <c r="R330" s="2498"/>
      <c r="S330" s="2498"/>
      <c r="T330" s="2498"/>
      <c r="U330" s="2498"/>
      <c r="V330" s="2498"/>
      <c r="W330" s="2498"/>
      <c r="X330" s="2498"/>
      <c r="Y330" s="2498"/>
      <c r="Z330" s="2498"/>
      <c r="AA330" s="2498"/>
      <c r="AB330" s="2498"/>
      <c r="AC330" s="2498"/>
      <c r="AD330" s="2499"/>
      <c r="AE330" s="550"/>
      <c r="AF330" s="550"/>
      <c r="AG330" s="539"/>
      <c r="AH330" s="550"/>
      <c r="AI330" s="550"/>
      <c r="AJ330" s="549"/>
      <c r="AK330" s="549"/>
      <c r="AL330" s="549"/>
      <c r="AM330" s="549"/>
      <c r="AN330" s="73"/>
      <c r="AO330" s="14"/>
      <c r="AP330" s="30"/>
    </row>
    <row r="331" spans="1:44" ht="13" hidden="1">
      <c r="A331" s="549"/>
      <c r="B331" s="550"/>
      <c r="C331" s="726"/>
      <c r="D331" s="726"/>
      <c r="E331" s="546"/>
      <c r="F331" s="2497"/>
      <c r="G331" s="2498"/>
      <c r="H331" s="2498"/>
      <c r="I331" s="2498"/>
      <c r="J331" s="2498"/>
      <c r="K331" s="2498"/>
      <c r="L331" s="2498"/>
      <c r="M331" s="2498"/>
      <c r="N331" s="2498"/>
      <c r="O331" s="2498"/>
      <c r="P331" s="2498"/>
      <c r="Q331" s="2498"/>
      <c r="R331" s="2498"/>
      <c r="S331" s="2498"/>
      <c r="T331" s="2498"/>
      <c r="U331" s="2498"/>
      <c r="V331" s="2498"/>
      <c r="W331" s="2498"/>
      <c r="X331" s="2498"/>
      <c r="Y331" s="2498"/>
      <c r="Z331" s="2498"/>
      <c r="AA331" s="2498"/>
      <c r="AB331" s="2498"/>
      <c r="AC331" s="2498"/>
      <c r="AD331" s="2499"/>
      <c r="AE331" s="550"/>
      <c r="AF331" s="550"/>
      <c r="AG331" s="539"/>
      <c r="AH331" s="550"/>
      <c r="AI331" s="550"/>
      <c r="AJ331" s="549"/>
      <c r="AK331" s="549"/>
      <c r="AL331" s="549"/>
      <c r="AM331" s="549"/>
      <c r="AN331" s="73"/>
      <c r="AO331" s="14"/>
      <c r="AP331" s="30"/>
    </row>
    <row r="332" spans="1:44" ht="13" hidden="1">
      <c r="A332" s="549"/>
      <c r="B332" s="550"/>
      <c r="C332" s="726"/>
      <c r="D332" s="726"/>
      <c r="E332" s="546"/>
      <c r="F332" s="2497"/>
      <c r="G332" s="2498"/>
      <c r="H332" s="2498"/>
      <c r="I332" s="2498"/>
      <c r="J332" s="2498"/>
      <c r="K332" s="2498"/>
      <c r="L332" s="2498"/>
      <c r="M332" s="2498"/>
      <c r="N332" s="2498"/>
      <c r="O332" s="2498"/>
      <c r="P332" s="2498"/>
      <c r="Q332" s="2498"/>
      <c r="R332" s="2498"/>
      <c r="S332" s="2498"/>
      <c r="T332" s="2498"/>
      <c r="U332" s="2498"/>
      <c r="V332" s="2498"/>
      <c r="W332" s="2498"/>
      <c r="X332" s="2498"/>
      <c r="Y332" s="2498"/>
      <c r="Z332" s="2498"/>
      <c r="AA332" s="2498"/>
      <c r="AB332" s="2498"/>
      <c r="AC332" s="2498"/>
      <c r="AD332" s="2499"/>
      <c r="AE332" s="550"/>
      <c r="AF332" s="550"/>
      <c r="AG332" s="539"/>
      <c r="AH332" s="550"/>
      <c r="AI332" s="550"/>
      <c r="AJ332" s="549"/>
      <c r="AK332" s="549"/>
      <c r="AL332" s="549"/>
      <c r="AM332" s="549"/>
      <c r="AN332" s="73"/>
      <c r="AO332" s="14"/>
      <c r="AP332" s="30"/>
    </row>
    <row r="333" spans="1:44" ht="13" hidden="1">
      <c r="A333" s="549"/>
      <c r="B333" s="550"/>
      <c r="C333" s="726"/>
      <c r="D333" s="726"/>
      <c r="E333" s="546"/>
      <c r="F333" s="2500"/>
      <c r="G333" s="2501"/>
      <c r="H333" s="2501"/>
      <c r="I333" s="2501"/>
      <c r="J333" s="2501"/>
      <c r="K333" s="2501"/>
      <c r="L333" s="2501"/>
      <c r="M333" s="2501"/>
      <c r="N333" s="2501"/>
      <c r="O333" s="2501"/>
      <c r="P333" s="2501"/>
      <c r="Q333" s="2501"/>
      <c r="R333" s="2501"/>
      <c r="S333" s="2501"/>
      <c r="T333" s="2501"/>
      <c r="U333" s="2501"/>
      <c r="V333" s="2501"/>
      <c r="W333" s="2501"/>
      <c r="X333" s="2501"/>
      <c r="Y333" s="2501"/>
      <c r="Z333" s="2501"/>
      <c r="AA333" s="2501"/>
      <c r="AB333" s="2501"/>
      <c r="AC333" s="2501"/>
      <c r="AD333" s="2502"/>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03" t="s">
        <v>1183</v>
      </c>
      <c r="J337" s="2503"/>
      <c r="K337" s="2503"/>
      <c r="L337" s="2503"/>
      <c r="M337" s="2503"/>
      <c r="N337" s="2503"/>
      <c r="O337" s="2503"/>
      <c r="P337" s="2503"/>
      <c r="Q337" s="2503"/>
      <c r="R337" s="2503"/>
      <c r="S337" s="2503"/>
      <c r="T337" s="2503"/>
      <c r="U337" s="2503"/>
      <c r="V337" s="2503"/>
      <c r="W337" s="2503"/>
      <c r="X337" s="2503"/>
      <c r="Y337" s="2503"/>
      <c r="Z337" s="2503"/>
      <c r="AA337" s="2503"/>
      <c r="AB337" s="2503"/>
      <c r="AC337" s="2503"/>
      <c r="AD337" s="2504"/>
      <c r="AE337" s="550"/>
      <c r="AF337" s="550"/>
      <c r="AG337" s="539"/>
      <c r="AH337" s="550"/>
      <c r="AI337" s="550"/>
      <c r="AJ337" s="549"/>
      <c r="AK337" s="549"/>
      <c r="AL337" s="549"/>
      <c r="AM337" s="549"/>
      <c r="AN337" s="73"/>
      <c r="AO337" s="14"/>
      <c r="AP337" s="555" t="s">
        <v>1625</v>
      </c>
    </row>
    <row r="338" spans="1:42" ht="13" hidden="1">
      <c r="A338" s="549"/>
      <c r="B338" s="550"/>
      <c r="C338" s="726"/>
      <c r="D338" s="726"/>
      <c r="E338" s="546"/>
      <c r="F338" s="652"/>
      <c r="G338" s="573"/>
      <c r="H338" s="573"/>
      <c r="I338" s="2503"/>
      <c r="J338" s="2503"/>
      <c r="K338" s="2503"/>
      <c r="L338" s="2503"/>
      <c r="M338" s="2503"/>
      <c r="N338" s="2503"/>
      <c r="O338" s="2503"/>
      <c r="P338" s="2503"/>
      <c r="Q338" s="2503"/>
      <c r="R338" s="2503"/>
      <c r="S338" s="2503"/>
      <c r="T338" s="2503"/>
      <c r="U338" s="2503"/>
      <c r="V338" s="2503"/>
      <c r="W338" s="2503"/>
      <c r="X338" s="2503"/>
      <c r="Y338" s="2503"/>
      <c r="Z338" s="2503"/>
      <c r="AA338" s="2503"/>
      <c r="AB338" s="2503"/>
      <c r="AC338" s="2503"/>
      <c r="AD338" s="2504"/>
      <c r="AE338" s="550"/>
      <c r="AF338" s="550"/>
      <c r="AG338" s="539"/>
      <c r="AH338" s="550"/>
      <c r="AI338" s="550"/>
      <c r="AJ338" s="549"/>
      <c r="AK338" s="549"/>
      <c r="AL338" s="549"/>
      <c r="AM338" s="549"/>
      <c r="AN338" s="73"/>
      <c r="AO338" s="14"/>
      <c r="AP338" s="555" t="s">
        <v>1721</v>
      </c>
    </row>
    <row r="339" spans="1:42" ht="13" hidden="1">
      <c r="A339" s="549"/>
      <c r="B339" s="550"/>
      <c r="C339" s="647"/>
      <c r="D339" s="647"/>
      <c r="E339" s="546"/>
      <c r="F339" s="652"/>
      <c r="G339" s="573"/>
      <c r="H339" s="573"/>
      <c r="I339" s="2503"/>
      <c r="J339" s="2503"/>
      <c r="K339" s="2503"/>
      <c r="L339" s="2503"/>
      <c r="M339" s="2503"/>
      <c r="N339" s="2503"/>
      <c r="O339" s="2503"/>
      <c r="P339" s="2503"/>
      <c r="Q339" s="2503"/>
      <c r="R339" s="2503"/>
      <c r="S339" s="2503"/>
      <c r="T339" s="2503"/>
      <c r="U339" s="2503"/>
      <c r="V339" s="2503"/>
      <c r="W339" s="2503"/>
      <c r="X339" s="2503"/>
      <c r="Y339" s="2503"/>
      <c r="Z339" s="2503"/>
      <c r="AA339" s="2503"/>
      <c r="AB339" s="2503"/>
      <c r="AC339" s="2503"/>
      <c r="AD339" s="2504"/>
      <c r="AE339" s="550"/>
      <c r="AF339" s="550"/>
      <c r="AG339" s="539"/>
      <c r="AH339" s="550"/>
      <c r="AI339" s="550"/>
      <c r="AJ339" s="549"/>
      <c r="AK339" s="549"/>
      <c r="AL339" s="549"/>
      <c r="AM339" s="549"/>
      <c r="AN339" s="73"/>
      <c r="AO339" s="14"/>
      <c r="AP339" s="555" t="s">
        <v>1723</v>
      </c>
    </row>
    <row r="340" spans="1:42" ht="13" hidden="1">
      <c r="A340" s="549"/>
      <c r="B340" s="550"/>
      <c r="C340" s="647"/>
      <c r="D340" s="647"/>
      <c r="E340" s="546"/>
      <c r="F340" s="650"/>
      <c r="G340" s="550"/>
      <c r="H340" s="550"/>
      <c r="I340" s="2505"/>
      <c r="J340" s="2505"/>
      <c r="K340" s="2505"/>
      <c r="L340" s="2505"/>
      <c r="M340" s="2505"/>
      <c r="N340" s="2505"/>
      <c r="O340" s="2505"/>
      <c r="P340" s="2505"/>
      <c r="Q340" s="2505"/>
      <c r="R340" s="2505"/>
      <c r="S340" s="2505"/>
      <c r="T340" s="2505"/>
      <c r="U340" s="2505"/>
      <c r="V340" s="2505"/>
      <c r="W340" s="2505"/>
      <c r="X340" s="2505"/>
      <c r="Y340" s="2505"/>
      <c r="Z340" s="2505"/>
      <c r="AA340" s="2505"/>
      <c r="AB340" s="2505"/>
      <c r="AC340" s="2505"/>
      <c r="AD340" s="2506"/>
      <c r="AE340" s="550"/>
      <c r="AF340" s="550"/>
      <c r="AG340" s="539"/>
      <c r="AH340" s="550"/>
      <c r="AI340" s="550"/>
      <c r="AJ340" s="549"/>
      <c r="AK340" s="549"/>
      <c r="AL340" s="549"/>
      <c r="AM340" s="549"/>
      <c r="AN340" s="73"/>
      <c r="AO340" s="14"/>
      <c r="AP340" s="555" t="s">
        <v>1722</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508</v>
      </c>
      <c r="H342" s="550"/>
      <c r="I342" s="2503" t="s">
        <v>1183</v>
      </c>
      <c r="J342" s="2503"/>
      <c r="K342" s="2503"/>
      <c r="L342" s="2503"/>
      <c r="M342" s="2503"/>
      <c r="N342" s="2503"/>
      <c r="O342" s="2503"/>
      <c r="P342" s="2503"/>
      <c r="Q342" s="2503"/>
      <c r="R342" s="2503"/>
      <c r="S342" s="2503"/>
      <c r="T342" s="2503"/>
      <c r="U342" s="2503"/>
      <c r="V342" s="2503"/>
      <c r="W342" s="2503"/>
      <c r="X342" s="2503"/>
      <c r="Y342" s="2503"/>
      <c r="Z342" s="2503"/>
      <c r="AA342" s="2503"/>
      <c r="AB342" s="2503"/>
      <c r="AC342" s="2503"/>
      <c r="AD342" s="2504"/>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03"/>
      <c r="J343" s="2503"/>
      <c r="K343" s="2503"/>
      <c r="L343" s="2503"/>
      <c r="M343" s="2503"/>
      <c r="N343" s="2503"/>
      <c r="O343" s="2503"/>
      <c r="P343" s="2503"/>
      <c r="Q343" s="2503"/>
      <c r="R343" s="2503"/>
      <c r="S343" s="2503"/>
      <c r="T343" s="2503"/>
      <c r="U343" s="2503"/>
      <c r="V343" s="2503"/>
      <c r="W343" s="2503"/>
      <c r="X343" s="2503"/>
      <c r="Y343" s="2503"/>
      <c r="Z343" s="2503"/>
      <c r="AA343" s="2503"/>
      <c r="AB343" s="2503"/>
      <c r="AC343" s="2503"/>
      <c r="AD343" s="2504"/>
      <c r="AE343" s="550"/>
      <c r="AF343" s="550"/>
      <c r="AG343" s="539"/>
      <c r="AH343" s="550"/>
      <c r="AI343" s="550"/>
      <c r="AJ343" s="549"/>
      <c r="AK343" s="549"/>
      <c r="AL343" s="549"/>
      <c r="AM343" s="549"/>
      <c r="AN343" s="73"/>
      <c r="AO343" s="14"/>
      <c r="AP343" s="555" t="s">
        <v>1183</v>
      </c>
    </row>
    <row r="344" spans="1:42" ht="13" hidden="1">
      <c r="A344" s="549"/>
      <c r="B344" s="550"/>
      <c r="C344" s="647"/>
      <c r="D344" s="647"/>
      <c r="E344" s="546"/>
      <c r="F344" s="653"/>
      <c r="G344" s="654"/>
      <c r="H344" s="654"/>
      <c r="I344" s="2505"/>
      <c r="J344" s="2505"/>
      <c r="K344" s="2505"/>
      <c r="L344" s="2505"/>
      <c r="M344" s="2505"/>
      <c r="N344" s="2505"/>
      <c r="O344" s="2505"/>
      <c r="P344" s="2505"/>
      <c r="Q344" s="2505"/>
      <c r="R344" s="2505"/>
      <c r="S344" s="2505"/>
      <c r="T344" s="2505"/>
      <c r="U344" s="2505"/>
      <c r="V344" s="2505"/>
      <c r="W344" s="2505"/>
      <c r="X344" s="2505"/>
      <c r="Y344" s="2505"/>
      <c r="Z344" s="2505"/>
      <c r="AA344" s="2505"/>
      <c r="AB344" s="2505"/>
      <c r="AC344" s="2505"/>
      <c r="AD344" s="2506"/>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79" t="s">
        <v>1383</v>
      </c>
      <c r="B346" s="1679"/>
      <c r="C346" s="2468" t="s">
        <v>590</v>
      </c>
      <c r="D346" s="2468"/>
      <c r="E346" s="546"/>
      <c r="F346" s="2401" t="s">
        <v>1988</v>
      </c>
      <c r="G346" s="2402"/>
      <c r="H346" s="2402"/>
      <c r="I346" s="2402"/>
      <c r="J346" s="2402"/>
      <c r="K346" s="2402"/>
      <c r="L346" s="2402"/>
      <c r="M346" s="2402"/>
      <c r="N346" s="2402"/>
      <c r="O346" s="2402"/>
      <c r="P346" s="2402"/>
      <c r="Q346" s="2402"/>
      <c r="R346" s="2402"/>
      <c r="S346" s="2402"/>
      <c r="T346" s="2402"/>
      <c r="U346" s="2402"/>
      <c r="V346" s="2402"/>
      <c r="W346" s="2402"/>
      <c r="X346" s="2402"/>
      <c r="Y346" s="2402"/>
      <c r="Z346" s="2402"/>
      <c r="AA346" s="2402"/>
      <c r="AB346" s="2402"/>
      <c r="AC346" s="2402"/>
      <c r="AD346" s="2403"/>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30"/>
      <c r="G347" s="2431"/>
      <c r="H347" s="2431"/>
      <c r="I347" s="2431"/>
      <c r="J347" s="2431"/>
      <c r="K347" s="2431"/>
      <c r="L347" s="2431"/>
      <c r="M347" s="2431"/>
      <c r="N347" s="2431"/>
      <c r="O347" s="2431"/>
      <c r="P347" s="2431"/>
      <c r="Q347" s="2431"/>
      <c r="R347" s="2431"/>
      <c r="S347" s="2431"/>
      <c r="T347" s="2431"/>
      <c r="U347" s="2431"/>
      <c r="V347" s="2431"/>
      <c r="W347" s="2431"/>
      <c r="X347" s="2431"/>
      <c r="Y347" s="2431"/>
      <c r="Z347" s="2431"/>
      <c r="AA347" s="2431"/>
      <c r="AB347" s="2431"/>
      <c r="AC347" s="2431"/>
      <c r="AD347" s="2432"/>
      <c r="AE347" s="550"/>
      <c r="AF347" s="550"/>
      <c r="AG347" s="550"/>
      <c r="AH347" s="550"/>
      <c r="AI347" s="550"/>
      <c r="AJ347" s="549"/>
      <c r="AK347" s="549"/>
      <c r="AL347" s="549"/>
      <c r="AM347" s="549"/>
      <c r="AN347" s="73"/>
      <c r="AO347" s="14"/>
    </row>
    <row r="348" spans="1:42" ht="15" hidden="1" customHeight="1">
      <c r="A348" s="549"/>
      <c r="B348" s="550"/>
      <c r="C348" s="550"/>
      <c r="D348" s="550"/>
      <c r="E348" s="550"/>
      <c r="F348" s="2430"/>
      <c r="G348" s="2431"/>
      <c r="H348" s="2431"/>
      <c r="I348" s="2431"/>
      <c r="J348" s="2431"/>
      <c r="K348" s="2431"/>
      <c r="L348" s="2431"/>
      <c r="M348" s="2431"/>
      <c r="N348" s="2431"/>
      <c r="O348" s="2431"/>
      <c r="P348" s="2431"/>
      <c r="Q348" s="2431"/>
      <c r="R348" s="2431"/>
      <c r="S348" s="2431"/>
      <c r="T348" s="2431"/>
      <c r="U348" s="2431"/>
      <c r="V348" s="2431"/>
      <c r="W348" s="2431"/>
      <c r="X348" s="2431"/>
      <c r="Y348" s="2431"/>
      <c r="Z348" s="2431"/>
      <c r="AA348" s="2431"/>
      <c r="AB348" s="2431"/>
      <c r="AC348" s="2431"/>
      <c r="AD348" s="2432"/>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2601</v>
      </c>
      <c r="AK351" s="2471">
        <f>IF(NOT(OR(Application!M364="Yes",Application!M365="Yes")),0,AP308)</f>
        <v>0</v>
      </c>
      <c r="AL351" s="2472"/>
      <c r="AM351" s="2473"/>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13" t="s">
        <v>1307</v>
      </c>
      <c r="AF354" s="2413"/>
      <c r="AG354" s="2413"/>
      <c r="AH354" s="2413"/>
      <c r="AI354" s="2413"/>
      <c r="AJ354" s="2413"/>
      <c r="AK354" s="2413"/>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07" t="s">
        <v>1444</v>
      </c>
      <c r="D356" s="2507"/>
      <c r="E356" s="2507"/>
      <c r="F356" s="2507"/>
      <c r="G356" s="2507"/>
      <c r="H356" s="2507"/>
      <c r="I356" s="2507"/>
      <c r="J356" s="2507"/>
      <c r="K356" s="2507"/>
      <c r="L356" s="2507"/>
      <c r="M356" s="2507"/>
      <c r="N356" s="2507"/>
      <c r="O356" s="2507"/>
      <c r="P356" s="2507"/>
      <c r="Q356" s="2507"/>
      <c r="R356" s="2507"/>
      <c r="S356" s="2507"/>
      <c r="T356" s="2507"/>
      <c r="U356" s="2507"/>
      <c r="V356" s="2507"/>
      <c r="W356" s="2507"/>
      <c r="X356" s="2507"/>
      <c r="Y356" s="2507"/>
      <c r="Z356" s="2507"/>
      <c r="AA356" s="2507"/>
      <c r="AB356" s="2507"/>
      <c r="AC356" s="2507"/>
      <c r="AD356" s="2507"/>
      <c r="AE356" s="2507"/>
      <c r="AF356" s="2507"/>
      <c r="AG356" s="2507"/>
      <c r="AH356" s="2507"/>
      <c r="AI356" s="2507"/>
      <c r="AJ356" s="2507"/>
      <c r="AK356" s="601"/>
      <c r="AL356" s="601"/>
      <c r="AM356" s="601"/>
      <c r="AN356" s="595"/>
    </row>
    <row r="357" spans="1:44" s="549" customFormat="1" ht="12.75" customHeight="1">
      <c r="A357" s="601"/>
      <c r="B357" s="609"/>
      <c r="C357" s="2507"/>
      <c r="D357" s="2507"/>
      <c r="E357" s="2507"/>
      <c r="F357" s="2507"/>
      <c r="G357" s="2507"/>
      <c r="H357" s="2507"/>
      <c r="I357" s="2507"/>
      <c r="J357" s="2507"/>
      <c r="K357" s="2507"/>
      <c r="L357" s="2507"/>
      <c r="M357" s="2507"/>
      <c r="N357" s="2507"/>
      <c r="O357" s="2507"/>
      <c r="P357" s="2507"/>
      <c r="Q357" s="2507"/>
      <c r="R357" s="2507"/>
      <c r="S357" s="2507"/>
      <c r="T357" s="2507"/>
      <c r="U357" s="2507"/>
      <c r="V357" s="2507"/>
      <c r="W357" s="2507"/>
      <c r="X357" s="2507"/>
      <c r="Y357" s="2507"/>
      <c r="Z357" s="2507"/>
      <c r="AA357" s="2507"/>
      <c r="AB357" s="2507"/>
      <c r="AC357" s="2507"/>
      <c r="AD357" s="2507"/>
      <c r="AE357" s="2507"/>
      <c r="AF357" s="2507"/>
      <c r="AG357" s="2507"/>
      <c r="AH357" s="2507"/>
      <c r="AI357" s="2507"/>
      <c r="AJ357" s="2507"/>
      <c r="AK357" s="601"/>
      <c r="AL357" s="601"/>
      <c r="AM357" s="601"/>
      <c r="AN357" s="595"/>
    </row>
    <row r="358" spans="1:44" s="549" customFormat="1" ht="12.75" customHeight="1">
      <c r="A358" s="601"/>
      <c r="B358" s="609"/>
      <c r="C358" s="2507"/>
      <c r="D358" s="2507"/>
      <c r="E358" s="2507"/>
      <c r="F358" s="2507"/>
      <c r="G358" s="2507"/>
      <c r="H358" s="2507"/>
      <c r="I358" s="2507"/>
      <c r="J358" s="2507"/>
      <c r="K358" s="2507"/>
      <c r="L358" s="2507"/>
      <c r="M358" s="2507"/>
      <c r="N358" s="2507"/>
      <c r="O358" s="2507"/>
      <c r="P358" s="2507"/>
      <c r="Q358" s="2507"/>
      <c r="R358" s="2507"/>
      <c r="S358" s="2507"/>
      <c r="T358" s="2507"/>
      <c r="U358" s="2507"/>
      <c r="V358" s="2507"/>
      <c r="W358" s="2507"/>
      <c r="X358" s="2507"/>
      <c r="Y358" s="2507"/>
      <c r="Z358" s="2507"/>
      <c r="AA358" s="2507"/>
      <c r="AB358" s="2507"/>
      <c r="AC358" s="2507"/>
      <c r="AD358" s="2507"/>
      <c r="AE358" s="2507"/>
      <c r="AF358" s="2507"/>
      <c r="AG358" s="2507"/>
      <c r="AH358" s="2507"/>
      <c r="AI358" s="2507"/>
      <c r="AJ358" s="2507"/>
      <c r="AK358" s="601"/>
      <c r="AL358" s="601"/>
      <c r="AM358" s="601"/>
      <c r="AN358" s="595"/>
      <c r="AQ358" s="568"/>
    </row>
    <row r="359" spans="1:44" s="549" customFormat="1" ht="12.75" customHeight="1">
      <c r="A359" s="601"/>
      <c r="B359" s="609"/>
      <c r="C359" s="2507"/>
      <c r="D359" s="2507"/>
      <c r="E359" s="2507"/>
      <c r="F359" s="2507"/>
      <c r="G359" s="2507"/>
      <c r="H359" s="2507"/>
      <c r="I359" s="2507"/>
      <c r="J359" s="2507"/>
      <c r="K359" s="2507"/>
      <c r="L359" s="2507"/>
      <c r="M359" s="2507"/>
      <c r="N359" s="2507"/>
      <c r="O359" s="2507"/>
      <c r="P359" s="2507"/>
      <c r="Q359" s="2507"/>
      <c r="R359" s="2507"/>
      <c r="S359" s="2507"/>
      <c r="T359" s="2507"/>
      <c r="U359" s="2507"/>
      <c r="V359" s="2507"/>
      <c r="W359" s="2507"/>
      <c r="X359" s="2507"/>
      <c r="Y359" s="2507"/>
      <c r="Z359" s="2507"/>
      <c r="AA359" s="2507"/>
      <c r="AB359" s="2507"/>
      <c r="AC359" s="2507"/>
      <c r="AD359" s="2507"/>
      <c r="AE359" s="2507"/>
      <c r="AF359" s="2507"/>
      <c r="AG359" s="2507"/>
      <c r="AH359" s="2507"/>
      <c r="AI359" s="2507"/>
      <c r="AJ359" s="2507"/>
      <c r="AK359" s="601"/>
      <c r="AL359" s="601"/>
      <c r="AM359" s="601"/>
      <c r="AN359" s="595"/>
      <c r="AQ359" s="568"/>
    </row>
    <row r="360" spans="1:44" s="549" customFormat="1" ht="12.4" customHeight="1">
      <c r="A360" s="601"/>
      <c r="B360" s="609"/>
      <c r="C360" s="2507"/>
      <c r="D360" s="2507"/>
      <c r="E360" s="2507"/>
      <c r="F360" s="2507"/>
      <c r="G360" s="2507"/>
      <c r="H360" s="2507"/>
      <c r="I360" s="2507"/>
      <c r="J360" s="2507"/>
      <c r="K360" s="2507"/>
      <c r="L360" s="2507"/>
      <c r="M360" s="2507"/>
      <c r="N360" s="2507"/>
      <c r="O360" s="2507"/>
      <c r="P360" s="2507"/>
      <c r="Q360" s="2507"/>
      <c r="R360" s="2507"/>
      <c r="S360" s="2507"/>
      <c r="T360" s="2507"/>
      <c r="U360" s="2507"/>
      <c r="V360" s="2507"/>
      <c r="W360" s="2507"/>
      <c r="X360" s="2507"/>
      <c r="Y360" s="2507"/>
      <c r="Z360" s="2507"/>
      <c r="AA360" s="2507"/>
      <c r="AB360" s="2507"/>
      <c r="AC360" s="2507"/>
      <c r="AD360" s="2507"/>
      <c r="AE360" s="2507"/>
      <c r="AF360" s="2507"/>
      <c r="AG360" s="2507"/>
      <c r="AH360" s="2507"/>
      <c r="AI360" s="2507"/>
      <c r="AJ360" s="2507"/>
      <c r="AK360" s="601"/>
      <c r="AL360" s="601"/>
      <c r="AM360" s="601"/>
      <c r="AN360" s="595"/>
      <c r="AQ360" s="568"/>
      <c r="AR360" s="568"/>
    </row>
    <row r="361" spans="1:44" s="549" customFormat="1" ht="45.75" customHeight="1">
      <c r="A361" s="601"/>
      <c r="B361" s="609"/>
      <c r="C361" s="2507" t="s">
        <v>2047</v>
      </c>
      <c r="D361" s="2507"/>
      <c r="E361" s="2507"/>
      <c r="F361" s="2507"/>
      <c r="G361" s="2507"/>
      <c r="H361" s="2507"/>
      <c r="I361" s="2507"/>
      <c r="J361" s="2507"/>
      <c r="K361" s="2507"/>
      <c r="L361" s="2507"/>
      <c r="M361" s="2507"/>
      <c r="N361" s="2507"/>
      <c r="O361" s="2507"/>
      <c r="P361" s="2507"/>
      <c r="Q361" s="2507"/>
      <c r="R361" s="2507"/>
      <c r="S361" s="2507"/>
      <c r="T361" s="2507"/>
      <c r="U361" s="2507"/>
      <c r="V361" s="2507"/>
      <c r="W361" s="2507"/>
      <c r="X361" s="2507"/>
      <c r="Y361" s="2507"/>
      <c r="Z361" s="2507"/>
      <c r="AA361" s="2507"/>
      <c r="AB361" s="2507"/>
      <c r="AC361" s="2507"/>
      <c r="AD361" s="2507"/>
      <c r="AE361" s="2507"/>
      <c r="AF361" s="2507"/>
      <c r="AG361" s="2507"/>
      <c r="AH361" s="2507"/>
      <c r="AI361" s="2507"/>
      <c r="AJ361" s="2507"/>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07" t="s">
        <v>2161</v>
      </c>
      <c r="D363" s="2507"/>
      <c r="E363" s="2507"/>
      <c r="F363" s="2507"/>
      <c r="G363" s="2507"/>
      <c r="H363" s="2507"/>
      <c r="I363" s="2507"/>
      <c r="J363" s="2507"/>
      <c r="K363" s="2507"/>
      <c r="L363" s="2507"/>
      <c r="M363" s="2507"/>
      <c r="N363" s="2507"/>
      <c r="O363" s="2507"/>
      <c r="P363" s="2507"/>
      <c r="Q363" s="2507"/>
      <c r="R363" s="2507"/>
      <c r="S363" s="2507"/>
      <c r="T363" s="2507"/>
      <c r="U363" s="2507"/>
      <c r="V363" s="2507"/>
      <c r="W363" s="2507"/>
      <c r="X363" s="2507"/>
      <c r="Y363" s="2507"/>
      <c r="Z363" s="2507"/>
      <c r="AA363" s="2507"/>
      <c r="AB363" s="2507"/>
      <c r="AC363" s="2507"/>
      <c r="AD363" s="2507"/>
      <c r="AE363" s="2507"/>
      <c r="AF363" s="2507"/>
      <c r="AG363" s="2507"/>
      <c r="AH363" s="2507"/>
      <c r="AI363" s="2507"/>
      <c r="AJ363" s="2507"/>
      <c r="AK363" s="601"/>
      <c r="AL363" s="601"/>
      <c r="AM363" s="601"/>
      <c r="AN363" s="595"/>
      <c r="AQ363" s="568"/>
      <c r="AR363" s="568"/>
    </row>
    <row r="364" spans="1:44" s="549" customFormat="1" ht="30" customHeight="1">
      <c r="A364" s="601"/>
      <c r="B364" s="609"/>
      <c r="C364" s="2507"/>
      <c r="D364" s="2507"/>
      <c r="E364" s="2507"/>
      <c r="F364" s="2507"/>
      <c r="G364" s="2507"/>
      <c r="H364" s="2507"/>
      <c r="I364" s="2507"/>
      <c r="J364" s="2507"/>
      <c r="K364" s="2507"/>
      <c r="L364" s="2507"/>
      <c r="M364" s="2507"/>
      <c r="N364" s="2507"/>
      <c r="O364" s="2507"/>
      <c r="P364" s="2507"/>
      <c r="Q364" s="2507"/>
      <c r="R364" s="2507"/>
      <c r="S364" s="2507"/>
      <c r="T364" s="2507"/>
      <c r="U364" s="2507"/>
      <c r="V364" s="2507"/>
      <c r="W364" s="2507"/>
      <c r="X364" s="2507"/>
      <c r="Y364" s="2507"/>
      <c r="Z364" s="2507"/>
      <c r="AA364" s="2507"/>
      <c r="AB364" s="2507"/>
      <c r="AC364" s="2507"/>
      <c r="AD364" s="2507"/>
      <c r="AE364" s="2507"/>
      <c r="AF364" s="2507"/>
      <c r="AG364" s="2507"/>
      <c r="AH364" s="2507"/>
      <c r="AI364" s="2507"/>
      <c r="AJ364" s="2507"/>
      <c r="AK364" s="601"/>
      <c r="AL364" s="601"/>
      <c r="AM364" s="601"/>
      <c r="AN364" s="595"/>
      <c r="AR364" s="568"/>
    </row>
    <row r="365" spans="1:44" s="549" customFormat="1" ht="12.75" customHeight="1">
      <c r="A365" s="601"/>
      <c r="B365" s="609"/>
      <c r="C365" s="2507"/>
      <c r="D365" s="2507"/>
      <c r="E365" s="2507"/>
      <c r="F365" s="2507"/>
      <c r="G365" s="2507"/>
      <c r="H365" s="2507"/>
      <c r="I365" s="2507"/>
      <c r="J365" s="2507"/>
      <c r="K365" s="2507"/>
      <c r="L365" s="2507"/>
      <c r="M365" s="2507"/>
      <c r="N365" s="2507"/>
      <c r="O365" s="2507"/>
      <c r="P365" s="2507"/>
      <c r="Q365" s="2507"/>
      <c r="R365" s="2507"/>
      <c r="S365" s="2507"/>
      <c r="T365" s="2507"/>
      <c r="U365" s="2507"/>
      <c r="V365" s="2507"/>
      <c r="W365" s="2507"/>
      <c r="X365" s="2507"/>
      <c r="Y365" s="2507"/>
      <c r="Z365" s="2507"/>
      <c r="AA365" s="2507"/>
      <c r="AB365" s="2507"/>
      <c r="AC365" s="2507"/>
      <c r="AD365" s="2507"/>
      <c r="AE365" s="2507"/>
      <c r="AF365" s="2507"/>
      <c r="AG365" s="2507"/>
      <c r="AH365" s="2507"/>
      <c r="AI365" s="2507"/>
      <c r="AJ365" s="2507"/>
      <c r="AK365" s="601"/>
      <c r="AL365" s="601"/>
      <c r="AM365" s="601"/>
      <c r="AN365" s="595"/>
      <c r="AR365" s="568"/>
    </row>
    <row r="366" spans="1:44" s="549" customFormat="1" ht="12.75" customHeight="1">
      <c r="A366" s="601"/>
      <c r="B366" s="609"/>
      <c r="C366" s="2507" t="s">
        <v>1445</v>
      </c>
      <c r="D366" s="2507"/>
      <c r="E366" s="2507"/>
      <c r="F366" s="2507"/>
      <c r="G366" s="2507"/>
      <c r="H366" s="2507"/>
      <c r="I366" s="2507"/>
      <c r="J366" s="2507"/>
      <c r="K366" s="2507"/>
      <c r="L366" s="2507"/>
      <c r="M366" s="2507"/>
      <c r="N366" s="2507"/>
      <c r="O366" s="2507"/>
      <c r="P366" s="2507"/>
      <c r="Q366" s="2507"/>
      <c r="R366" s="2507"/>
      <c r="S366" s="2507"/>
      <c r="T366" s="2507"/>
      <c r="U366" s="2507"/>
      <c r="V366" s="2507"/>
      <c r="W366" s="2507"/>
      <c r="X366" s="2507"/>
      <c r="Y366" s="2507"/>
      <c r="Z366" s="2507"/>
      <c r="AA366" s="2507"/>
      <c r="AB366" s="2507"/>
      <c r="AC366" s="2507"/>
      <c r="AD366" s="2507"/>
      <c r="AE366" s="2507"/>
      <c r="AF366" s="2507"/>
      <c r="AG366" s="2507"/>
      <c r="AH366" s="2507"/>
      <c r="AI366" s="2507"/>
      <c r="AJ366" s="2507"/>
      <c r="AK366" s="601"/>
      <c r="AL366" s="601"/>
      <c r="AM366" s="601"/>
      <c r="AN366" s="595"/>
      <c r="AQ366" s="568"/>
      <c r="AR366" s="568"/>
    </row>
    <row r="367" spans="1:44" s="549" customFormat="1" ht="12.75" customHeight="1">
      <c r="A367" s="601"/>
      <c r="B367" s="609"/>
      <c r="C367" s="2507"/>
      <c r="D367" s="2507"/>
      <c r="E367" s="2507"/>
      <c r="F367" s="2507"/>
      <c r="G367" s="2507"/>
      <c r="H367" s="2507"/>
      <c r="I367" s="2507"/>
      <c r="J367" s="2507"/>
      <c r="K367" s="2507"/>
      <c r="L367" s="2507"/>
      <c r="M367" s="2507"/>
      <c r="N367" s="2507"/>
      <c r="O367" s="2507"/>
      <c r="P367" s="2507"/>
      <c r="Q367" s="2507"/>
      <c r="R367" s="2507"/>
      <c r="S367" s="2507"/>
      <c r="T367" s="2507"/>
      <c r="U367" s="2507"/>
      <c r="V367" s="2507"/>
      <c r="W367" s="2507"/>
      <c r="X367" s="2507"/>
      <c r="Y367" s="2507"/>
      <c r="Z367" s="2507"/>
      <c r="AA367" s="2507"/>
      <c r="AB367" s="2507"/>
      <c r="AC367" s="2507"/>
      <c r="AD367" s="2507"/>
      <c r="AE367" s="2507"/>
      <c r="AF367" s="2507"/>
      <c r="AG367" s="2507"/>
      <c r="AH367" s="2507"/>
      <c r="AI367" s="2507"/>
      <c r="AJ367" s="2507"/>
      <c r="AK367" s="601"/>
      <c r="AL367" s="601"/>
      <c r="AM367" s="601"/>
      <c r="AN367" s="595"/>
      <c r="AQ367" s="568"/>
      <c r="AR367" s="568"/>
    </row>
    <row r="368" spans="1:44" s="549" customFormat="1" ht="13.15" customHeight="1">
      <c r="A368" s="601"/>
      <c r="B368" s="609"/>
      <c r="C368" s="2507"/>
      <c r="D368" s="2507"/>
      <c r="E368" s="2507"/>
      <c r="F368" s="2507"/>
      <c r="G368" s="2507"/>
      <c r="H368" s="2507"/>
      <c r="I368" s="2507"/>
      <c r="J368" s="2507"/>
      <c r="K368" s="2507"/>
      <c r="L368" s="2507"/>
      <c r="M368" s="2507"/>
      <c r="N368" s="2507"/>
      <c r="O368" s="2507"/>
      <c r="P368" s="2507"/>
      <c r="Q368" s="2507"/>
      <c r="R368" s="2507"/>
      <c r="S368" s="2507"/>
      <c r="T368" s="2507"/>
      <c r="U368" s="2507"/>
      <c r="V368" s="2507"/>
      <c r="W368" s="2507"/>
      <c r="X368" s="2507"/>
      <c r="Y368" s="2507"/>
      <c r="Z368" s="2507"/>
      <c r="AA368" s="2507"/>
      <c r="AB368" s="2507"/>
      <c r="AC368" s="2507"/>
      <c r="AD368" s="2507"/>
      <c r="AE368" s="2507"/>
      <c r="AF368" s="2507"/>
      <c r="AG368" s="2507"/>
      <c r="AH368" s="2507"/>
      <c r="AI368" s="2507"/>
      <c r="AJ368" s="2507"/>
      <c r="AK368" s="601"/>
      <c r="AL368" s="601"/>
      <c r="AM368" s="601"/>
      <c r="AN368" s="595"/>
      <c r="AQ368" s="568"/>
      <c r="AR368" s="568"/>
    </row>
    <row r="369" spans="1:46" s="549" customFormat="1" ht="12.75" customHeight="1">
      <c r="A369" s="601"/>
      <c r="B369" s="609"/>
      <c r="C369" s="2507"/>
      <c r="D369" s="2507"/>
      <c r="E369" s="2507"/>
      <c r="F369" s="2507"/>
      <c r="G369" s="2507"/>
      <c r="H369" s="2507"/>
      <c r="I369" s="2507"/>
      <c r="J369" s="2507"/>
      <c r="K369" s="2507"/>
      <c r="L369" s="2507"/>
      <c r="M369" s="2507"/>
      <c r="N369" s="2507"/>
      <c r="O369" s="2507"/>
      <c r="P369" s="2507"/>
      <c r="Q369" s="2507"/>
      <c r="R369" s="2507"/>
      <c r="S369" s="2507"/>
      <c r="T369" s="2507"/>
      <c r="U369" s="2507"/>
      <c r="V369" s="2507"/>
      <c r="W369" s="2507"/>
      <c r="X369" s="2507"/>
      <c r="Y369" s="2507"/>
      <c r="Z369" s="2507"/>
      <c r="AA369" s="2507"/>
      <c r="AB369" s="2507"/>
      <c r="AC369" s="2507"/>
      <c r="AD369" s="2507"/>
      <c r="AE369" s="2507"/>
      <c r="AF369" s="2507"/>
      <c r="AG369" s="2507"/>
      <c r="AH369" s="2507"/>
      <c r="AI369" s="2507"/>
      <c r="AJ369" s="2507"/>
      <c r="AK369" s="601"/>
      <c r="AL369" s="601"/>
      <c r="AM369" s="601"/>
      <c r="AN369" s="595"/>
      <c r="AO369" s="690"/>
      <c r="AP369" s="690"/>
      <c r="AQ369" s="568"/>
    </row>
    <row r="370" spans="1:46" s="549" customFormat="1" ht="11.9" customHeight="1">
      <c r="A370" s="601"/>
      <c r="B370" s="609"/>
      <c r="C370" s="2507"/>
      <c r="D370" s="2507"/>
      <c r="E370" s="2507"/>
      <c r="F370" s="2507"/>
      <c r="G370" s="2507"/>
      <c r="H370" s="2507"/>
      <c r="I370" s="2507"/>
      <c r="J370" s="2507"/>
      <c r="K370" s="2507"/>
      <c r="L370" s="2507"/>
      <c r="M370" s="2507"/>
      <c r="N370" s="2507"/>
      <c r="O370" s="2507"/>
      <c r="P370" s="2507"/>
      <c r="Q370" s="2507"/>
      <c r="R370" s="2507"/>
      <c r="S370" s="2507"/>
      <c r="T370" s="2507"/>
      <c r="U370" s="2507"/>
      <c r="V370" s="2507"/>
      <c r="W370" s="2507"/>
      <c r="X370" s="2507"/>
      <c r="Y370" s="2507"/>
      <c r="Z370" s="2507"/>
      <c r="AA370" s="2507"/>
      <c r="AB370" s="2507"/>
      <c r="AC370" s="2507"/>
      <c r="AD370" s="2507"/>
      <c r="AE370" s="2507"/>
      <c r="AF370" s="2507"/>
      <c r="AG370" s="2507"/>
      <c r="AH370" s="2507"/>
      <c r="AI370" s="2507"/>
      <c r="AJ370" s="2507"/>
      <c r="AK370" s="601"/>
      <c r="AL370" s="601"/>
      <c r="AM370" s="601"/>
      <c r="AN370" s="595"/>
      <c r="AO370" s="691" t="s">
        <v>112</v>
      </c>
      <c r="AP370" s="692">
        <f>IF(C394="Yes",5,0)</f>
        <v>5</v>
      </c>
      <c r="AS370" s="539" t="s">
        <v>1446</v>
      </c>
    </row>
    <row r="371" spans="1:46" s="549" customFormat="1" ht="12.75" customHeight="1">
      <c r="A371" s="601"/>
      <c r="B371" s="609"/>
      <c r="C371" s="2507"/>
      <c r="D371" s="2507"/>
      <c r="E371" s="2507"/>
      <c r="F371" s="2507"/>
      <c r="G371" s="2507"/>
      <c r="H371" s="2507"/>
      <c r="I371" s="2507"/>
      <c r="J371" s="2507"/>
      <c r="K371" s="2507"/>
      <c r="L371" s="2507"/>
      <c r="M371" s="2507"/>
      <c r="N371" s="2507"/>
      <c r="O371" s="2507"/>
      <c r="P371" s="2507"/>
      <c r="Q371" s="2507"/>
      <c r="R371" s="2507"/>
      <c r="S371" s="2507"/>
      <c r="T371" s="2507"/>
      <c r="U371" s="2507"/>
      <c r="V371" s="2507"/>
      <c r="W371" s="2507"/>
      <c r="X371" s="2507"/>
      <c r="Y371" s="2507"/>
      <c r="Z371" s="2507"/>
      <c r="AA371" s="2507"/>
      <c r="AB371" s="2507"/>
      <c r="AC371" s="2507"/>
      <c r="AD371" s="2507"/>
      <c r="AE371" s="2507"/>
      <c r="AF371" s="2507"/>
      <c r="AG371" s="2507"/>
      <c r="AH371" s="2507"/>
      <c r="AI371" s="2507"/>
      <c r="AJ371" s="2507"/>
      <c r="AK371" s="601"/>
      <c r="AL371" s="601"/>
      <c r="AM371" s="601"/>
      <c r="AN371" s="595"/>
      <c r="AO371" s="691" t="s">
        <v>113</v>
      </c>
      <c r="AP371" s="692">
        <f>IF(C402="Yes",5,0)</f>
        <v>0</v>
      </c>
      <c r="AS371" s="2537">
        <f>IF(Application!D211="Non-Targeted",(SUM(AQ379+AQ388)),AS375)</f>
        <v>10</v>
      </c>
      <c r="AT371" s="2537"/>
    </row>
    <row r="372" spans="1:46" s="549" customFormat="1" ht="12.75" customHeight="1">
      <c r="A372" s="601"/>
      <c r="B372" s="609"/>
      <c r="C372" s="2507"/>
      <c r="D372" s="2507"/>
      <c r="E372" s="2507"/>
      <c r="F372" s="2507"/>
      <c r="G372" s="2507"/>
      <c r="H372" s="2507"/>
      <c r="I372" s="2507"/>
      <c r="J372" s="2507"/>
      <c r="K372" s="2507"/>
      <c r="L372" s="2507"/>
      <c r="M372" s="2507"/>
      <c r="N372" s="2507"/>
      <c r="O372" s="2507"/>
      <c r="P372" s="2507"/>
      <c r="Q372" s="2507"/>
      <c r="R372" s="2507"/>
      <c r="S372" s="2507"/>
      <c r="T372" s="2507"/>
      <c r="U372" s="2507"/>
      <c r="V372" s="2507"/>
      <c r="W372" s="2507"/>
      <c r="X372" s="2507"/>
      <c r="Y372" s="2507"/>
      <c r="Z372" s="2507"/>
      <c r="AA372" s="2507"/>
      <c r="AB372" s="2507"/>
      <c r="AC372" s="2507"/>
      <c r="AD372" s="2507"/>
      <c r="AE372" s="2507"/>
      <c r="AF372" s="2507"/>
      <c r="AG372" s="2507"/>
      <c r="AH372" s="2507"/>
      <c r="AI372" s="2507"/>
      <c r="AJ372" s="2507"/>
      <c r="AK372" s="601"/>
      <c r="AL372" s="601"/>
      <c r="AM372" s="601"/>
      <c r="AN372" s="595"/>
      <c r="AO372" s="691" t="s">
        <v>119</v>
      </c>
      <c r="AP372" s="692">
        <f>IF(C410="Yes",7,0)</f>
        <v>0</v>
      </c>
      <c r="AS372" s="539" t="s">
        <v>1447</v>
      </c>
    </row>
    <row r="373" spans="1:46" s="549" customFormat="1" ht="12.75" customHeight="1">
      <c r="B373" s="609"/>
      <c r="C373" s="2507"/>
      <c r="D373" s="2507"/>
      <c r="E373" s="2507"/>
      <c r="F373" s="2507"/>
      <c r="G373" s="2507"/>
      <c r="H373" s="2507"/>
      <c r="I373" s="2507"/>
      <c r="J373" s="2507"/>
      <c r="K373" s="2507"/>
      <c r="L373" s="2507"/>
      <c r="M373" s="2507"/>
      <c r="N373" s="2507"/>
      <c r="O373" s="2507"/>
      <c r="P373" s="2507"/>
      <c r="Q373" s="2507"/>
      <c r="R373" s="2507"/>
      <c r="S373" s="2507"/>
      <c r="T373" s="2507"/>
      <c r="U373" s="2507"/>
      <c r="V373" s="2507"/>
      <c r="W373" s="2507"/>
      <c r="X373" s="2507"/>
      <c r="Y373" s="2507"/>
      <c r="Z373" s="2507"/>
      <c r="AA373" s="2507"/>
      <c r="AB373" s="2507"/>
      <c r="AC373" s="2507"/>
      <c r="AD373" s="2507"/>
      <c r="AE373" s="2507"/>
      <c r="AF373" s="2507"/>
      <c r="AG373" s="2507"/>
      <c r="AH373" s="2507"/>
      <c r="AI373" s="2507"/>
      <c r="AJ373" s="2507"/>
      <c r="AK373" s="601"/>
      <c r="AL373" s="601"/>
      <c r="AM373" s="601"/>
      <c r="AN373" s="595"/>
      <c r="AO373" s="595"/>
      <c r="AP373" s="692">
        <f>IF(C412="Yes",5,0)</f>
        <v>5</v>
      </c>
      <c r="AS373" s="2537">
        <f>IF(AND(AQ379&gt;0,AQ388&gt;0),(AQ379+AQ388)/2,0)</f>
        <v>0</v>
      </c>
      <c r="AT373" s="2537"/>
    </row>
    <row r="374" spans="1:46" s="549" customFormat="1" ht="12.75" customHeight="1">
      <c r="A374" s="601"/>
      <c r="B374" s="609"/>
      <c r="C374" s="2507"/>
      <c r="D374" s="2507"/>
      <c r="E374" s="2507"/>
      <c r="F374" s="2507"/>
      <c r="G374" s="2507"/>
      <c r="H374" s="2507"/>
      <c r="I374" s="2507"/>
      <c r="J374" s="2507"/>
      <c r="K374" s="2507"/>
      <c r="L374" s="2507"/>
      <c r="M374" s="2507"/>
      <c r="N374" s="2507"/>
      <c r="O374" s="2507"/>
      <c r="P374" s="2507"/>
      <c r="Q374" s="2507"/>
      <c r="R374" s="2507"/>
      <c r="S374" s="2507"/>
      <c r="T374" s="2507"/>
      <c r="U374" s="2507"/>
      <c r="V374" s="2507"/>
      <c r="W374" s="2507"/>
      <c r="X374" s="2507"/>
      <c r="Y374" s="2507"/>
      <c r="Z374" s="2507"/>
      <c r="AA374" s="2507"/>
      <c r="AB374" s="2507"/>
      <c r="AC374" s="2507"/>
      <c r="AD374" s="2507"/>
      <c r="AE374" s="2507"/>
      <c r="AF374" s="2507"/>
      <c r="AG374" s="2507"/>
      <c r="AH374" s="2507"/>
      <c r="AI374" s="2507"/>
      <c r="AJ374" s="2507"/>
      <c r="AK374" s="601"/>
      <c r="AL374" s="601"/>
      <c r="AM374" s="601"/>
      <c r="AN374" s="595"/>
      <c r="AO374" s="691" t="s">
        <v>580</v>
      </c>
      <c r="AP374" s="692">
        <f>IF(C420="Yes",5,0)</f>
        <v>0</v>
      </c>
      <c r="AS374" s="539" t="s">
        <v>1852</v>
      </c>
    </row>
    <row r="375" spans="1:46" s="549" customFormat="1" ht="12.75" customHeight="1">
      <c r="A375" s="601"/>
      <c r="B375" s="609"/>
      <c r="C375" s="2538" t="s">
        <v>2185</v>
      </c>
      <c r="D375" s="2538"/>
      <c r="E375" s="2538"/>
      <c r="F375" s="2538"/>
      <c r="G375" s="2538"/>
      <c r="H375" s="2538"/>
      <c r="I375" s="2538"/>
      <c r="J375" s="2538"/>
      <c r="K375" s="2538"/>
      <c r="L375" s="2538"/>
      <c r="M375" s="2538"/>
      <c r="N375" s="2538"/>
      <c r="O375" s="2538"/>
      <c r="P375" s="2538"/>
      <c r="Q375" s="2538"/>
      <c r="R375" s="2538"/>
      <c r="S375" s="2538"/>
      <c r="T375" s="2538"/>
      <c r="U375" s="2538"/>
      <c r="V375" s="2538"/>
      <c r="W375" s="2538"/>
      <c r="X375" s="2538"/>
      <c r="Y375" s="2538"/>
      <c r="Z375" s="2538"/>
      <c r="AA375" s="2538"/>
      <c r="AB375" s="2538"/>
      <c r="AC375" s="2538"/>
      <c r="AD375" s="2538"/>
      <c r="AE375" s="2538"/>
      <c r="AF375" s="2538"/>
      <c r="AG375" s="2538"/>
      <c r="AH375" s="2538"/>
      <c r="AI375" s="2538"/>
      <c r="AJ375" s="2538"/>
      <c r="AK375" s="601"/>
      <c r="AL375" s="601"/>
      <c r="AM375" s="601"/>
      <c r="AN375" s="595"/>
      <c r="AO375" s="595"/>
      <c r="AP375" s="692">
        <f>IF(C422="Yes",3,0)</f>
        <v>0</v>
      </c>
      <c r="AS375" s="2537">
        <f>IF(AQ379=0,AQ388,AQ379)</f>
        <v>10</v>
      </c>
      <c r="AT375" s="2537"/>
    </row>
    <row r="376" spans="1:46" s="549" customFormat="1" ht="12.75" customHeight="1">
      <c r="A376" s="601"/>
      <c r="B376" s="609"/>
      <c r="C376" s="2538"/>
      <c r="D376" s="2538"/>
      <c r="E376" s="2538"/>
      <c r="F376" s="2538"/>
      <c r="G376" s="2538"/>
      <c r="H376" s="2538"/>
      <c r="I376" s="2538"/>
      <c r="J376" s="2538"/>
      <c r="K376" s="2538"/>
      <c r="L376" s="2538"/>
      <c r="M376" s="2538"/>
      <c r="N376" s="2538"/>
      <c r="O376" s="2538"/>
      <c r="P376" s="2538"/>
      <c r="Q376" s="2538"/>
      <c r="R376" s="2538"/>
      <c r="S376" s="2538"/>
      <c r="T376" s="2538"/>
      <c r="U376" s="2538"/>
      <c r="V376" s="2538"/>
      <c r="W376" s="2538"/>
      <c r="X376" s="2538"/>
      <c r="Y376" s="2538"/>
      <c r="Z376" s="2538"/>
      <c r="AA376" s="2538"/>
      <c r="AB376" s="2538"/>
      <c r="AC376" s="2538"/>
      <c r="AD376" s="2538"/>
      <c r="AE376" s="2538"/>
      <c r="AF376" s="2538"/>
      <c r="AG376" s="2538"/>
      <c r="AH376" s="2538"/>
      <c r="AI376" s="2538"/>
      <c r="AJ376" s="2538"/>
      <c r="AK376" s="601"/>
      <c r="AL376" s="601"/>
      <c r="AM376" s="601"/>
      <c r="AN376" s="595"/>
      <c r="AO376" s="691" t="s">
        <v>762</v>
      </c>
      <c r="AP376" s="692">
        <f>IF(C425="Yes",5,0)</f>
        <v>0</v>
      </c>
    </row>
    <row r="377" spans="1:46" s="549" customFormat="1" ht="12.75" customHeight="1">
      <c r="A377" s="601"/>
      <c r="B377" s="609"/>
      <c r="C377" s="2538"/>
      <c r="D377" s="2538"/>
      <c r="E377" s="2538"/>
      <c r="F377" s="2538"/>
      <c r="G377" s="2538"/>
      <c r="H377" s="2538"/>
      <c r="I377" s="2538"/>
      <c r="J377" s="2538"/>
      <c r="K377" s="2538"/>
      <c r="L377" s="2538"/>
      <c r="M377" s="2538"/>
      <c r="N377" s="2538"/>
      <c r="O377" s="2538"/>
      <c r="P377" s="2538"/>
      <c r="Q377" s="2538"/>
      <c r="R377" s="2538"/>
      <c r="S377" s="2538"/>
      <c r="T377" s="2538"/>
      <c r="U377" s="2538"/>
      <c r="V377" s="2538"/>
      <c r="W377" s="2538"/>
      <c r="X377" s="2538"/>
      <c r="Y377" s="2538"/>
      <c r="Z377" s="2538"/>
      <c r="AA377" s="2538"/>
      <c r="AB377" s="2538"/>
      <c r="AC377" s="2538"/>
      <c r="AD377" s="2538"/>
      <c r="AE377" s="2538"/>
      <c r="AF377" s="2538"/>
      <c r="AG377" s="2538"/>
      <c r="AH377" s="2538"/>
      <c r="AI377" s="2538"/>
      <c r="AJ377" s="2538"/>
      <c r="AK377" s="601"/>
      <c r="AL377" s="601"/>
      <c r="AM377" s="601"/>
      <c r="AN377" s="595"/>
      <c r="AO377" s="691" t="s">
        <v>583</v>
      </c>
      <c r="AP377" s="692">
        <f>IF(C434="Yes",5,0)</f>
        <v>0</v>
      </c>
    </row>
    <row r="378" spans="1:46" s="549" customFormat="1" ht="11.9" customHeight="1">
      <c r="A378" s="601"/>
      <c r="B378" s="609"/>
      <c r="C378" s="2538"/>
      <c r="D378" s="2538"/>
      <c r="E378" s="2538"/>
      <c r="F378" s="2538"/>
      <c r="G378" s="2538"/>
      <c r="H378" s="2538"/>
      <c r="I378" s="2538"/>
      <c r="J378" s="2538"/>
      <c r="K378" s="2538"/>
      <c r="L378" s="2538"/>
      <c r="M378" s="2538"/>
      <c r="N378" s="2538"/>
      <c r="O378" s="2538"/>
      <c r="P378" s="2538"/>
      <c r="Q378" s="2538"/>
      <c r="R378" s="2538"/>
      <c r="S378" s="2538"/>
      <c r="T378" s="2538"/>
      <c r="U378" s="2538"/>
      <c r="V378" s="2538"/>
      <c r="W378" s="2538"/>
      <c r="X378" s="2538"/>
      <c r="Y378" s="2538"/>
      <c r="Z378" s="2538"/>
      <c r="AA378" s="2538"/>
      <c r="AB378" s="2538"/>
      <c r="AC378" s="2538"/>
      <c r="AD378" s="2538"/>
      <c r="AE378" s="2538"/>
      <c r="AF378" s="2538"/>
      <c r="AG378" s="2538"/>
      <c r="AH378" s="2538"/>
      <c r="AI378" s="2538"/>
      <c r="AJ378" s="2538"/>
      <c r="AK378" s="601"/>
      <c r="AL378" s="601"/>
      <c r="AM378" s="601"/>
      <c r="AN378" s="595"/>
      <c r="AO378" s="693"/>
      <c r="AP378" s="694">
        <f>IF(C436="Yes",3,0)</f>
        <v>0</v>
      </c>
    </row>
    <row r="379" spans="1:46" s="549" customFormat="1" ht="12.4" customHeight="1">
      <c r="A379" s="601"/>
      <c r="B379" s="609"/>
      <c r="C379" s="2538"/>
      <c r="D379" s="2538"/>
      <c r="E379" s="2538"/>
      <c r="F379" s="2538"/>
      <c r="G379" s="2538"/>
      <c r="H379" s="2538"/>
      <c r="I379" s="2538"/>
      <c r="J379" s="2538"/>
      <c r="K379" s="2538"/>
      <c r="L379" s="2538"/>
      <c r="M379" s="2538"/>
      <c r="N379" s="2538"/>
      <c r="O379" s="2538"/>
      <c r="P379" s="2538"/>
      <c r="Q379" s="2538"/>
      <c r="R379" s="2538"/>
      <c r="S379" s="2538"/>
      <c r="T379" s="2538"/>
      <c r="U379" s="2538"/>
      <c r="V379" s="2538"/>
      <c r="W379" s="2538"/>
      <c r="X379" s="2538"/>
      <c r="Y379" s="2538"/>
      <c r="Z379" s="2538"/>
      <c r="AA379" s="2538"/>
      <c r="AB379" s="2538"/>
      <c r="AC379" s="2538"/>
      <c r="AD379" s="2538"/>
      <c r="AE379" s="2538"/>
      <c r="AF379" s="2538"/>
      <c r="AG379" s="2538"/>
      <c r="AH379" s="2538"/>
      <c r="AI379" s="2538"/>
      <c r="AJ379" s="2538"/>
      <c r="AK379" s="601"/>
      <c r="AL379" s="601"/>
      <c r="AM379" s="601"/>
      <c r="AN379" s="595"/>
      <c r="AO379" s="695" t="s">
        <v>226</v>
      </c>
      <c r="AP379" s="696">
        <f>SUM(AP370:AP378)</f>
        <v>10</v>
      </c>
      <c r="AQ379" s="2539">
        <f>IF(AP379&gt;0,AP379,0)</f>
        <v>10</v>
      </c>
      <c r="AR379" s="2539"/>
    </row>
    <row r="380" spans="1:46" s="549" customFormat="1" ht="12.75" customHeight="1">
      <c r="A380" s="601"/>
      <c r="B380" s="609"/>
      <c r="C380" s="2538"/>
      <c r="D380" s="2538"/>
      <c r="E380" s="2538"/>
      <c r="F380" s="2538"/>
      <c r="G380" s="2538"/>
      <c r="H380" s="2538"/>
      <c r="I380" s="2538"/>
      <c r="J380" s="2538"/>
      <c r="K380" s="2538"/>
      <c r="L380" s="2538"/>
      <c r="M380" s="2538"/>
      <c r="N380" s="2538"/>
      <c r="O380" s="2538"/>
      <c r="P380" s="2538"/>
      <c r="Q380" s="2538"/>
      <c r="R380" s="2538"/>
      <c r="S380" s="2538"/>
      <c r="T380" s="2538"/>
      <c r="U380" s="2538"/>
      <c r="V380" s="2538"/>
      <c r="W380" s="2538"/>
      <c r="X380" s="2538"/>
      <c r="Y380" s="2538"/>
      <c r="Z380" s="2538"/>
      <c r="AA380" s="2538"/>
      <c r="AB380" s="2538"/>
      <c r="AC380" s="2538"/>
      <c r="AD380" s="2538"/>
      <c r="AE380" s="2538"/>
      <c r="AF380" s="2538"/>
      <c r="AG380" s="2538"/>
      <c r="AH380" s="2538"/>
      <c r="AI380" s="2538"/>
      <c r="AJ380" s="253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07" t="s">
        <v>1448</v>
      </c>
      <c r="D382" s="2507"/>
      <c r="E382" s="2507"/>
      <c r="F382" s="2507"/>
      <c r="G382" s="2507"/>
      <c r="H382" s="2507"/>
      <c r="I382" s="2507"/>
      <c r="J382" s="2507"/>
      <c r="K382" s="2507"/>
      <c r="L382" s="2507"/>
      <c r="M382" s="2507"/>
      <c r="N382" s="2507"/>
      <c r="O382" s="2507"/>
      <c r="P382" s="2507"/>
      <c r="Q382" s="2507"/>
      <c r="R382" s="2507"/>
      <c r="S382" s="2507"/>
      <c r="T382" s="2507"/>
      <c r="U382" s="2507"/>
      <c r="V382" s="2507"/>
      <c r="W382" s="2507"/>
      <c r="X382" s="2507"/>
      <c r="Y382" s="2507"/>
      <c r="Z382" s="2507"/>
      <c r="AA382" s="2507"/>
      <c r="AB382" s="2507"/>
      <c r="AC382" s="2507"/>
      <c r="AD382" s="2507"/>
      <c r="AE382" s="2507"/>
      <c r="AF382" s="2507"/>
      <c r="AG382" s="2507"/>
      <c r="AH382" s="2507"/>
      <c r="AI382" s="2507"/>
      <c r="AJ382" s="2507"/>
      <c r="AK382" s="601"/>
      <c r="AL382" s="601"/>
      <c r="AM382" s="601"/>
      <c r="AN382" s="595"/>
      <c r="AO382" s="691" t="s">
        <v>455</v>
      </c>
      <c r="AP382" s="692">
        <f>IF(C455="Yes",5,0)</f>
        <v>0</v>
      </c>
    </row>
    <row r="383" spans="1:46" s="549" customFormat="1" ht="12.75" customHeight="1">
      <c r="A383" s="601"/>
      <c r="B383" s="609"/>
      <c r="C383" s="2507"/>
      <c r="D383" s="2507"/>
      <c r="E383" s="2507"/>
      <c r="F383" s="2507"/>
      <c r="G383" s="2507"/>
      <c r="H383" s="2507"/>
      <c r="I383" s="2507"/>
      <c r="J383" s="2507"/>
      <c r="K383" s="2507"/>
      <c r="L383" s="2507"/>
      <c r="M383" s="2507"/>
      <c r="N383" s="2507"/>
      <c r="O383" s="2507"/>
      <c r="P383" s="2507"/>
      <c r="Q383" s="2507"/>
      <c r="R383" s="2507"/>
      <c r="S383" s="2507"/>
      <c r="T383" s="2507"/>
      <c r="U383" s="2507"/>
      <c r="V383" s="2507"/>
      <c r="W383" s="2507"/>
      <c r="X383" s="2507"/>
      <c r="Y383" s="2507"/>
      <c r="Z383" s="2507"/>
      <c r="AA383" s="2507"/>
      <c r="AB383" s="2507"/>
      <c r="AC383" s="2507"/>
      <c r="AD383" s="2507"/>
      <c r="AE383" s="2507"/>
      <c r="AF383" s="2507"/>
      <c r="AG383" s="2507"/>
      <c r="AH383" s="2507"/>
      <c r="AI383" s="2507"/>
      <c r="AJ383" s="2507"/>
      <c r="AK383" s="601"/>
      <c r="AL383" s="601"/>
      <c r="AM383" s="601"/>
      <c r="AN383" s="595"/>
      <c r="AO383" s="691" t="s">
        <v>460</v>
      </c>
      <c r="AP383" s="692">
        <f>IF(C462="Yes",5,0)</f>
        <v>0</v>
      </c>
    </row>
    <row r="384" spans="1:46" s="549" customFormat="1" ht="68.150000000000006" customHeight="1">
      <c r="A384" s="601"/>
      <c r="B384" s="609"/>
      <c r="C384" s="2507"/>
      <c r="D384" s="2507"/>
      <c r="E384" s="2507"/>
      <c r="F384" s="2507"/>
      <c r="G384" s="2507"/>
      <c r="H384" s="2507"/>
      <c r="I384" s="2507"/>
      <c r="J384" s="2507"/>
      <c r="K384" s="2507"/>
      <c r="L384" s="2507"/>
      <c r="M384" s="2507"/>
      <c r="N384" s="2507"/>
      <c r="O384" s="2507"/>
      <c r="P384" s="2507"/>
      <c r="Q384" s="2507"/>
      <c r="R384" s="2507"/>
      <c r="S384" s="2507"/>
      <c r="T384" s="2507"/>
      <c r="U384" s="2507"/>
      <c r="V384" s="2507"/>
      <c r="W384" s="2507"/>
      <c r="X384" s="2507"/>
      <c r="Y384" s="2507"/>
      <c r="Z384" s="2507"/>
      <c r="AA384" s="2507"/>
      <c r="AB384" s="2507"/>
      <c r="AC384" s="2507"/>
      <c r="AD384" s="2507"/>
      <c r="AE384" s="2507"/>
      <c r="AF384" s="2507"/>
      <c r="AG384" s="2507"/>
      <c r="AH384" s="2507"/>
      <c r="AI384" s="2507"/>
      <c r="AJ384" s="2507"/>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03">
        <f>Application!DU810-U387</f>
        <v>60</v>
      </c>
      <c r="V386" s="2603"/>
      <c r="W386" s="2603"/>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04">
        <f>IF(Application!D211="SRO",Application!DU763,Application!AG764)</f>
        <v>0</v>
      </c>
      <c r="V387" s="2604"/>
      <c r="W387" s="2604"/>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39">
        <f>IF(AP388&gt;0,AP388,0)</f>
        <v>0</v>
      </c>
      <c r="AR388" s="2539"/>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11" t="s">
        <v>1450</v>
      </c>
      <c r="G390" s="2511"/>
      <c r="H390" s="2511"/>
      <c r="I390" s="2511"/>
      <c r="J390" s="2511"/>
      <c r="K390" s="2511"/>
      <c r="L390" s="2511"/>
      <c r="M390" s="2511"/>
      <c r="N390" s="2511"/>
      <c r="O390" s="2511"/>
      <c r="P390" s="2511"/>
      <c r="Q390" s="2511"/>
      <c r="R390" s="2511"/>
      <c r="S390" s="2511"/>
      <c r="T390" s="2511"/>
      <c r="U390" s="2511"/>
      <c r="V390" s="2511"/>
      <c r="W390" s="2511"/>
      <c r="X390" s="2511"/>
      <c r="Y390" s="2511"/>
      <c r="Z390" s="2511"/>
      <c r="AA390" s="2511"/>
      <c r="AB390" s="2511"/>
      <c r="AC390" s="2511"/>
      <c r="AD390" s="2511"/>
      <c r="AE390" s="2511"/>
      <c r="AF390" s="2511"/>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4"/>
      <c r="G391" s="2384"/>
      <c r="H391" s="2384"/>
      <c r="I391" s="2384"/>
      <c r="J391" s="2384"/>
      <c r="K391" s="2384"/>
      <c r="L391" s="2384"/>
      <c r="M391" s="2384"/>
      <c r="N391" s="2384"/>
      <c r="O391" s="2384"/>
      <c r="P391" s="2384"/>
      <c r="Q391" s="2384"/>
      <c r="R391" s="2384"/>
      <c r="S391" s="2384"/>
      <c r="T391" s="2384"/>
      <c r="U391" s="2384"/>
      <c r="V391" s="2384"/>
      <c r="W391" s="2384"/>
      <c r="X391" s="2384"/>
      <c r="Y391" s="2384"/>
      <c r="Z391" s="2384"/>
      <c r="AA391" s="2384"/>
      <c r="AB391" s="2384"/>
      <c r="AC391" s="2384"/>
      <c r="AD391" s="2384"/>
      <c r="AE391" s="2384"/>
      <c r="AF391" s="2384"/>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4"/>
      <c r="G392" s="2384"/>
      <c r="H392" s="2384"/>
      <c r="I392" s="2384"/>
      <c r="J392" s="2384"/>
      <c r="K392" s="2384"/>
      <c r="L392" s="2384"/>
      <c r="M392" s="2384"/>
      <c r="N392" s="2384"/>
      <c r="O392" s="2384"/>
      <c r="P392" s="2384"/>
      <c r="Q392" s="2384"/>
      <c r="R392" s="2384"/>
      <c r="S392" s="2384"/>
      <c r="T392" s="2384"/>
      <c r="U392" s="2384"/>
      <c r="V392" s="2384"/>
      <c r="W392" s="2384"/>
      <c r="X392" s="2384"/>
      <c r="Y392" s="2384"/>
      <c r="Z392" s="2384"/>
      <c r="AA392" s="2384"/>
      <c r="AB392" s="2384"/>
      <c r="AC392" s="2384"/>
      <c r="AD392" s="2384"/>
      <c r="AE392" s="2384"/>
      <c r="AF392" s="2384"/>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4"/>
      <c r="G393" s="2384"/>
      <c r="H393" s="2384"/>
      <c r="I393" s="2384"/>
      <c r="J393" s="2384"/>
      <c r="K393" s="2384"/>
      <c r="L393" s="2384"/>
      <c r="M393" s="2384"/>
      <c r="N393" s="2384"/>
      <c r="O393" s="2384"/>
      <c r="P393" s="2384"/>
      <c r="Q393" s="2384"/>
      <c r="R393" s="2384"/>
      <c r="S393" s="2384"/>
      <c r="T393" s="2384"/>
      <c r="U393" s="2384"/>
      <c r="V393" s="2384"/>
      <c r="W393" s="2384"/>
      <c r="X393" s="2384"/>
      <c r="Y393" s="2384"/>
      <c r="Z393" s="2384"/>
      <c r="AA393" s="2384"/>
      <c r="AB393" s="2384"/>
      <c r="AC393" s="2384"/>
      <c r="AD393" s="2384"/>
      <c r="AE393" s="2384"/>
      <c r="AF393" s="2384"/>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08" t="s">
        <v>544</v>
      </c>
      <c r="D394" s="2468"/>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09" t="s">
        <v>1452</v>
      </c>
      <c r="AG394" s="2509"/>
      <c r="AH394" s="2509"/>
      <c r="AI394" s="2509"/>
      <c r="AJ394" s="2509"/>
      <c r="AK394" s="2509"/>
      <c r="AL394" s="2510"/>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11" t="s">
        <v>1453</v>
      </c>
      <c r="G397" s="2511"/>
      <c r="H397" s="2511"/>
      <c r="I397" s="2511"/>
      <c r="J397" s="2511"/>
      <c r="K397" s="2511"/>
      <c r="L397" s="2511"/>
      <c r="M397" s="2511"/>
      <c r="N397" s="2511"/>
      <c r="O397" s="2511"/>
      <c r="P397" s="2511"/>
      <c r="Q397" s="2511"/>
      <c r="R397" s="2511"/>
      <c r="S397" s="2511"/>
      <c r="T397" s="2511"/>
      <c r="U397" s="2511"/>
      <c r="V397" s="2511"/>
      <c r="W397" s="2511"/>
      <c r="X397" s="2511"/>
      <c r="Y397" s="2511"/>
      <c r="Z397" s="2511"/>
      <c r="AA397" s="2511"/>
      <c r="AB397" s="2511"/>
      <c r="AC397" s="2511"/>
      <c r="AD397" s="2511"/>
      <c r="AE397" s="2511"/>
      <c r="AF397" s="2511"/>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4"/>
      <c r="G398" s="2384"/>
      <c r="H398" s="2384"/>
      <c r="I398" s="2384"/>
      <c r="J398" s="2384"/>
      <c r="K398" s="2384"/>
      <c r="L398" s="2384"/>
      <c r="M398" s="2384"/>
      <c r="N398" s="2384"/>
      <c r="O398" s="2384"/>
      <c r="P398" s="2384"/>
      <c r="Q398" s="2384"/>
      <c r="R398" s="2384"/>
      <c r="S398" s="2384"/>
      <c r="T398" s="2384"/>
      <c r="U398" s="2384"/>
      <c r="V398" s="2384"/>
      <c r="W398" s="2384"/>
      <c r="X398" s="2384"/>
      <c r="Y398" s="2384"/>
      <c r="Z398" s="2384"/>
      <c r="AA398" s="2384"/>
      <c r="AB398" s="2384"/>
      <c r="AC398" s="2384"/>
      <c r="AD398" s="2384"/>
      <c r="AE398" s="2384"/>
      <c r="AF398" s="2384"/>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4"/>
      <c r="G399" s="2384"/>
      <c r="H399" s="2384"/>
      <c r="I399" s="2384"/>
      <c r="J399" s="2384"/>
      <c r="K399" s="2384"/>
      <c r="L399" s="2384"/>
      <c r="M399" s="2384"/>
      <c r="N399" s="2384"/>
      <c r="O399" s="2384"/>
      <c r="P399" s="2384"/>
      <c r="Q399" s="2384"/>
      <c r="R399" s="2384"/>
      <c r="S399" s="2384"/>
      <c r="T399" s="2384"/>
      <c r="U399" s="2384"/>
      <c r="V399" s="2384"/>
      <c r="W399" s="2384"/>
      <c r="X399" s="2384"/>
      <c r="Y399" s="2384"/>
      <c r="Z399" s="2384"/>
      <c r="AA399" s="2384"/>
      <c r="AB399" s="2384"/>
      <c r="AC399" s="2384"/>
      <c r="AD399" s="2384"/>
      <c r="AE399" s="2384"/>
      <c r="AF399" s="2384"/>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4"/>
      <c r="G400" s="2384"/>
      <c r="H400" s="2384"/>
      <c r="I400" s="2384"/>
      <c r="J400" s="2384"/>
      <c r="K400" s="2384"/>
      <c r="L400" s="2384"/>
      <c r="M400" s="2384"/>
      <c r="N400" s="2384"/>
      <c r="O400" s="2384"/>
      <c r="P400" s="2384"/>
      <c r="Q400" s="2384"/>
      <c r="R400" s="2384"/>
      <c r="S400" s="2384"/>
      <c r="T400" s="2384"/>
      <c r="U400" s="2384"/>
      <c r="V400" s="2384"/>
      <c r="W400" s="2384"/>
      <c r="X400" s="2384"/>
      <c r="Y400" s="2384"/>
      <c r="Z400" s="2384"/>
      <c r="AA400" s="2384"/>
      <c r="AB400" s="2384"/>
      <c r="AC400" s="2384"/>
      <c r="AD400" s="2384"/>
      <c r="AE400" s="2384"/>
      <c r="AF400" s="2384"/>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4"/>
      <c r="G401" s="2384"/>
      <c r="H401" s="2384"/>
      <c r="I401" s="2384"/>
      <c r="J401" s="2384"/>
      <c r="K401" s="2384"/>
      <c r="L401" s="2384"/>
      <c r="M401" s="2384"/>
      <c r="N401" s="2384"/>
      <c r="O401" s="2384"/>
      <c r="P401" s="2384"/>
      <c r="Q401" s="2384"/>
      <c r="R401" s="2384"/>
      <c r="S401" s="2384"/>
      <c r="T401" s="2384"/>
      <c r="U401" s="2384"/>
      <c r="V401" s="2384"/>
      <c r="W401" s="2384"/>
      <c r="X401" s="2384"/>
      <c r="Y401" s="2384"/>
      <c r="Z401" s="2384"/>
      <c r="AA401" s="2384"/>
      <c r="AB401" s="2384"/>
      <c r="AC401" s="2384"/>
      <c r="AD401" s="2384"/>
      <c r="AE401" s="2384"/>
      <c r="AF401" s="2384"/>
      <c r="AL401" s="728"/>
      <c r="AN401" s="595"/>
      <c r="BS401" s="30"/>
      <c r="BT401" s="30"/>
      <c r="BU401" s="14"/>
      <c r="BV401" s="14"/>
      <c r="BW401" s="14"/>
      <c r="BX401" s="14"/>
      <c r="BY401" s="14"/>
      <c r="BZ401" s="14"/>
      <c r="CA401" s="14"/>
      <c r="CB401" s="14"/>
      <c r="CC401" s="14"/>
    </row>
    <row r="402" spans="1:81" s="549" customFormat="1" ht="12.75" customHeight="1">
      <c r="A402" s="536"/>
      <c r="B402" s="14"/>
      <c r="C402" s="2508" t="s">
        <v>590</v>
      </c>
      <c r="D402" s="2468"/>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09" t="s">
        <v>1452</v>
      </c>
      <c r="AG402" s="2509"/>
      <c r="AH402" s="2509"/>
      <c r="AI402" s="2509"/>
      <c r="AJ402" s="2509"/>
      <c r="AK402" s="2509"/>
      <c r="AL402" s="2510"/>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11" t="s">
        <v>1455</v>
      </c>
      <c r="G405" s="2511"/>
      <c r="H405" s="2511"/>
      <c r="I405" s="2511"/>
      <c r="J405" s="2511"/>
      <c r="K405" s="2511"/>
      <c r="L405" s="2511"/>
      <c r="M405" s="2511"/>
      <c r="N405" s="2511"/>
      <c r="O405" s="2511"/>
      <c r="P405" s="2511"/>
      <c r="Q405" s="2511"/>
      <c r="R405" s="2511"/>
      <c r="S405" s="2511"/>
      <c r="T405" s="2511"/>
      <c r="U405" s="2511"/>
      <c r="V405" s="2511"/>
      <c r="W405" s="2511"/>
      <c r="X405" s="2511"/>
      <c r="Y405" s="2511"/>
      <c r="Z405" s="2511"/>
      <c r="AA405" s="2511"/>
      <c r="AB405" s="2511"/>
      <c r="AC405" s="2511"/>
      <c r="AD405" s="2511"/>
      <c r="AE405" s="2511"/>
      <c r="AF405" s="2511"/>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4"/>
      <c r="G406" s="2384"/>
      <c r="H406" s="2384"/>
      <c r="I406" s="2384"/>
      <c r="J406" s="2384"/>
      <c r="K406" s="2384"/>
      <c r="L406" s="2384"/>
      <c r="M406" s="2384"/>
      <c r="N406" s="2384"/>
      <c r="O406" s="2384"/>
      <c r="P406" s="2384"/>
      <c r="Q406" s="2384"/>
      <c r="R406" s="2384"/>
      <c r="S406" s="2384"/>
      <c r="T406" s="2384"/>
      <c r="U406" s="2384"/>
      <c r="V406" s="2384"/>
      <c r="W406" s="2384"/>
      <c r="X406" s="2384"/>
      <c r="Y406" s="2384"/>
      <c r="Z406" s="2384"/>
      <c r="AA406" s="2384"/>
      <c r="AB406" s="2384"/>
      <c r="AC406" s="2384"/>
      <c r="AD406" s="2384"/>
      <c r="AE406" s="2384"/>
      <c r="AF406" s="2384"/>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4"/>
      <c r="G407" s="2384"/>
      <c r="H407" s="2384"/>
      <c r="I407" s="2384"/>
      <c r="J407" s="2384"/>
      <c r="K407" s="2384"/>
      <c r="L407" s="2384"/>
      <c r="M407" s="2384"/>
      <c r="N407" s="2384"/>
      <c r="O407" s="2384"/>
      <c r="P407" s="2384"/>
      <c r="Q407" s="2384"/>
      <c r="R407" s="2384"/>
      <c r="S407" s="2384"/>
      <c r="T407" s="2384"/>
      <c r="U407" s="2384"/>
      <c r="V407" s="2384"/>
      <c r="W407" s="2384"/>
      <c r="X407" s="2384"/>
      <c r="Y407" s="2384"/>
      <c r="Z407" s="2384"/>
      <c r="AA407" s="2384"/>
      <c r="AB407" s="2384"/>
      <c r="AC407" s="2384"/>
      <c r="AD407" s="2384"/>
      <c r="AE407" s="2384"/>
      <c r="AF407" s="2384"/>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4"/>
      <c r="G408" s="2384"/>
      <c r="H408" s="2384"/>
      <c r="I408" s="2384"/>
      <c r="J408" s="2384"/>
      <c r="K408" s="2384"/>
      <c r="L408" s="2384"/>
      <c r="M408" s="2384"/>
      <c r="N408" s="2384"/>
      <c r="O408" s="2384"/>
      <c r="P408" s="2384"/>
      <c r="Q408" s="2384"/>
      <c r="R408" s="2384"/>
      <c r="S408" s="2384"/>
      <c r="T408" s="2384"/>
      <c r="U408" s="2384"/>
      <c r="V408" s="2384"/>
      <c r="W408" s="2384"/>
      <c r="X408" s="2384"/>
      <c r="Y408" s="2384"/>
      <c r="Z408" s="2384"/>
      <c r="AA408" s="2384"/>
      <c r="AB408" s="2384"/>
      <c r="AC408" s="2384"/>
      <c r="AD408" s="2384"/>
      <c r="AE408" s="2384"/>
      <c r="AF408" s="2384"/>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4"/>
      <c r="G409" s="2384"/>
      <c r="H409" s="2384"/>
      <c r="I409" s="2384"/>
      <c r="J409" s="2384"/>
      <c r="K409" s="2384"/>
      <c r="L409" s="2384"/>
      <c r="M409" s="2384"/>
      <c r="N409" s="2384"/>
      <c r="O409" s="2384"/>
      <c r="P409" s="2384"/>
      <c r="Q409" s="2384"/>
      <c r="R409" s="2384"/>
      <c r="S409" s="2384"/>
      <c r="T409" s="2384"/>
      <c r="U409" s="2384"/>
      <c r="V409" s="2384"/>
      <c r="W409" s="2384"/>
      <c r="X409" s="2384"/>
      <c r="Y409" s="2384"/>
      <c r="Z409" s="2384"/>
      <c r="AA409" s="2384"/>
      <c r="AB409" s="2384"/>
      <c r="AC409" s="2384"/>
      <c r="AD409" s="2384"/>
      <c r="AE409" s="2384"/>
      <c r="AF409" s="2384"/>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08" t="s">
        <v>590</v>
      </c>
      <c r="D410" s="2468"/>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09" t="s">
        <v>1457</v>
      </c>
      <c r="AG410" s="2509"/>
      <c r="AH410" s="2509"/>
      <c r="AI410" s="2509"/>
      <c r="AJ410" s="2509"/>
      <c r="AK410" s="2509"/>
      <c r="AL410" s="2510"/>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08" t="s">
        <v>544</v>
      </c>
      <c r="D412" s="2468"/>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09" t="s">
        <v>1452</v>
      </c>
      <c r="AG412" s="2509"/>
      <c r="AH412" s="2509"/>
      <c r="AI412" s="2509"/>
      <c r="AJ412" s="2509"/>
      <c r="AK412" s="2509"/>
      <c r="AL412" s="2510"/>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11" t="s">
        <v>1461</v>
      </c>
      <c r="G416" s="2511"/>
      <c r="H416" s="2511"/>
      <c r="I416" s="2511"/>
      <c r="J416" s="2511"/>
      <c r="K416" s="2511"/>
      <c r="L416" s="2511"/>
      <c r="M416" s="2511"/>
      <c r="N416" s="2511"/>
      <c r="O416" s="2511"/>
      <c r="P416" s="2511"/>
      <c r="Q416" s="2511"/>
      <c r="R416" s="2511"/>
      <c r="S416" s="2511"/>
      <c r="T416" s="2511"/>
      <c r="U416" s="2511"/>
      <c r="V416" s="2511"/>
      <c r="W416" s="2511"/>
      <c r="X416" s="2511"/>
      <c r="Y416" s="2511"/>
      <c r="Z416" s="2511"/>
      <c r="AA416" s="2511"/>
      <c r="AB416" s="2511"/>
      <c r="AC416" s="2511"/>
      <c r="AD416" s="2511"/>
      <c r="AE416" s="2511"/>
      <c r="AF416" s="2511"/>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4"/>
      <c r="G417" s="2384"/>
      <c r="H417" s="2384"/>
      <c r="I417" s="2384"/>
      <c r="J417" s="2384"/>
      <c r="K417" s="2384"/>
      <c r="L417" s="2384"/>
      <c r="M417" s="2384"/>
      <c r="N417" s="2384"/>
      <c r="O417" s="2384"/>
      <c r="P417" s="2384"/>
      <c r="Q417" s="2384"/>
      <c r="R417" s="2384"/>
      <c r="S417" s="2384"/>
      <c r="T417" s="2384"/>
      <c r="U417" s="2384"/>
      <c r="V417" s="2384"/>
      <c r="W417" s="2384"/>
      <c r="X417" s="2384"/>
      <c r="Y417" s="2384"/>
      <c r="Z417" s="2384"/>
      <c r="AA417" s="2384"/>
      <c r="AB417" s="2384"/>
      <c r="AC417" s="2384"/>
      <c r="AD417" s="2384"/>
      <c r="AE417" s="2384"/>
      <c r="AF417" s="2384"/>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384"/>
      <c r="G418" s="2384"/>
      <c r="H418" s="2384"/>
      <c r="I418" s="2384"/>
      <c r="J418" s="2384"/>
      <c r="K418" s="2384"/>
      <c r="L418" s="2384"/>
      <c r="M418" s="2384"/>
      <c r="N418" s="2384"/>
      <c r="O418" s="2384"/>
      <c r="P418" s="2384"/>
      <c r="Q418" s="2384"/>
      <c r="R418" s="2384"/>
      <c r="S418" s="2384"/>
      <c r="T418" s="2384"/>
      <c r="U418" s="2384"/>
      <c r="V418" s="2384"/>
      <c r="W418" s="2384"/>
      <c r="X418" s="2384"/>
      <c r="Y418" s="2384"/>
      <c r="Z418" s="2384"/>
      <c r="AA418" s="2384"/>
      <c r="AB418" s="2384"/>
      <c r="AC418" s="2384"/>
      <c r="AD418" s="2384"/>
      <c r="AE418" s="2384"/>
      <c r="AF418" s="2384"/>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4"/>
      <c r="G419" s="2384"/>
      <c r="H419" s="2384"/>
      <c r="I419" s="2384"/>
      <c r="J419" s="2384"/>
      <c r="K419" s="2384"/>
      <c r="L419" s="2384"/>
      <c r="M419" s="2384"/>
      <c r="N419" s="2384"/>
      <c r="O419" s="2384"/>
      <c r="P419" s="2384"/>
      <c r="Q419" s="2384"/>
      <c r="R419" s="2384"/>
      <c r="S419" s="2384"/>
      <c r="T419" s="2384"/>
      <c r="U419" s="2384"/>
      <c r="V419" s="2384"/>
      <c r="W419" s="2384"/>
      <c r="X419" s="2384"/>
      <c r="Y419" s="2384"/>
      <c r="Z419" s="2384"/>
      <c r="AA419" s="2384"/>
      <c r="AB419" s="2384"/>
      <c r="AC419" s="2384"/>
      <c r="AD419" s="2384"/>
      <c r="AE419" s="2384"/>
      <c r="AF419" s="2384"/>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08" t="s">
        <v>590</v>
      </c>
      <c r="D420" s="2468"/>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09" t="s">
        <v>1452</v>
      </c>
      <c r="AG420" s="2509"/>
      <c r="AH420" s="2509"/>
      <c r="AI420" s="2509"/>
      <c r="AJ420" s="2509"/>
      <c r="AK420" s="2509"/>
      <c r="AL420" s="2510"/>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08" t="s">
        <v>590</v>
      </c>
      <c r="D422" s="2468"/>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09" t="s">
        <v>1464</v>
      </c>
      <c r="AG422" s="2509"/>
      <c r="AH422" s="2509"/>
      <c r="AI422" s="2509"/>
      <c r="AJ422" s="2509"/>
      <c r="AK422" s="2509"/>
      <c r="AL422" s="2510"/>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08" t="s">
        <v>590</v>
      </c>
      <c r="D425" s="2468"/>
      <c r="E425" s="711" t="s">
        <v>1465</v>
      </c>
      <c r="F425" s="2511" t="s">
        <v>1466</v>
      </c>
      <c r="G425" s="2511"/>
      <c r="H425" s="2511"/>
      <c r="I425" s="2511"/>
      <c r="J425" s="2511"/>
      <c r="K425" s="2511"/>
      <c r="L425" s="2511"/>
      <c r="M425" s="2511"/>
      <c r="N425" s="2511"/>
      <c r="O425" s="2511"/>
      <c r="P425" s="2511"/>
      <c r="Q425" s="2511"/>
      <c r="R425" s="2511"/>
      <c r="S425" s="2511"/>
      <c r="T425" s="2511"/>
      <c r="U425" s="2511"/>
      <c r="V425" s="2511"/>
      <c r="W425" s="2511"/>
      <c r="X425" s="2511"/>
      <c r="Y425" s="2511"/>
      <c r="Z425" s="2511"/>
      <c r="AA425" s="2511"/>
      <c r="AB425" s="2511"/>
      <c r="AC425" s="2511"/>
      <c r="AD425" s="2511"/>
      <c r="AE425" s="2511"/>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4"/>
      <c r="G426" s="2384"/>
      <c r="H426" s="2384"/>
      <c r="I426" s="2384"/>
      <c r="J426" s="2384"/>
      <c r="K426" s="2384"/>
      <c r="L426" s="2384"/>
      <c r="M426" s="2384"/>
      <c r="N426" s="2384"/>
      <c r="O426" s="2384"/>
      <c r="P426" s="2384"/>
      <c r="Q426" s="2384"/>
      <c r="R426" s="2384"/>
      <c r="S426" s="2384"/>
      <c r="T426" s="2384"/>
      <c r="U426" s="2384"/>
      <c r="V426" s="2384"/>
      <c r="W426" s="2384"/>
      <c r="X426" s="2384"/>
      <c r="Y426" s="2384"/>
      <c r="Z426" s="2384"/>
      <c r="AA426" s="2384"/>
      <c r="AB426" s="2384"/>
      <c r="AC426" s="2384"/>
      <c r="AD426" s="2384"/>
      <c r="AE426" s="2384"/>
      <c r="AF426" s="2446" t="s">
        <v>1452</v>
      </c>
      <c r="AG426" s="2446"/>
      <c r="AH426" s="2446"/>
      <c r="AI426" s="2446"/>
      <c r="AJ426" s="2446"/>
      <c r="AK426" s="2446"/>
      <c r="AL426" s="2512"/>
      <c r="AM426" s="568"/>
      <c r="AN426" s="595"/>
      <c r="BS426" s="568"/>
      <c r="BT426" s="568"/>
      <c r="BY426" s="568"/>
      <c r="BZ426" s="568"/>
      <c r="CA426" s="568"/>
      <c r="CB426" s="568"/>
      <c r="CC426" s="568"/>
    </row>
    <row r="427" spans="1:81" s="549" customFormat="1" ht="12.75" customHeight="1">
      <c r="A427" s="536"/>
      <c r="B427" s="14"/>
      <c r="C427" s="727"/>
      <c r="D427" s="14"/>
      <c r="E427" s="687"/>
      <c r="F427" s="2384"/>
      <c r="G427" s="2384"/>
      <c r="H427" s="2384"/>
      <c r="I427" s="2384"/>
      <c r="J427" s="2384"/>
      <c r="K427" s="2384"/>
      <c r="L427" s="2384"/>
      <c r="M427" s="2384"/>
      <c r="N427" s="2384"/>
      <c r="O427" s="2384"/>
      <c r="P427" s="2384"/>
      <c r="Q427" s="2384"/>
      <c r="R427" s="2384"/>
      <c r="S427" s="2384"/>
      <c r="T427" s="2384"/>
      <c r="U427" s="2384"/>
      <c r="V427" s="2384"/>
      <c r="W427" s="2384"/>
      <c r="X427" s="2384"/>
      <c r="Y427" s="2384"/>
      <c r="Z427" s="2384"/>
      <c r="AA427" s="2384"/>
      <c r="AB427" s="2384"/>
      <c r="AC427" s="2384"/>
      <c r="AD427" s="2384"/>
      <c r="AE427" s="2384"/>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0"/>
      <c r="G428" s="2540"/>
      <c r="H428" s="2540"/>
      <c r="I428" s="2540"/>
      <c r="J428" s="2540"/>
      <c r="K428" s="2540"/>
      <c r="L428" s="2540"/>
      <c r="M428" s="2540"/>
      <c r="N428" s="2540"/>
      <c r="O428" s="2540"/>
      <c r="P428" s="2540"/>
      <c r="Q428" s="2540"/>
      <c r="R428" s="2540"/>
      <c r="S428" s="2540"/>
      <c r="T428" s="2540"/>
      <c r="U428" s="2540"/>
      <c r="V428" s="2540"/>
      <c r="W428" s="2540"/>
      <c r="X428" s="2540"/>
      <c r="Y428" s="2540"/>
      <c r="Z428" s="2540"/>
      <c r="AA428" s="2540"/>
      <c r="AB428" s="2540"/>
      <c r="AC428" s="2540"/>
      <c r="AD428" s="2540"/>
      <c r="AE428" s="2540"/>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11" t="s">
        <v>1468</v>
      </c>
      <c r="G430" s="2511"/>
      <c r="H430" s="2511"/>
      <c r="I430" s="2511"/>
      <c r="J430" s="2511"/>
      <c r="K430" s="2511"/>
      <c r="L430" s="2511"/>
      <c r="M430" s="2511"/>
      <c r="N430" s="2511"/>
      <c r="O430" s="2511"/>
      <c r="P430" s="2511"/>
      <c r="Q430" s="2511"/>
      <c r="R430" s="2511"/>
      <c r="S430" s="2511"/>
      <c r="T430" s="2511"/>
      <c r="U430" s="2511"/>
      <c r="V430" s="2511"/>
      <c r="W430" s="2511"/>
      <c r="X430" s="2511"/>
      <c r="Y430" s="2511"/>
      <c r="Z430" s="2511"/>
      <c r="AA430" s="2511"/>
      <c r="AB430" s="2511"/>
      <c r="AC430" s="2511"/>
      <c r="AD430" s="2511"/>
      <c r="AE430" s="2511"/>
      <c r="AF430" s="743"/>
      <c r="AG430" s="743"/>
      <c r="AH430" s="743"/>
      <c r="AI430" s="743"/>
      <c r="AJ430" s="743"/>
      <c r="AK430" s="743"/>
      <c r="AL430" s="744"/>
      <c r="AM430" s="568"/>
    </row>
    <row r="431" spans="1:81" ht="13">
      <c r="A431" s="536"/>
      <c r="C431" s="727"/>
      <c r="E431" s="687"/>
      <c r="F431" s="2384"/>
      <c r="G431" s="2384"/>
      <c r="H431" s="2384"/>
      <c r="I431" s="2384"/>
      <c r="J431" s="2384"/>
      <c r="K431" s="2384"/>
      <c r="L431" s="2384"/>
      <c r="M431" s="2384"/>
      <c r="N431" s="2384"/>
      <c r="O431" s="2384"/>
      <c r="P431" s="2384"/>
      <c r="Q431" s="2384"/>
      <c r="R431" s="2384"/>
      <c r="S431" s="2384"/>
      <c r="T431" s="2384"/>
      <c r="U431" s="2384"/>
      <c r="V431" s="2384"/>
      <c r="W431" s="2384"/>
      <c r="X431" s="2384"/>
      <c r="Y431" s="2384"/>
      <c r="Z431" s="2384"/>
      <c r="AA431" s="2384"/>
      <c r="AB431" s="2384"/>
      <c r="AC431" s="2384"/>
      <c r="AD431" s="2384"/>
      <c r="AE431" s="2384"/>
      <c r="AF431" s="539"/>
      <c r="AG431" s="536"/>
      <c r="AH431" s="549"/>
      <c r="AI431" s="549"/>
      <c r="AJ431" s="549"/>
      <c r="AK431" s="549"/>
      <c r="AL431" s="728"/>
      <c r="AM431" s="568"/>
    </row>
    <row r="432" spans="1:81" s="549" customFormat="1" ht="12.75" customHeight="1">
      <c r="A432" s="536"/>
      <c r="B432" s="14"/>
      <c r="C432" s="727"/>
      <c r="D432" s="14"/>
      <c r="E432" s="687"/>
      <c r="F432" s="2384"/>
      <c r="G432" s="2384"/>
      <c r="H432" s="2384"/>
      <c r="I432" s="2384"/>
      <c r="J432" s="2384"/>
      <c r="K432" s="2384"/>
      <c r="L432" s="2384"/>
      <c r="M432" s="2384"/>
      <c r="N432" s="2384"/>
      <c r="O432" s="2384"/>
      <c r="P432" s="2384"/>
      <c r="Q432" s="2384"/>
      <c r="R432" s="2384"/>
      <c r="S432" s="2384"/>
      <c r="T432" s="2384"/>
      <c r="U432" s="2384"/>
      <c r="V432" s="2384"/>
      <c r="W432" s="2384"/>
      <c r="X432" s="2384"/>
      <c r="Y432" s="2384"/>
      <c r="Z432" s="2384"/>
      <c r="AA432" s="2384"/>
      <c r="AB432" s="2384"/>
      <c r="AC432" s="2384"/>
      <c r="AD432" s="2384"/>
      <c r="AE432" s="2384"/>
      <c r="AL432" s="728"/>
      <c r="AM432" s="568"/>
      <c r="AN432" s="595"/>
    </row>
    <row r="433" spans="1:60" s="549" customFormat="1" ht="12.75" customHeight="1">
      <c r="A433" s="536"/>
      <c r="B433" s="14"/>
      <c r="C433" s="735"/>
      <c r="F433" s="2384"/>
      <c r="G433" s="2384"/>
      <c r="H433" s="2384"/>
      <c r="I433" s="2384"/>
      <c r="J433" s="2384"/>
      <c r="K433" s="2384"/>
      <c r="L433" s="2384"/>
      <c r="M433" s="2384"/>
      <c r="N433" s="2384"/>
      <c r="O433" s="2384"/>
      <c r="P433" s="2384"/>
      <c r="Q433" s="2384"/>
      <c r="R433" s="2384"/>
      <c r="S433" s="2384"/>
      <c r="T433" s="2384"/>
      <c r="U433" s="2384"/>
      <c r="V433" s="2384"/>
      <c r="W433" s="2384"/>
      <c r="X433" s="2384"/>
      <c r="Y433" s="2384"/>
      <c r="Z433" s="2384"/>
      <c r="AA433" s="2384"/>
      <c r="AB433" s="2384"/>
      <c r="AC433" s="2384"/>
      <c r="AD433" s="2384"/>
      <c r="AE433" s="2384"/>
      <c r="AL433" s="728"/>
      <c r="AM433" s="568"/>
      <c r="AN433" s="595"/>
    </row>
    <row r="434" spans="1:60" s="549" customFormat="1" ht="12.75" customHeight="1">
      <c r="A434" s="536"/>
      <c r="B434" s="14"/>
      <c r="C434" s="2508" t="s">
        <v>590</v>
      </c>
      <c r="D434" s="2468"/>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46" t="s">
        <v>1452</v>
      </c>
      <c r="AG434" s="2446"/>
      <c r="AH434" s="2446"/>
      <c r="AI434" s="2446"/>
      <c r="AJ434" s="2446"/>
      <c r="AK434" s="2446"/>
      <c r="AL434" s="2512"/>
      <c r="AM434" s="568"/>
      <c r="AN434" s="595"/>
    </row>
    <row r="435" spans="1:60" s="549" customFormat="1" ht="12.75" customHeight="1">
      <c r="A435" s="536"/>
      <c r="B435" s="14"/>
      <c r="C435" s="735"/>
      <c r="AL435" s="728"/>
      <c r="AM435" s="568"/>
      <c r="AN435" s="595"/>
    </row>
    <row r="436" spans="1:60" s="549" customFormat="1" ht="12.75" customHeight="1">
      <c r="A436" s="536"/>
      <c r="B436" s="14"/>
      <c r="C436" s="2508" t="s">
        <v>590</v>
      </c>
      <c r="D436" s="2468"/>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46" t="s">
        <v>1464</v>
      </c>
      <c r="AG436" s="2446"/>
      <c r="AH436" s="2446"/>
      <c r="AI436" s="2446"/>
      <c r="AJ436" s="2446"/>
      <c r="AK436" s="2446"/>
      <c r="AL436" s="2512"/>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11" t="s">
        <v>1472</v>
      </c>
      <c r="G440" s="2511"/>
      <c r="H440" s="2511"/>
      <c r="I440" s="2511"/>
      <c r="J440" s="2511"/>
      <c r="K440" s="2511"/>
      <c r="L440" s="2511"/>
      <c r="M440" s="2511"/>
      <c r="N440" s="2511"/>
      <c r="O440" s="2511"/>
      <c r="P440" s="2511"/>
      <c r="Q440" s="2511"/>
      <c r="R440" s="2511"/>
      <c r="S440" s="2511"/>
      <c r="T440" s="2511"/>
      <c r="U440" s="2511"/>
      <c r="V440" s="2511"/>
      <c r="W440" s="2511"/>
      <c r="X440" s="2511"/>
      <c r="Y440" s="2511"/>
      <c r="Z440" s="2511"/>
      <c r="AA440" s="2511"/>
      <c r="AB440" s="2511"/>
      <c r="AC440" s="2511"/>
      <c r="AD440" s="2511"/>
      <c r="AE440" s="2511"/>
      <c r="AF440" s="710"/>
      <c r="AG440" s="710"/>
      <c r="AH440" s="710"/>
      <c r="AI440" s="710"/>
      <c r="AJ440" s="710"/>
      <c r="AK440" s="710"/>
      <c r="AL440" s="741"/>
      <c r="AM440" s="568"/>
      <c r="AN440" s="595"/>
    </row>
    <row r="441" spans="1:60" s="549" customFormat="1" ht="12.75" customHeight="1">
      <c r="A441" s="536"/>
      <c r="B441" s="14"/>
      <c r="C441" s="727"/>
      <c r="D441" s="14"/>
      <c r="E441" s="687"/>
      <c r="F441" s="2384"/>
      <c r="G441" s="2384"/>
      <c r="H441" s="2384"/>
      <c r="I441" s="2384"/>
      <c r="J441" s="2384"/>
      <c r="K441" s="2384"/>
      <c r="L441" s="2384"/>
      <c r="M441" s="2384"/>
      <c r="N441" s="2384"/>
      <c r="O441" s="2384"/>
      <c r="P441" s="2384"/>
      <c r="Q441" s="2384"/>
      <c r="R441" s="2384"/>
      <c r="S441" s="2384"/>
      <c r="T441" s="2384"/>
      <c r="U441" s="2384"/>
      <c r="V441" s="2384"/>
      <c r="W441" s="2384"/>
      <c r="X441" s="2384"/>
      <c r="Y441" s="2384"/>
      <c r="Z441" s="2384"/>
      <c r="AA441" s="2384"/>
      <c r="AB441" s="2384"/>
      <c r="AC441" s="2384"/>
      <c r="AD441" s="2384"/>
      <c r="AE441" s="2384"/>
      <c r="AF441" s="539"/>
      <c r="AG441" s="536"/>
      <c r="AL441" s="728"/>
      <c r="AM441" s="568"/>
      <c r="AN441" s="595"/>
    </row>
    <row r="442" spans="1:60" s="549" customFormat="1" ht="12.4" customHeight="1">
      <c r="A442" s="536"/>
      <c r="B442" s="14"/>
      <c r="C442" s="727"/>
      <c r="D442" s="14"/>
      <c r="E442" s="687"/>
      <c r="F442" s="2384"/>
      <c r="G442" s="2384"/>
      <c r="H442" s="2384"/>
      <c r="I442" s="2384"/>
      <c r="J442" s="2384"/>
      <c r="K442" s="2384"/>
      <c r="L442" s="2384"/>
      <c r="M442" s="2384"/>
      <c r="N442" s="2384"/>
      <c r="O442" s="2384"/>
      <c r="P442" s="2384"/>
      <c r="Q442" s="2384"/>
      <c r="R442" s="2384"/>
      <c r="S442" s="2384"/>
      <c r="T442" s="2384"/>
      <c r="U442" s="2384"/>
      <c r="V442" s="2384"/>
      <c r="W442" s="2384"/>
      <c r="X442" s="2384"/>
      <c r="Y442" s="2384"/>
      <c r="Z442" s="2384"/>
      <c r="AA442" s="2384"/>
      <c r="AB442" s="2384"/>
      <c r="AC442" s="2384"/>
      <c r="AD442" s="2384"/>
      <c r="AE442" s="2384"/>
      <c r="AL442" s="728"/>
      <c r="AM442" s="568"/>
      <c r="AN442" s="595"/>
    </row>
    <row r="443" spans="1:60" s="549" customFormat="1" ht="12.75" customHeight="1">
      <c r="A443" s="536"/>
      <c r="B443" s="14"/>
      <c r="C443" s="2508" t="s">
        <v>590</v>
      </c>
      <c r="D443" s="2468"/>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46" t="s">
        <v>1452</v>
      </c>
      <c r="AG443" s="2446"/>
      <c r="AH443" s="2446"/>
      <c r="AI443" s="2446"/>
      <c r="AJ443" s="2446"/>
      <c r="AK443" s="2446"/>
      <c r="AL443" s="2512"/>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511" t="s">
        <v>1475</v>
      </c>
      <c r="G446" s="2511"/>
      <c r="H446" s="2511"/>
      <c r="I446" s="2511"/>
      <c r="J446" s="2511"/>
      <c r="K446" s="2511"/>
      <c r="L446" s="2511"/>
      <c r="M446" s="2511"/>
      <c r="N446" s="2511"/>
      <c r="O446" s="2511"/>
      <c r="P446" s="2511"/>
      <c r="Q446" s="2511"/>
      <c r="R446" s="2511"/>
      <c r="S446" s="2511"/>
      <c r="T446" s="2511"/>
      <c r="U446" s="2511"/>
      <c r="V446" s="2511"/>
      <c r="W446" s="2511"/>
      <c r="X446" s="2511"/>
      <c r="Y446" s="2511"/>
      <c r="Z446" s="2511"/>
      <c r="AA446" s="2511"/>
      <c r="AB446" s="2511"/>
      <c r="AC446" s="2511"/>
      <c r="AD446" s="2511"/>
      <c r="AE446" s="2511"/>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384"/>
      <c r="G447" s="2384"/>
      <c r="H447" s="2384"/>
      <c r="I447" s="2384"/>
      <c r="J447" s="2384"/>
      <c r="K447" s="2384"/>
      <c r="L447" s="2384"/>
      <c r="M447" s="2384"/>
      <c r="N447" s="2384"/>
      <c r="O447" s="2384"/>
      <c r="P447" s="2384"/>
      <c r="Q447" s="2384"/>
      <c r="R447" s="2384"/>
      <c r="S447" s="2384"/>
      <c r="T447" s="2384"/>
      <c r="U447" s="2384"/>
      <c r="V447" s="2384"/>
      <c r="W447" s="2384"/>
      <c r="X447" s="2384"/>
      <c r="Y447" s="2384"/>
      <c r="Z447" s="2384"/>
      <c r="AA447" s="2384"/>
      <c r="AB447" s="2384"/>
      <c r="AC447" s="2384"/>
      <c r="AD447" s="2384"/>
      <c r="AE447" s="2384"/>
      <c r="AF447" s="592"/>
      <c r="AG447" s="592"/>
      <c r="AH447" s="592"/>
      <c r="AI447" s="592"/>
      <c r="AJ447" s="592"/>
      <c r="AK447" s="592"/>
      <c r="AL447" s="746"/>
      <c r="AM447" s="568"/>
      <c r="AO447" s="549"/>
      <c r="AP447" s="549"/>
    </row>
    <row r="448" spans="1:60" s="549" customFormat="1" ht="12.75" customHeight="1">
      <c r="A448" s="536"/>
      <c r="B448" s="14"/>
      <c r="C448" s="727"/>
      <c r="D448" s="14"/>
      <c r="E448" s="687"/>
      <c r="F448" s="2384"/>
      <c r="G448" s="2384"/>
      <c r="H448" s="2384"/>
      <c r="I448" s="2384"/>
      <c r="J448" s="2384"/>
      <c r="K448" s="2384"/>
      <c r="L448" s="2384"/>
      <c r="M448" s="2384"/>
      <c r="N448" s="2384"/>
      <c r="O448" s="2384"/>
      <c r="P448" s="2384"/>
      <c r="Q448" s="2384"/>
      <c r="R448" s="2384"/>
      <c r="S448" s="2384"/>
      <c r="T448" s="2384"/>
      <c r="U448" s="2384"/>
      <c r="V448" s="2384"/>
      <c r="W448" s="2384"/>
      <c r="X448" s="2384"/>
      <c r="Y448" s="2384"/>
      <c r="Z448" s="2384"/>
      <c r="AA448" s="2384"/>
      <c r="AB448" s="2384"/>
      <c r="AC448" s="2384"/>
      <c r="AD448" s="2384"/>
      <c r="AE448" s="2384"/>
      <c r="AF448" s="592"/>
      <c r="AG448" s="592"/>
      <c r="AH448" s="592"/>
      <c r="AI448" s="592"/>
      <c r="AJ448" s="592"/>
      <c r="AK448" s="592"/>
      <c r="AL448" s="746"/>
      <c r="AM448" s="568"/>
      <c r="AN448" s="595"/>
    </row>
    <row r="449" spans="1:42" s="549" customFormat="1" ht="12.75" customHeight="1">
      <c r="A449" s="536"/>
      <c r="B449" s="14"/>
      <c r="C449" s="747"/>
      <c r="D449" s="726"/>
      <c r="E449" s="715"/>
      <c r="F449" s="2384"/>
      <c r="G449" s="2384"/>
      <c r="H449" s="2384"/>
      <c r="I449" s="2384"/>
      <c r="J449" s="2384"/>
      <c r="K449" s="2384"/>
      <c r="L449" s="2384"/>
      <c r="M449" s="2384"/>
      <c r="N449" s="2384"/>
      <c r="O449" s="2384"/>
      <c r="P449" s="2384"/>
      <c r="Q449" s="2384"/>
      <c r="R449" s="2384"/>
      <c r="S449" s="2384"/>
      <c r="T449" s="2384"/>
      <c r="U449" s="2384"/>
      <c r="V449" s="2384"/>
      <c r="W449" s="2384"/>
      <c r="X449" s="2384"/>
      <c r="Y449" s="2384"/>
      <c r="Z449" s="2384"/>
      <c r="AA449" s="2384"/>
      <c r="AB449" s="2384"/>
      <c r="AC449" s="2384"/>
      <c r="AD449" s="2384"/>
      <c r="AE449" s="2384"/>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4"/>
      <c r="G450" s="2384"/>
      <c r="H450" s="2384"/>
      <c r="I450" s="2384"/>
      <c r="J450" s="2384"/>
      <c r="K450" s="2384"/>
      <c r="L450" s="2384"/>
      <c r="M450" s="2384"/>
      <c r="N450" s="2384"/>
      <c r="O450" s="2384"/>
      <c r="P450" s="2384"/>
      <c r="Q450" s="2384"/>
      <c r="R450" s="2384"/>
      <c r="S450" s="2384"/>
      <c r="T450" s="2384"/>
      <c r="U450" s="2384"/>
      <c r="V450" s="2384"/>
      <c r="W450" s="2384"/>
      <c r="X450" s="2384"/>
      <c r="Y450" s="2384"/>
      <c r="Z450" s="2384"/>
      <c r="AA450" s="2384"/>
      <c r="AB450" s="2384"/>
      <c r="AC450" s="2384"/>
      <c r="AD450" s="2384"/>
      <c r="AE450" s="2384"/>
      <c r="AF450" s="592"/>
      <c r="AG450" s="592"/>
      <c r="AH450" s="592"/>
      <c r="AI450" s="592"/>
      <c r="AJ450" s="592"/>
      <c r="AK450" s="592"/>
      <c r="AL450" s="746"/>
      <c r="AM450" s="568"/>
      <c r="AN450" s="595"/>
    </row>
    <row r="451" spans="1:42" s="549" customFormat="1" ht="12.75" customHeight="1">
      <c r="A451" s="536"/>
      <c r="B451" s="14"/>
      <c r="C451" s="747"/>
      <c r="D451" s="726"/>
      <c r="E451" s="715"/>
      <c r="F451" s="2384"/>
      <c r="G451" s="2384"/>
      <c r="H451" s="2384"/>
      <c r="I451" s="2384"/>
      <c r="J451" s="2384"/>
      <c r="K451" s="2384"/>
      <c r="L451" s="2384"/>
      <c r="M451" s="2384"/>
      <c r="N451" s="2384"/>
      <c r="O451" s="2384"/>
      <c r="P451" s="2384"/>
      <c r="Q451" s="2384"/>
      <c r="R451" s="2384"/>
      <c r="S451" s="2384"/>
      <c r="T451" s="2384"/>
      <c r="U451" s="2384"/>
      <c r="V451" s="2384"/>
      <c r="W451" s="2384"/>
      <c r="X451" s="2384"/>
      <c r="Y451" s="2384"/>
      <c r="Z451" s="2384"/>
      <c r="AA451" s="2384"/>
      <c r="AB451" s="2384"/>
      <c r="AC451" s="2384"/>
      <c r="AD451" s="2384"/>
      <c r="AE451" s="2384"/>
      <c r="AF451" s="592"/>
      <c r="AG451" s="592"/>
      <c r="AH451" s="592"/>
      <c r="AI451" s="592"/>
      <c r="AJ451" s="592"/>
      <c r="AK451" s="592"/>
      <c r="AL451" s="746"/>
      <c r="AM451" s="568"/>
      <c r="AN451" s="595"/>
    </row>
    <row r="452" spans="1:42" s="549" customFormat="1" ht="12.75" customHeight="1">
      <c r="A452" s="536"/>
      <c r="B452" s="14"/>
      <c r="C452" s="747"/>
      <c r="D452" s="726"/>
      <c r="E452" s="715"/>
      <c r="F452" s="2384"/>
      <c r="G452" s="2384"/>
      <c r="H452" s="2384"/>
      <c r="I452" s="2384"/>
      <c r="J452" s="2384"/>
      <c r="K452" s="2384"/>
      <c r="L452" s="2384"/>
      <c r="M452" s="2384"/>
      <c r="N452" s="2384"/>
      <c r="O452" s="2384"/>
      <c r="P452" s="2384"/>
      <c r="Q452" s="2384"/>
      <c r="R452" s="2384"/>
      <c r="S452" s="2384"/>
      <c r="T452" s="2384"/>
      <c r="U452" s="2384"/>
      <c r="V452" s="2384"/>
      <c r="W452" s="2384"/>
      <c r="X452" s="2384"/>
      <c r="Y452" s="2384"/>
      <c r="Z452" s="2384"/>
      <c r="AA452" s="2384"/>
      <c r="AB452" s="2384"/>
      <c r="AC452" s="2384"/>
      <c r="AD452" s="2384"/>
      <c r="AE452" s="2384"/>
      <c r="AF452" s="592"/>
      <c r="AG452" s="592"/>
      <c r="AH452" s="592"/>
      <c r="AI452" s="592"/>
      <c r="AJ452" s="592"/>
      <c r="AK452" s="592"/>
      <c r="AL452" s="746"/>
      <c r="AM452" s="568"/>
      <c r="AN452" s="595"/>
    </row>
    <row r="453" spans="1:42" s="549" customFormat="1" ht="12.75" customHeight="1">
      <c r="A453" s="536"/>
      <c r="B453" s="14"/>
      <c r="C453" s="747"/>
      <c r="D453" s="726"/>
      <c r="E453" s="715"/>
      <c r="F453" s="2384"/>
      <c r="G453" s="2384"/>
      <c r="H453" s="2384"/>
      <c r="I453" s="2384"/>
      <c r="J453" s="2384"/>
      <c r="K453" s="2384"/>
      <c r="L453" s="2384"/>
      <c r="M453" s="2384"/>
      <c r="N453" s="2384"/>
      <c r="O453" s="2384"/>
      <c r="P453" s="2384"/>
      <c r="Q453" s="2384"/>
      <c r="R453" s="2384"/>
      <c r="S453" s="2384"/>
      <c r="T453" s="2384"/>
      <c r="U453" s="2384"/>
      <c r="V453" s="2384"/>
      <c r="W453" s="2384"/>
      <c r="X453" s="2384"/>
      <c r="Y453" s="2384"/>
      <c r="Z453" s="2384"/>
      <c r="AA453" s="2384"/>
      <c r="AB453" s="2384"/>
      <c r="AC453" s="2384"/>
      <c r="AD453" s="2384"/>
      <c r="AE453" s="2384"/>
      <c r="AF453" s="592"/>
      <c r="AG453" s="592"/>
      <c r="AH453" s="592"/>
      <c r="AI453" s="592"/>
      <c r="AJ453" s="592"/>
      <c r="AK453" s="592"/>
      <c r="AL453" s="746"/>
      <c r="AM453" s="568"/>
      <c r="AN453" s="595"/>
    </row>
    <row r="454" spans="1:42" s="549" customFormat="1" ht="17.25" customHeight="1">
      <c r="A454" s="536"/>
      <c r="B454" s="14"/>
      <c r="C454" s="747"/>
      <c r="D454" s="726"/>
      <c r="E454" s="715"/>
      <c r="F454" s="2384"/>
      <c r="G454" s="2384"/>
      <c r="H454" s="2384"/>
      <c r="I454" s="2384"/>
      <c r="J454" s="2384"/>
      <c r="K454" s="2384"/>
      <c r="L454" s="2384"/>
      <c r="M454" s="2384"/>
      <c r="N454" s="2384"/>
      <c r="O454" s="2384"/>
      <c r="P454" s="2384"/>
      <c r="Q454" s="2384"/>
      <c r="R454" s="2384"/>
      <c r="S454" s="2384"/>
      <c r="T454" s="2384"/>
      <c r="U454" s="2384"/>
      <c r="V454" s="2384"/>
      <c r="W454" s="2384"/>
      <c r="X454" s="2384"/>
      <c r="Y454" s="2384"/>
      <c r="Z454" s="2384"/>
      <c r="AA454" s="2384"/>
      <c r="AB454" s="2384"/>
      <c r="AC454" s="2384"/>
      <c r="AD454" s="2384"/>
      <c r="AE454" s="2384"/>
      <c r="AL454" s="728"/>
      <c r="AM454" s="568"/>
      <c r="AN454" s="595"/>
    </row>
    <row r="455" spans="1:42" s="549" customFormat="1" ht="12.75" customHeight="1">
      <c r="A455" s="536"/>
      <c r="B455" s="14"/>
      <c r="C455" s="2508" t="s">
        <v>590</v>
      </c>
      <c r="D455" s="2468"/>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46" t="s">
        <v>1452</v>
      </c>
      <c r="AG455" s="2446"/>
      <c r="AH455" s="2446"/>
      <c r="AI455" s="2446"/>
      <c r="AJ455" s="2446"/>
      <c r="AK455" s="2446"/>
      <c r="AL455" s="2512"/>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11" t="s">
        <v>1478</v>
      </c>
      <c r="G458" s="2511"/>
      <c r="H458" s="2511"/>
      <c r="I458" s="2511"/>
      <c r="J458" s="2511"/>
      <c r="K458" s="2511"/>
      <c r="L458" s="2511"/>
      <c r="M458" s="2511"/>
      <c r="N458" s="2511"/>
      <c r="O458" s="2511"/>
      <c r="P458" s="2511"/>
      <c r="Q458" s="2511"/>
      <c r="R458" s="2511"/>
      <c r="S458" s="2511"/>
      <c r="T458" s="2511"/>
      <c r="U458" s="2511"/>
      <c r="V458" s="2511"/>
      <c r="W458" s="2511"/>
      <c r="X458" s="2511"/>
      <c r="Y458" s="2511"/>
      <c r="Z458" s="2511"/>
      <c r="AA458" s="2511"/>
      <c r="AB458" s="2511"/>
      <c r="AC458" s="2511"/>
      <c r="AD458" s="2511"/>
      <c r="AE458" s="2511"/>
      <c r="AF458" s="710"/>
      <c r="AG458" s="710"/>
      <c r="AH458" s="710"/>
      <c r="AI458" s="710"/>
      <c r="AJ458" s="710"/>
      <c r="AK458" s="710"/>
      <c r="AL458" s="741"/>
      <c r="AM458" s="568"/>
      <c r="AN458" s="595"/>
    </row>
    <row r="459" spans="1:42" s="549" customFormat="1" ht="12.75" customHeight="1">
      <c r="A459" s="536"/>
      <c r="B459" s="14"/>
      <c r="C459" s="747"/>
      <c r="D459" s="726"/>
      <c r="E459" s="715"/>
      <c r="F459" s="2384"/>
      <c r="G459" s="2384"/>
      <c r="H459" s="2384"/>
      <c r="I459" s="2384"/>
      <c r="J459" s="2384"/>
      <c r="K459" s="2384"/>
      <c r="L459" s="2384"/>
      <c r="M459" s="2384"/>
      <c r="N459" s="2384"/>
      <c r="O459" s="2384"/>
      <c r="P459" s="2384"/>
      <c r="Q459" s="2384"/>
      <c r="R459" s="2384"/>
      <c r="S459" s="2384"/>
      <c r="T459" s="2384"/>
      <c r="U459" s="2384"/>
      <c r="V459" s="2384"/>
      <c r="W459" s="2384"/>
      <c r="X459" s="2384"/>
      <c r="Y459" s="2384"/>
      <c r="Z459" s="2384"/>
      <c r="AA459" s="2384"/>
      <c r="AB459" s="2384"/>
      <c r="AC459" s="2384"/>
      <c r="AD459" s="2384"/>
      <c r="AE459" s="2384"/>
      <c r="AF459" s="589"/>
      <c r="AG459" s="589"/>
      <c r="AH459" s="589"/>
      <c r="AI459" s="589"/>
      <c r="AJ459" s="589"/>
      <c r="AK459" s="589"/>
      <c r="AL459" s="716"/>
      <c r="AM459" s="568"/>
      <c r="AN459" s="595"/>
    </row>
    <row r="460" spans="1:42" s="549" customFormat="1" ht="12.75" customHeight="1">
      <c r="A460" s="536"/>
      <c r="B460" s="14"/>
      <c r="C460" s="747"/>
      <c r="D460" s="726"/>
      <c r="E460" s="715"/>
      <c r="F460" s="2384"/>
      <c r="G460" s="2384"/>
      <c r="H460" s="2384"/>
      <c r="I460" s="2384"/>
      <c r="J460" s="2384"/>
      <c r="K460" s="2384"/>
      <c r="L460" s="2384"/>
      <c r="M460" s="2384"/>
      <c r="N460" s="2384"/>
      <c r="O460" s="2384"/>
      <c r="P460" s="2384"/>
      <c r="Q460" s="2384"/>
      <c r="R460" s="2384"/>
      <c r="S460" s="2384"/>
      <c r="T460" s="2384"/>
      <c r="U460" s="2384"/>
      <c r="V460" s="2384"/>
      <c r="W460" s="2384"/>
      <c r="X460" s="2384"/>
      <c r="Y460" s="2384"/>
      <c r="Z460" s="2384"/>
      <c r="AA460" s="2384"/>
      <c r="AB460" s="2384"/>
      <c r="AC460" s="2384"/>
      <c r="AD460" s="2384"/>
      <c r="AE460" s="2384"/>
      <c r="AF460" s="589"/>
      <c r="AG460" s="589"/>
      <c r="AH460" s="589"/>
      <c r="AI460" s="589"/>
      <c r="AJ460" s="589"/>
      <c r="AK460" s="589"/>
      <c r="AL460" s="716"/>
      <c r="AM460" s="568"/>
      <c r="AN460" s="595"/>
    </row>
    <row r="461" spans="1:42" s="549" customFormat="1" ht="12.75" customHeight="1">
      <c r="A461" s="536"/>
      <c r="B461" s="14"/>
      <c r="C461" s="747"/>
      <c r="D461" s="726"/>
      <c r="E461" s="715"/>
      <c r="F461" s="2384"/>
      <c r="G461" s="2384"/>
      <c r="H461" s="2384"/>
      <c r="I461" s="2384"/>
      <c r="J461" s="2384"/>
      <c r="K461" s="2384"/>
      <c r="L461" s="2384"/>
      <c r="M461" s="2384"/>
      <c r="N461" s="2384"/>
      <c r="O461" s="2384"/>
      <c r="P461" s="2384"/>
      <c r="Q461" s="2384"/>
      <c r="R461" s="2384"/>
      <c r="S461" s="2384"/>
      <c r="T461" s="2384"/>
      <c r="U461" s="2384"/>
      <c r="V461" s="2384"/>
      <c r="W461" s="2384"/>
      <c r="X461" s="2384"/>
      <c r="Y461" s="2384"/>
      <c r="Z461" s="2384"/>
      <c r="AA461" s="2384"/>
      <c r="AB461" s="2384"/>
      <c r="AC461" s="2384"/>
      <c r="AD461" s="2384"/>
      <c r="AE461" s="2384"/>
      <c r="AL461" s="728"/>
      <c r="AM461" s="568"/>
      <c r="AN461" s="595"/>
    </row>
    <row r="462" spans="1:42" s="549" customFormat="1" ht="12.75" customHeight="1">
      <c r="A462" s="536"/>
      <c r="B462" s="14"/>
      <c r="C462" s="2508" t="s">
        <v>590</v>
      </c>
      <c r="D462" s="2468"/>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46" t="s">
        <v>1452</v>
      </c>
      <c r="AG462" s="2446"/>
      <c r="AH462" s="2446"/>
      <c r="AI462" s="2446"/>
      <c r="AJ462" s="2446"/>
      <c r="AK462" s="2446"/>
      <c r="AL462" s="2512"/>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3" t="s">
        <v>590</v>
      </c>
      <c r="D466" s="2514"/>
      <c r="E466" s="711" t="s">
        <v>1487</v>
      </c>
      <c r="F466" s="2511" t="s">
        <v>1488</v>
      </c>
      <c r="G466" s="2511"/>
      <c r="H466" s="2511"/>
      <c r="I466" s="2511"/>
      <c r="J466" s="2511"/>
      <c r="K466" s="2511"/>
      <c r="L466" s="2511"/>
      <c r="M466" s="2511"/>
      <c r="N466" s="2511"/>
      <c r="O466" s="2511"/>
      <c r="P466" s="2511"/>
      <c r="Q466" s="2511"/>
      <c r="R466" s="2511"/>
      <c r="S466" s="2511"/>
      <c r="T466" s="2511"/>
      <c r="U466" s="2511"/>
      <c r="V466" s="2511"/>
      <c r="W466" s="2511"/>
      <c r="X466" s="2511"/>
      <c r="Y466" s="2511"/>
      <c r="Z466" s="2511"/>
      <c r="AA466" s="2511"/>
      <c r="AB466" s="2511"/>
      <c r="AC466" s="2511"/>
      <c r="AD466" s="2511"/>
      <c r="AE466" s="2511"/>
      <c r="AF466" s="2596" t="s">
        <v>1452</v>
      </c>
      <c r="AG466" s="2596"/>
      <c r="AH466" s="2596"/>
      <c r="AI466" s="2596"/>
      <c r="AJ466" s="2596"/>
      <c r="AK466" s="2596"/>
      <c r="AL466" s="2597"/>
      <c r="AM466" s="568"/>
      <c r="AN466" s="749"/>
    </row>
    <row r="467" spans="1:40" s="549" customFormat="1" ht="12.75" customHeight="1">
      <c r="A467" s="536"/>
      <c r="B467" s="14"/>
      <c r="C467" s="747"/>
      <c r="D467" s="726"/>
      <c r="E467" s="715"/>
      <c r="F467" s="2384"/>
      <c r="G467" s="2384"/>
      <c r="H467" s="2384"/>
      <c r="I467" s="2384"/>
      <c r="J467" s="2384"/>
      <c r="K467" s="2384"/>
      <c r="L467" s="2384"/>
      <c r="M467" s="2384"/>
      <c r="N467" s="2384"/>
      <c r="O467" s="2384"/>
      <c r="P467" s="2384"/>
      <c r="Q467" s="2384"/>
      <c r="R467" s="2384"/>
      <c r="S467" s="2384"/>
      <c r="T467" s="2384"/>
      <c r="U467" s="2384"/>
      <c r="V467" s="2384"/>
      <c r="W467" s="2384"/>
      <c r="X467" s="2384"/>
      <c r="Y467" s="2384"/>
      <c r="Z467" s="2384"/>
      <c r="AA467" s="2384"/>
      <c r="AB467" s="2384"/>
      <c r="AC467" s="2384"/>
      <c r="AD467" s="2384"/>
      <c r="AE467" s="2384"/>
      <c r="AF467" s="589"/>
      <c r="AG467" s="589"/>
      <c r="AH467" s="589"/>
      <c r="AI467" s="589"/>
      <c r="AJ467" s="589"/>
      <c r="AK467" s="589"/>
      <c r="AL467" s="716"/>
      <c r="AM467" s="568"/>
      <c r="AN467" s="750"/>
    </row>
    <row r="468" spans="1:40" s="549" customFormat="1" ht="17.649999999999999" customHeight="1">
      <c r="A468" s="536"/>
      <c r="B468" s="14"/>
      <c r="C468" s="752"/>
      <c r="D468" s="719"/>
      <c r="E468" s="720"/>
      <c r="F468" s="2540"/>
      <c r="G468" s="2540"/>
      <c r="H468" s="2540"/>
      <c r="I468" s="2540"/>
      <c r="J468" s="2540"/>
      <c r="K468" s="2540"/>
      <c r="L468" s="2540"/>
      <c r="M468" s="2540"/>
      <c r="N468" s="2540"/>
      <c r="O468" s="2540"/>
      <c r="P468" s="2540"/>
      <c r="Q468" s="2540"/>
      <c r="R468" s="2540"/>
      <c r="S468" s="2540"/>
      <c r="T468" s="2540"/>
      <c r="U468" s="2540"/>
      <c r="V468" s="2540"/>
      <c r="W468" s="2540"/>
      <c r="X468" s="2540"/>
      <c r="Y468" s="2540"/>
      <c r="Z468" s="2540"/>
      <c r="AA468" s="2540"/>
      <c r="AB468" s="2540"/>
      <c r="AC468" s="2540"/>
      <c r="AD468" s="2540"/>
      <c r="AE468" s="254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08" t="s">
        <v>590</v>
      </c>
      <c r="D470" s="2468"/>
      <c r="E470" s="711" t="s">
        <v>1493</v>
      </c>
      <c r="F470" s="2511" t="s">
        <v>1494</v>
      </c>
      <c r="G470" s="2511"/>
      <c r="H470" s="2511"/>
      <c r="I470" s="2511"/>
      <c r="J470" s="2511"/>
      <c r="K470" s="2511"/>
      <c r="L470" s="2511"/>
      <c r="M470" s="2511"/>
      <c r="N470" s="2511"/>
      <c r="O470" s="2511"/>
      <c r="P470" s="2511"/>
      <c r="Q470" s="2511"/>
      <c r="R470" s="2511"/>
      <c r="S470" s="2511"/>
      <c r="T470" s="2511"/>
      <c r="U470" s="2511"/>
      <c r="V470" s="2511"/>
      <c r="W470" s="2511"/>
      <c r="X470" s="2511"/>
      <c r="Y470" s="2511"/>
      <c r="Z470" s="2511"/>
      <c r="AA470" s="2511"/>
      <c r="AB470" s="2511"/>
      <c r="AC470" s="2511"/>
      <c r="AD470" s="2511"/>
      <c r="AE470" s="2511"/>
      <c r="AF470" s="2596" t="s">
        <v>1452</v>
      </c>
      <c r="AG470" s="2596"/>
      <c r="AH470" s="2596"/>
      <c r="AI470" s="2596"/>
      <c r="AJ470" s="2596"/>
      <c r="AK470" s="2596"/>
      <c r="AL470" s="2597"/>
      <c r="AM470" s="568"/>
      <c r="AN470" s="535"/>
    </row>
    <row r="471" spans="1:40" s="549" customFormat="1" ht="12.75" customHeight="1">
      <c r="A471" s="536"/>
      <c r="B471" s="14"/>
      <c r="C471" s="727"/>
      <c r="D471" s="14"/>
      <c r="E471" s="687"/>
      <c r="F471" s="2384"/>
      <c r="G471" s="2384"/>
      <c r="H471" s="2384"/>
      <c r="I471" s="2384"/>
      <c r="J471" s="2384"/>
      <c r="K471" s="2384"/>
      <c r="L471" s="2384"/>
      <c r="M471" s="2384"/>
      <c r="N471" s="2384"/>
      <c r="O471" s="2384"/>
      <c r="P471" s="2384"/>
      <c r="Q471" s="2384"/>
      <c r="R471" s="2384"/>
      <c r="S471" s="2384"/>
      <c r="T471" s="2384"/>
      <c r="U471" s="2384"/>
      <c r="V471" s="2384"/>
      <c r="W471" s="2384"/>
      <c r="X471" s="2384"/>
      <c r="Y471" s="2384"/>
      <c r="Z471" s="2384"/>
      <c r="AA471" s="2384"/>
      <c r="AB471" s="2384"/>
      <c r="AC471" s="2384"/>
      <c r="AD471" s="2384"/>
      <c r="AE471" s="2384"/>
      <c r="AF471" s="539"/>
      <c r="AG471" s="536"/>
      <c r="AL471" s="728"/>
      <c r="AM471" s="568"/>
      <c r="AN471" s="535"/>
    </row>
    <row r="472" spans="1:40" s="549" customFormat="1" ht="12.75" customHeight="1">
      <c r="A472" s="536"/>
      <c r="B472" s="14"/>
      <c r="C472" s="727"/>
      <c r="D472" s="14"/>
      <c r="E472" s="687"/>
      <c r="F472" s="2384"/>
      <c r="G472" s="2384"/>
      <c r="H472" s="2384"/>
      <c r="I472" s="2384"/>
      <c r="J472" s="2384"/>
      <c r="K472" s="2384"/>
      <c r="L472" s="2384"/>
      <c r="M472" s="2384"/>
      <c r="N472" s="2384"/>
      <c r="O472" s="2384"/>
      <c r="P472" s="2384"/>
      <c r="Q472" s="2384"/>
      <c r="R472" s="2384"/>
      <c r="S472" s="2384"/>
      <c r="T472" s="2384"/>
      <c r="U472" s="2384"/>
      <c r="V472" s="2384"/>
      <c r="W472" s="2384"/>
      <c r="X472" s="2384"/>
      <c r="Y472" s="2384"/>
      <c r="Z472" s="2384"/>
      <c r="AA472" s="2384"/>
      <c r="AB472" s="2384"/>
      <c r="AC472" s="2384"/>
      <c r="AD472" s="2384"/>
      <c r="AE472" s="2384"/>
      <c r="AF472" s="539"/>
      <c r="AG472" s="536"/>
      <c r="AL472" s="728"/>
      <c r="AM472" s="568"/>
      <c r="AN472" s="535"/>
    </row>
    <row r="473" spans="1:40" s="549" customFormat="1" ht="12.75" customHeight="1">
      <c r="A473" s="536"/>
      <c r="B473" s="14"/>
      <c r="C473" s="752"/>
      <c r="D473" s="719"/>
      <c r="E473" s="720"/>
      <c r="F473" s="2540"/>
      <c r="G473" s="2540"/>
      <c r="H473" s="2540"/>
      <c r="I473" s="2540"/>
      <c r="J473" s="2540"/>
      <c r="K473" s="2540"/>
      <c r="L473" s="2540"/>
      <c r="M473" s="2540"/>
      <c r="N473" s="2540"/>
      <c r="O473" s="2540"/>
      <c r="P473" s="2540"/>
      <c r="Q473" s="2540"/>
      <c r="R473" s="2540"/>
      <c r="S473" s="2540"/>
      <c r="T473" s="2540"/>
      <c r="U473" s="2540"/>
      <c r="V473" s="2540"/>
      <c r="W473" s="2540"/>
      <c r="X473" s="2540"/>
      <c r="Y473" s="2540"/>
      <c r="Z473" s="2540"/>
      <c r="AA473" s="2540"/>
      <c r="AB473" s="2540"/>
      <c r="AC473" s="2540"/>
      <c r="AD473" s="2540"/>
      <c r="AE473" s="254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11" t="s">
        <v>1497</v>
      </c>
      <c r="G475" s="2511"/>
      <c r="H475" s="2511"/>
      <c r="I475" s="2511"/>
      <c r="J475" s="2511"/>
      <c r="K475" s="2511"/>
      <c r="L475" s="2511"/>
      <c r="M475" s="2511"/>
      <c r="N475" s="2511"/>
      <c r="O475" s="2511"/>
      <c r="P475" s="2511"/>
      <c r="Q475" s="2511"/>
      <c r="R475" s="2511"/>
      <c r="S475" s="2511"/>
      <c r="T475" s="2511"/>
      <c r="U475" s="2511"/>
      <c r="V475" s="2511"/>
      <c r="W475" s="2511"/>
      <c r="X475" s="2511"/>
      <c r="Y475" s="2511"/>
      <c r="Z475" s="2511"/>
      <c r="AA475" s="2511"/>
      <c r="AB475" s="2511"/>
      <c r="AC475" s="2511"/>
      <c r="AD475" s="2511"/>
      <c r="AE475" s="2511"/>
      <c r="AF475" s="2511"/>
      <c r="AG475" s="740"/>
      <c r="AH475" s="710"/>
      <c r="AI475" s="710"/>
      <c r="AJ475" s="710"/>
      <c r="AK475" s="710"/>
      <c r="AL475" s="741"/>
      <c r="AM475" s="568"/>
      <c r="AN475" s="595"/>
    </row>
    <row r="476" spans="1:40" s="549" customFormat="1" ht="12.75" customHeight="1">
      <c r="A476" s="536"/>
      <c r="B476" s="14"/>
      <c r="C476" s="727"/>
      <c r="D476" s="14"/>
      <c r="E476" s="687"/>
      <c r="F476" s="2384"/>
      <c r="G476" s="2384"/>
      <c r="H476" s="2384"/>
      <c r="I476" s="2384"/>
      <c r="J476" s="2384"/>
      <c r="K476" s="2384"/>
      <c r="L476" s="2384"/>
      <c r="M476" s="2384"/>
      <c r="N476" s="2384"/>
      <c r="O476" s="2384"/>
      <c r="P476" s="2384"/>
      <c r="Q476" s="2384"/>
      <c r="R476" s="2384"/>
      <c r="S476" s="2384"/>
      <c r="T476" s="2384"/>
      <c r="U476" s="2384"/>
      <c r="V476" s="2384"/>
      <c r="W476" s="2384"/>
      <c r="X476" s="2384"/>
      <c r="Y476" s="2384"/>
      <c r="Z476" s="2384"/>
      <c r="AA476" s="2384"/>
      <c r="AB476" s="2384"/>
      <c r="AC476" s="2384"/>
      <c r="AD476" s="2384"/>
      <c r="AE476" s="2384"/>
      <c r="AF476" s="2384"/>
      <c r="AL476" s="728"/>
      <c r="AM476" s="568"/>
      <c r="AN476" s="595"/>
    </row>
    <row r="477" spans="1:40" s="549" customFormat="1" ht="12.75" customHeight="1">
      <c r="A477" s="536"/>
      <c r="B477" s="14"/>
      <c r="C477" s="735"/>
      <c r="F477" s="2384"/>
      <c r="G477" s="2384"/>
      <c r="H477" s="2384"/>
      <c r="I477" s="2384"/>
      <c r="J477" s="2384"/>
      <c r="K477" s="2384"/>
      <c r="L477" s="2384"/>
      <c r="M477" s="2384"/>
      <c r="N477" s="2384"/>
      <c r="O477" s="2384"/>
      <c r="P477" s="2384"/>
      <c r="Q477" s="2384"/>
      <c r="R477" s="2384"/>
      <c r="S477" s="2384"/>
      <c r="T477" s="2384"/>
      <c r="U477" s="2384"/>
      <c r="V477" s="2384"/>
      <c r="W477" s="2384"/>
      <c r="X477" s="2384"/>
      <c r="Y477" s="2384"/>
      <c r="Z477" s="2384"/>
      <c r="AA477" s="2384"/>
      <c r="AB477" s="2384"/>
      <c r="AC477" s="2384"/>
      <c r="AD477" s="2384"/>
      <c r="AE477" s="2384"/>
      <c r="AF477" s="2384"/>
      <c r="AL477" s="728"/>
      <c r="AM477" s="568"/>
      <c r="AN477" s="595"/>
    </row>
    <row r="478" spans="1:40" s="549" customFormat="1" ht="12.75" customHeight="1">
      <c r="A478" s="536"/>
      <c r="B478" s="14"/>
      <c r="C478" s="735"/>
      <c r="F478" s="2384"/>
      <c r="G478" s="2384"/>
      <c r="H478" s="2384"/>
      <c r="I478" s="2384"/>
      <c r="J478" s="2384"/>
      <c r="K478" s="2384"/>
      <c r="L478" s="2384"/>
      <c r="M478" s="2384"/>
      <c r="N478" s="2384"/>
      <c r="O478" s="2384"/>
      <c r="P478" s="2384"/>
      <c r="Q478" s="2384"/>
      <c r="R478" s="2384"/>
      <c r="S478" s="2384"/>
      <c r="T478" s="2384"/>
      <c r="U478" s="2384"/>
      <c r="V478" s="2384"/>
      <c r="W478" s="2384"/>
      <c r="X478" s="2384"/>
      <c r="Y478" s="2384"/>
      <c r="Z478" s="2384"/>
      <c r="AA478" s="2384"/>
      <c r="AB478" s="2384"/>
      <c r="AC478" s="2384"/>
      <c r="AD478" s="2384"/>
      <c r="AE478" s="2384"/>
      <c r="AF478" s="2384"/>
      <c r="AL478" s="728"/>
      <c r="AM478" s="568"/>
      <c r="AN478" s="595"/>
    </row>
    <row r="479" spans="1:40" s="549" customFormat="1" ht="12.75" customHeight="1">
      <c r="A479" s="536"/>
      <c r="B479" s="14"/>
      <c r="C479" s="2508" t="s">
        <v>590</v>
      </c>
      <c r="D479" s="2468"/>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09" t="s">
        <v>1452</v>
      </c>
      <c r="AG479" s="2509"/>
      <c r="AH479" s="2509"/>
      <c r="AI479" s="2509"/>
      <c r="AJ479" s="2509"/>
      <c r="AK479" s="2509"/>
      <c r="AL479" s="2510"/>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71">
        <f>IF(Application!D214="N/A",AS371,AS373)</f>
        <v>10</v>
      </c>
      <c r="AL482" s="2472"/>
      <c r="AM482" s="2473"/>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509" t="s">
        <v>1501</v>
      </c>
      <c r="AF485" s="2509"/>
      <c r="AG485" s="2509"/>
      <c r="AH485" s="2509"/>
      <c r="AI485" s="2509"/>
      <c r="AJ485" s="2509"/>
      <c r="AK485" s="2509"/>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15" t="s">
        <v>590</v>
      </c>
      <c r="D491" s="2516"/>
      <c r="E491" s="757" t="s">
        <v>506</v>
      </c>
      <c r="F491" s="2517" t="s">
        <v>1507</v>
      </c>
      <c r="G491" s="2517"/>
      <c r="H491" s="2517"/>
      <c r="I491" s="2517"/>
      <c r="J491" s="2517"/>
      <c r="K491" s="2517"/>
      <c r="L491" s="2517"/>
      <c r="M491" s="2517"/>
      <c r="N491" s="2517"/>
      <c r="O491" s="2517"/>
      <c r="P491" s="2517"/>
      <c r="Q491" s="2517"/>
      <c r="R491" s="2517"/>
      <c r="S491" s="2517"/>
      <c r="T491" s="2517"/>
      <c r="U491" s="2517"/>
      <c r="V491" s="2517"/>
      <c r="W491" s="2517"/>
      <c r="X491" s="2517"/>
      <c r="Y491" s="2517"/>
      <c r="Z491" s="2517"/>
      <c r="AA491" s="2517"/>
      <c r="AB491" s="2517"/>
      <c r="AC491" s="2517"/>
      <c r="AD491" s="2517"/>
      <c r="AE491" s="2517"/>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18"/>
      <c r="G492" s="2518"/>
      <c r="H492" s="2518"/>
      <c r="I492" s="2518"/>
      <c r="J492" s="2518"/>
      <c r="K492" s="2518"/>
      <c r="L492" s="2518"/>
      <c r="M492" s="2518"/>
      <c r="N492" s="2518"/>
      <c r="O492" s="2518"/>
      <c r="P492" s="2518"/>
      <c r="Q492" s="2518"/>
      <c r="R492" s="2518"/>
      <c r="S492" s="2518"/>
      <c r="T492" s="2518"/>
      <c r="U492" s="2518"/>
      <c r="V492" s="2518"/>
      <c r="W492" s="2518"/>
      <c r="X492" s="2518"/>
      <c r="Y492" s="2518"/>
      <c r="Z492" s="2518"/>
      <c r="AA492" s="2518"/>
      <c r="AB492" s="2518"/>
      <c r="AC492" s="2518"/>
      <c r="AD492" s="2518"/>
      <c r="AE492" s="2518"/>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13" t="s">
        <v>590</v>
      </c>
      <c r="G493" s="2613"/>
      <c r="H493" s="2613"/>
      <c r="I493" s="2613"/>
      <c r="J493" s="2613"/>
      <c r="K493" s="2613"/>
      <c r="L493" s="2613"/>
      <c r="M493" s="2613"/>
      <c r="N493" s="2613"/>
      <c r="O493" s="2613"/>
      <c r="P493" s="2613"/>
      <c r="Q493" s="2613"/>
      <c r="R493" s="2613"/>
      <c r="S493" s="2613"/>
      <c r="T493" s="2613"/>
      <c r="U493" s="2613"/>
      <c r="V493" s="2613"/>
      <c r="W493" s="2613"/>
      <c r="X493" s="2613"/>
      <c r="Y493" s="2613"/>
      <c r="Z493" s="2613"/>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34" t="s">
        <v>544</v>
      </c>
      <c r="D495" s="2635"/>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02" t="s">
        <v>590</v>
      </c>
      <c r="W498" s="2602"/>
      <c r="X498" s="2602"/>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02" t="s">
        <v>590</v>
      </c>
      <c r="W500" s="2602"/>
      <c r="X500" s="2602"/>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02" t="s">
        <v>590</v>
      </c>
      <c r="W505" s="2602"/>
      <c r="X505" s="2602"/>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88"/>
      <c r="E508" s="2588"/>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02" t="s">
        <v>590</v>
      </c>
      <c r="W509" s="2602"/>
      <c r="X509" s="2602"/>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02" t="s">
        <v>590</v>
      </c>
      <c r="W511" s="2602"/>
      <c r="X511" s="2602"/>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5" t="s">
        <v>590</v>
      </c>
      <c r="D514" s="2516"/>
      <c r="E514" s="757" t="s">
        <v>506</v>
      </c>
      <c r="F514" s="2517" t="s">
        <v>1507</v>
      </c>
      <c r="G514" s="2517"/>
      <c r="H514" s="2517"/>
      <c r="I514" s="2517"/>
      <c r="J514" s="2517"/>
      <c r="K514" s="2517"/>
      <c r="L514" s="2517"/>
      <c r="M514" s="2517"/>
      <c r="N514" s="2517"/>
      <c r="O514" s="2517"/>
      <c r="P514" s="2517"/>
      <c r="Q514" s="2517"/>
      <c r="R514" s="2517"/>
      <c r="S514" s="2517"/>
      <c r="T514" s="2517"/>
      <c r="U514" s="2517"/>
      <c r="V514" s="2517"/>
      <c r="W514" s="2517"/>
      <c r="X514" s="2517"/>
      <c r="Y514" s="2517"/>
      <c r="Z514" s="2517"/>
      <c r="AA514" s="2517"/>
      <c r="AB514" s="2517"/>
      <c r="AC514" s="2517"/>
      <c r="AD514" s="2517"/>
      <c r="AE514" s="2517"/>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18"/>
      <c r="G515" s="2518"/>
      <c r="H515" s="2518"/>
      <c r="I515" s="2518"/>
      <c r="J515" s="2518"/>
      <c r="K515" s="2518"/>
      <c r="L515" s="2518"/>
      <c r="M515" s="2518"/>
      <c r="N515" s="2518"/>
      <c r="O515" s="2518"/>
      <c r="P515" s="2518"/>
      <c r="Q515" s="2518"/>
      <c r="R515" s="2518"/>
      <c r="S515" s="2518"/>
      <c r="T515" s="2518"/>
      <c r="U515" s="2518"/>
      <c r="V515" s="2518"/>
      <c r="W515" s="2518"/>
      <c r="X515" s="2518"/>
      <c r="Y515" s="2518"/>
      <c r="Z515" s="2518"/>
      <c r="AA515" s="2518"/>
      <c r="AB515" s="2518"/>
      <c r="AC515" s="2518"/>
      <c r="AD515" s="2518"/>
      <c r="AE515" s="2518"/>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09" t="s">
        <v>590</v>
      </c>
      <c r="G516" s="2609"/>
      <c r="H516" s="2609"/>
      <c r="I516" s="2609"/>
      <c r="J516" s="2609"/>
      <c r="K516" s="2609"/>
      <c r="L516" s="2609"/>
      <c r="M516" s="2609"/>
      <c r="N516" s="2609"/>
      <c r="O516" s="2609"/>
      <c r="P516" s="2609"/>
      <c r="Q516" s="2609"/>
      <c r="R516" s="2609"/>
      <c r="S516" s="2609"/>
      <c r="T516" s="2609"/>
      <c r="U516" s="2609"/>
      <c r="V516" s="2609"/>
      <c r="W516" s="2609"/>
      <c r="X516" s="2609"/>
      <c r="Y516" s="2609"/>
      <c r="Z516" s="2609"/>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5" t="s">
        <v>590</v>
      </c>
      <c r="D518" s="2516"/>
      <c r="E518" s="757" t="s">
        <v>756</v>
      </c>
      <c r="F518" s="2610" t="s">
        <v>1529</v>
      </c>
      <c r="G518" s="2610"/>
      <c r="H518" s="2610"/>
      <c r="I518" s="2610"/>
      <c r="J518" s="2610"/>
      <c r="K518" s="2610"/>
      <c r="L518" s="2610"/>
      <c r="M518" s="2610"/>
      <c r="N518" s="2610"/>
      <c r="O518" s="2610"/>
      <c r="P518" s="2610"/>
      <c r="Q518" s="2610"/>
      <c r="R518" s="2610"/>
      <c r="S518" s="2610"/>
      <c r="T518" s="2610"/>
      <c r="U518" s="2610"/>
      <c r="V518" s="2610"/>
      <c r="W518" s="2610"/>
      <c r="X518" s="2610"/>
      <c r="Y518" s="2610"/>
      <c r="Z518" s="2610"/>
      <c r="AA518" s="2610"/>
      <c r="AB518" s="2610"/>
      <c r="AC518" s="2610"/>
      <c r="AD518" s="2610"/>
      <c r="AE518" s="2610"/>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1"/>
      <c r="G519" s="2611"/>
      <c r="H519" s="2611"/>
      <c r="I519" s="2611"/>
      <c r="J519" s="2611"/>
      <c r="K519" s="2611"/>
      <c r="L519" s="2611"/>
      <c r="M519" s="2611"/>
      <c r="N519" s="2611"/>
      <c r="O519" s="2611"/>
      <c r="P519" s="2611"/>
      <c r="Q519" s="2611"/>
      <c r="R519" s="2611"/>
      <c r="S519" s="2611"/>
      <c r="T519" s="2611"/>
      <c r="U519" s="2611"/>
      <c r="V519" s="2611"/>
      <c r="W519" s="2611"/>
      <c r="X519" s="2611"/>
      <c r="Y519" s="2611"/>
      <c r="Z519" s="2611"/>
      <c r="AA519" s="2611"/>
      <c r="AB519" s="2611"/>
      <c r="AC519" s="2611"/>
      <c r="AD519" s="2611"/>
      <c r="AE519" s="2611"/>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612" t="s">
        <v>590</v>
      </c>
      <c r="G521" s="2612"/>
      <c r="H521" s="2612"/>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515" t="s">
        <v>590</v>
      </c>
      <c r="D523" s="2516"/>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587"/>
      <c r="D525" s="2588"/>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89" t="s">
        <v>590</v>
      </c>
      <c r="H526" s="2589"/>
      <c r="I526" s="2589"/>
      <c r="J526" s="2589"/>
      <c r="K526" s="2589"/>
      <c r="L526" s="2589"/>
      <c r="M526" s="2589"/>
      <c r="N526" s="2589"/>
      <c r="O526" s="2589"/>
      <c r="P526" s="2589"/>
      <c r="Q526" s="2589"/>
      <c r="R526" s="2589"/>
      <c r="S526" s="2589"/>
      <c r="T526" s="2589"/>
      <c r="U526" s="2589"/>
      <c r="V526" s="2589"/>
      <c r="W526" s="2589"/>
      <c r="X526" s="2589"/>
      <c r="Y526" s="2589"/>
      <c r="Z526" s="2589"/>
      <c r="AA526" s="2589"/>
      <c r="AB526" s="2589"/>
      <c r="AC526" s="2589"/>
      <c r="AD526" s="2589"/>
      <c r="AE526" s="2589"/>
      <c r="AF526" s="2589"/>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0" t="s">
        <v>590</v>
      </c>
      <c r="D528" s="2591"/>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0" t="s">
        <v>590</v>
      </c>
      <c r="D532" s="2591"/>
      <c r="F532" s="791" t="s">
        <v>1537</v>
      </c>
      <c r="G532" s="2384" t="s">
        <v>1538</v>
      </c>
      <c r="H532" s="2384"/>
      <c r="I532" s="2384"/>
      <c r="J532" s="2384"/>
      <c r="K532" s="2384"/>
      <c r="L532" s="2384"/>
      <c r="M532" s="2384"/>
      <c r="N532" s="2384"/>
      <c r="O532" s="2384"/>
      <c r="P532" s="2384"/>
      <c r="Q532" s="2384"/>
      <c r="R532" s="2384"/>
      <c r="S532" s="2384"/>
      <c r="T532" s="2384"/>
      <c r="U532" s="2384"/>
      <c r="V532" s="2384"/>
      <c r="W532" s="2384"/>
      <c r="X532" s="2384"/>
      <c r="Y532" s="2384"/>
      <c r="Z532" s="2384"/>
      <c r="AA532" s="2384"/>
      <c r="AB532" s="2384"/>
      <c r="AC532" s="2384"/>
      <c r="AD532" s="2384"/>
      <c r="AE532" s="2384"/>
      <c r="AF532" s="2384"/>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0"/>
      <c r="H533" s="2540"/>
      <c r="I533" s="2540"/>
      <c r="J533" s="2540"/>
      <c r="K533" s="2540"/>
      <c r="L533" s="2540"/>
      <c r="M533" s="2540"/>
      <c r="N533" s="2540"/>
      <c r="O533" s="2540"/>
      <c r="P533" s="2540"/>
      <c r="Q533" s="2540"/>
      <c r="R533" s="2540"/>
      <c r="S533" s="2540"/>
      <c r="T533" s="2540"/>
      <c r="U533" s="2540"/>
      <c r="V533" s="2540"/>
      <c r="W533" s="2540"/>
      <c r="X533" s="2540"/>
      <c r="Y533" s="2540"/>
      <c r="Z533" s="2540"/>
      <c r="AA533" s="2540"/>
      <c r="AB533" s="2540"/>
      <c r="AC533" s="2540"/>
      <c r="AD533" s="2540"/>
      <c r="AE533" s="2540"/>
      <c r="AF533" s="254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2" t="s">
        <v>590</v>
      </c>
      <c r="D536" s="2593"/>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4" t="s">
        <v>590</v>
      </c>
      <c r="G537" s="2594"/>
      <c r="H537" s="2594"/>
      <c r="I537" s="2594"/>
      <c r="J537" s="2594"/>
      <c r="K537" s="2594"/>
      <c r="L537" s="2594"/>
      <c r="M537" s="2594"/>
      <c r="N537" s="2594"/>
      <c r="O537" s="2594"/>
      <c r="P537" s="2594"/>
      <c r="Q537" s="2594"/>
      <c r="R537" s="2594"/>
      <c r="S537" s="2594"/>
      <c r="T537" s="2594"/>
      <c r="U537" s="2594"/>
      <c r="V537" s="2594"/>
      <c r="W537" s="2594"/>
      <c r="X537" s="2594"/>
      <c r="Y537" s="2594"/>
      <c r="Z537" s="2594"/>
      <c r="AA537" s="2594"/>
      <c r="AB537" s="2594"/>
      <c r="AC537" s="2594"/>
      <c r="AD537" s="2594"/>
      <c r="AE537" s="2594"/>
      <c r="AF537" s="2594"/>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5"/>
      <c r="G538" s="2595"/>
      <c r="H538" s="2595"/>
      <c r="I538" s="2595"/>
      <c r="J538" s="2595"/>
      <c r="K538" s="2595"/>
      <c r="L538" s="2595"/>
      <c r="M538" s="2595"/>
      <c r="N538" s="2595"/>
      <c r="O538" s="2595"/>
      <c r="P538" s="2595"/>
      <c r="Q538" s="2595"/>
      <c r="R538" s="2595"/>
      <c r="S538" s="2595"/>
      <c r="T538" s="2595"/>
      <c r="U538" s="2595"/>
      <c r="V538" s="2595"/>
      <c r="W538" s="2595"/>
      <c r="X538" s="2595"/>
      <c r="Y538" s="2595"/>
      <c r="Z538" s="2595"/>
      <c r="AA538" s="2595"/>
      <c r="AB538" s="2595"/>
      <c r="AC538" s="2595"/>
      <c r="AD538" s="2595"/>
      <c r="AE538" s="2595"/>
      <c r="AF538" s="2595"/>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71">
        <f>SUM(AG492:AG537)</f>
        <v>0</v>
      </c>
      <c r="AL548" s="2472"/>
      <c r="AM548" s="2473"/>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3" t="s">
        <v>1550</v>
      </c>
      <c r="AF551" s="2413"/>
      <c r="AG551" s="2413"/>
      <c r="AH551" s="2413"/>
      <c r="AI551" s="2413"/>
      <c r="AJ551" s="2413"/>
      <c r="AK551" s="2413"/>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68" t="s">
        <v>544</v>
      </c>
      <c r="D554" s="2468"/>
      <c r="E554" s="550"/>
      <c r="F554" s="2519" t="s">
        <v>1551</v>
      </c>
      <c r="G554" s="2520"/>
      <c r="H554" s="2520"/>
      <c r="I554" s="2520"/>
      <c r="J554" s="2520"/>
      <c r="K554" s="2520"/>
      <c r="L554" s="2520"/>
      <c r="M554" s="2520"/>
      <c r="N554" s="2520"/>
      <c r="O554" s="2520"/>
      <c r="P554" s="2520"/>
      <c r="Q554" s="2520"/>
      <c r="R554" s="2520"/>
      <c r="S554" s="2520"/>
      <c r="T554" s="2520"/>
      <c r="U554" s="2520"/>
      <c r="V554" s="2520"/>
      <c r="W554" s="2520"/>
      <c r="X554" s="2520"/>
      <c r="Y554" s="2520"/>
      <c r="Z554" s="2520"/>
      <c r="AA554" s="2520"/>
      <c r="AB554" s="2520"/>
      <c r="AC554" s="2520"/>
      <c r="AD554" s="2520"/>
      <c r="AE554" s="2520"/>
      <c r="AF554" s="2520"/>
      <c r="AG554" s="2520"/>
      <c r="AH554" s="2520"/>
      <c r="AI554" s="2520"/>
      <c r="AJ554" s="2520"/>
      <c r="AK554" s="2520"/>
      <c r="AL554" s="2521"/>
      <c r="AM554" s="593"/>
      <c r="AN554" s="595"/>
    </row>
    <row r="555" spans="1:81" s="549" customFormat="1" ht="12.75" customHeight="1">
      <c r="B555" s="539"/>
      <c r="C555" s="550"/>
      <c r="D555" s="550"/>
      <c r="E555" s="550"/>
      <c r="F555" s="2522"/>
      <c r="G555" s="2523"/>
      <c r="H555" s="2523"/>
      <c r="I555" s="2523"/>
      <c r="J555" s="2523"/>
      <c r="K555" s="2523"/>
      <c r="L555" s="2523"/>
      <c r="M555" s="2523"/>
      <c r="N555" s="2523"/>
      <c r="O555" s="2523"/>
      <c r="P555" s="2523"/>
      <c r="Q555" s="2523"/>
      <c r="R555" s="2523"/>
      <c r="S555" s="2523"/>
      <c r="T555" s="2523"/>
      <c r="U555" s="2523"/>
      <c r="V555" s="2523"/>
      <c r="W555" s="2523"/>
      <c r="X555" s="2523"/>
      <c r="Y555" s="2523"/>
      <c r="Z555" s="2523"/>
      <c r="AA555" s="2523"/>
      <c r="AB555" s="2523"/>
      <c r="AC555" s="2523"/>
      <c r="AD555" s="2523"/>
      <c r="AE555" s="2523"/>
      <c r="AF555" s="2523"/>
      <c r="AG555" s="2523"/>
      <c r="AH555" s="2523"/>
      <c r="AI555" s="2523"/>
      <c r="AJ555" s="2523"/>
      <c r="AK555" s="2523"/>
      <c r="AL555" s="252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68" t="s">
        <v>590</v>
      </c>
      <c r="D557" s="2468"/>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2" t="s">
        <v>2627</v>
      </c>
      <c r="G558" s="2463"/>
      <c r="H558" s="2463"/>
      <c r="I558" s="2463"/>
      <c r="J558" s="2463"/>
      <c r="K558" s="2463"/>
      <c r="L558" s="2463"/>
      <c r="M558" s="2463"/>
      <c r="N558" s="2463"/>
      <c r="O558" s="2463"/>
      <c r="P558" s="2463"/>
      <c r="Q558" s="2463"/>
      <c r="R558" s="2463"/>
      <c r="S558" s="2463"/>
      <c r="T558" s="2463"/>
      <c r="U558" s="2463"/>
      <c r="V558" s="2463"/>
      <c r="W558" s="2463"/>
      <c r="X558" s="2463"/>
      <c r="Y558" s="2463"/>
      <c r="Z558" s="2463"/>
      <c r="AA558" s="2463"/>
      <c r="AB558" s="2463"/>
      <c r="AC558" s="2463"/>
      <c r="AD558" s="2463"/>
      <c r="AE558" s="2463"/>
      <c r="AF558" s="2463"/>
      <c r="AG558" s="2463"/>
      <c r="AH558" s="2463"/>
      <c r="AI558" s="2463"/>
      <c r="AJ558" s="2463"/>
      <c r="AK558" s="2463"/>
      <c r="AL558" s="2464"/>
      <c r="AM558" s="593"/>
      <c r="AN558" s="595"/>
      <c r="AS558" s="866"/>
      <c r="AT558" s="866"/>
      <c r="AU558" s="866"/>
      <c r="AV558" s="866"/>
      <c r="AW558" s="866"/>
    </row>
    <row r="559" spans="1:81" s="549" customFormat="1" ht="12.75" customHeight="1">
      <c r="B559" s="802"/>
      <c r="C559" s="802"/>
      <c r="D559" s="802"/>
      <c r="E559" s="802"/>
      <c r="F559" s="2462"/>
      <c r="G559" s="2463"/>
      <c r="H559" s="2463"/>
      <c r="I559" s="2463"/>
      <c r="J559" s="2463"/>
      <c r="K559" s="2463"/>
      <c r="L559" s="2463"/>
      <c r="M559" s="2463"/>
      <c r="N559" s="2463"/>
      <c r="O559" s="2463"/>
      <c r="P559" s="2463"/>
      <c r="Q559" s="2463"/>
      <c r="R559" s="2463"/>
      <c r="S559" s="2463"/>
      <c r="T559" s="2463"/>
      <c r="U559" s="2463"/>
      <c r="V559" s="2463"/>
      <c r="W559" s="2463"/>
      <c r="X559" s="2463"/>
      <c r="Y559" s="2463"/>
      <c r="Z559" s="2463"/>
      <c r="AA559" s="2463"/>
      <c r="AB559" s="2463"/>
      <c r="AC559" s="2463"/>
      <c r="AD559" s="2463"/>
      <c r="AE559" s="2463"/>
      <c r="AF559" s="2463"/>
      <c r="AG559" s="2463"/>
      <c r="AH559" s="2463"/>
      <c r="AI559" s="2463"/>
      <c r="AJ559" s="2463"/>
      <c r="AK559" s="2463"/>
      <c r="AL559" s="2464"/>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2" t="s">
        <v>1553</v>
      </c>
      <c r="G561" s="2463"/>
      <c r="H561" s="2463"/>
      <c r="I561" s="2463"/>
      <c r="J561" s="2463"/>
      <c r="K561" s="2463"/>
      <c r="L561" s="2463"/>
      <c r="M561" s="2463"/>
      <c r="N561" s="2463"/>
      <c r="O561" s="2463"/>
      <c r="P561" s="2463"/>
      <c r="Q561" s="2463"/>
      <c r="R561" s="2463"/>
      <c r="S561" s="2463"/>
      <c r="T561" s="2463"/>
      <c r="U561" s="2463"/>
      <c r="V561" s="2463"/>
      <c r="W561" s="2463"/>
      <c r="X561" s="2463"/>
      <c r="Y561" s="2463"/>
      <c r="Z561" s="2463"/>
      <c r="AA561" s="2463"/>
      <c r="AB561" s="2463"/>
      <c r="AC561" s="2463"/>
      <c r="AD561" s="2463"/>
      <c r="AE561" s="2463"/>
      <c r="AF561" s="2463"/>
      <c r="AG561" s="2463"/>
      <c r="AH561" s="2463"/>
      <c r="AI561" s="2463"/>
      <c r="AJ561" s="2463"/>
      <c r="AK561" s="2463"/>
      <c r="AL561" s="809"/>
      <c r="AM561" s="593"/>
      <c r="AN561" s="595"/>
    </row>
    <row r="562" spans="1:45" s="549" customFormat="1" ht="12.75" customHeight="1">
      <c r="B562" s="802"/>
      <c r="C562" s="802"/>
      <c r="D562" s="802"/>
      <c r="E562" s="802"/>
      <c r="F562" s="2465"/>
      <c r="G562" s="2466"/>
      <c r="H562" s="2466"/>
      <c r="I562" s="2466"/>
      <c r="J562" s="2466"/>
      <c r="K562" s="2466"/>
      <c r="L562" s="2466"/>
      <c r="M562" s="2466"/>
      <c r="N562" s="2466"/>
      <c r="O562" s="2466"/>
      <c r="P562" s="2466"/>
      <c r="Q562" s="2466"/>
      <c r="R562" s="2466"/>
      <c r="S562" s="2466"/>
      <c r="T562" s="2466"/>
      <c r="U562" s="2466"/>
      <c r="V562" s="2466"/>
      <c r="W562" s="2466"/>
      <c r="X562" s="2466"/>
      <c r="Y562" s="2466"/>
      <c r="Z562" s="2466"/>
      <c r="AA562" s="2466"/>
      <c r="AB562" s="2466"/>
      <c r="AC562" s="2466"/>
      <c r="AD562" s="2466"/>
      <c r="AE562" s="2466"/>
      <c r="AF562" s="2466"/>
      <c r="AG562" s="2466"/>
      <c r="AH562" s="2466"/>
      <c r="AI562" s="2466"/>
      <c r="AJ562" s="2466"/>
      <c r="AK562" s="2466"/>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1">
        <f>Application!AJ1001</f>
        <v>30890500</v>
      </c>
      <c r="AQ563" s="2601"/>
      <c r="AR563" s="2601"/>
      <c r="AS563" s="549" t="s">
        <v>2123</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4">
        <f>'Sources and Uses Budget'!S107+'Sources and Uses Budget'!T107</f>
        <v>27883230</v>
      </c>
      <c r="AG564" s="2474"/>
      <c r="AH564" s="2474"/>
      <c r="AI564" s="2474"/>
      <c r="AJ564" s="2474"/>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5">
        <f>IFERROR(AP572,0)</f>
        <v>58691950</v>
      </c>
      <c r="AG565" s="2605"/>
      <c r="AH565" s="2605"/>
      <c r="AI565" s="2605"/>
      <c r="AJ565" s="2605"/>
      <c r="AK565" s="593"/>
      <c r="AL565" s="593"/>
      <c r="AM565" s="593"/>
      <c r="AN565" s="595"/>
      <c r="AP565" s="2601">
        <f>Application!AJ1054</f>
        <v>15445250</v>
      </c>
      <c r="AQ565" s="2601"/>
      <c r="AR565" s="2601"/>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06">
        <f>IFERROR(ROUNDDOWN(IF(C557="YES",((1-(AF564/AF565))*2),(1-(AF564/AF565))),2),0)</f>
        <v>0.52</v>
      </c>
      <c r="AG566" s="2606"/>
      <c r="AH566" s="2606"/>
      <c r="AI566" s="2606"/>
      <c r="AJ566" s="2606"/>
      <c r="AK566" s="593"/>
      <c r="AL566" s="593"/>
      <c r="AM566" s="593"/>
      <c r="AN566" s="595"/>
      <c r="AP566" s="2621">
        <f>Application!AJ1058</f>
        <v>30890500</v>
      </c>
      <c r="AQ566" s="2621"/>
      <c r="AR566" s="2621"/>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0">
        <f>IF(((AP565+AP566)/AP563)&gt;0.8,0.8,((AP565+AP566)/AP563))</f>
        <v>0.8</v>
      </c>
      <c r="AQ567" s="2600"/>
      <c r="AR567" s="2600"/>
      <c r="AS567" s="549" t="s">
        <v>2125</v>
      </c>
    </row>
    <row r="568" spans="1:45" s="549" customFormat="1" ht="12.75" customHeight="1">
      <c r="A568" s="622"/>
      <c r="B568" s="2547" t="s">
        <v>1992</v>
      </c>
      <c r="C568" s="2548"/>
      <c r="D568" s="2548"/>
      <c r="E568" s="2548"/>
      <c r="F568" s="2548"/>
      <c r="G568" s="2548"/>
      <c r="H568" s="2548"/>
      <c r="I568" s="2548"/>
      <c r="J568" s="2548"/>
      <c r="K568" s="2548"/>
      <c r="L568" s="2548"/>
      <c r="M568" s="2548"/>
      <c r="N568" s="2548"/>
      <c r="O568" s="2548"/>
      <c r="P568" s="2548"/>
      <c r="Q568" s="2548"/>
      <c r="R568" s="2548"/>
      <c r="S568" s="2548"/>
      <c r="T568" s="2548"/>
      <c r="U568" s="2548"/>
      <c r="V568" s="2548"/>
      <c r="W568" s="2548"/>
      <c r="X568" s="2548"/>
      <c r="Y568" s="2548"/>
      <c r="Z568" s="2548"/>
      <c r="AA568" s="2548"/>
      <c r="AB568" s="2548"/>
      <c r="AC568" s="2548"/>
      <c r="AD568" s="2548"/>
      <c r="AE568" s="2548"/>
      <c r="AF568" s="2548"/>
      <c r="AG568" s="2548"/>
      <c r="AH568" s="2548"/>
      <c r="AI568" s="2548"/>
      <c r="AJ568" s="2549"/>
      <c r="AK568" s="593"/>
      <c r="AL568" s="593"/>
      <c r="AM568" s="593"/>
      <c r="AN568" s="595"/>
    </row>
    <row r="569" spans="1:45" s="549" customFormat="1" ht="12.75" customHeight="1">
      <c r="A569" s="622"/>
      <c r="B569" s="2550"/>
      <c r="C569" s="2551"/>
      <c r="D569" s="2551"/>
      <c r="E569" s="2551"/>
      <c r="F569" s="2551"/>
      <c r="G569" s="2551"/>
      <c r="H569" s="2551"/>
      <c r="I569" s="2551"/>
      <c r="J569" s="2551"/>
      <c r="K569" s="2551"/>
      <c r="L569" s="2551"/>
      <c r="M569" s="2551"/>
      <c r="N569" s="2551"/>
      <c r="O569" s="2551"/>
      <c r="P569" s="2551"/>
      <c r="Q569" s="2551"/>
      <c r="R569" s="2551"/>
      <c r="S569" s="2551"/>
      <c r="T569" s="2551"/>
      <c r="U569" s="2551"/>
      <c r="V569" s="2551"/>
      <c r="W569" s="2551"/>
      <c r="X569" s="2551"/>
      <c r="Y569" s="2551"/>
      <c r="Z569" s="2551"/>
      <c r="AA569" s="2551"/>
      <c r="AB569" s="2551"/>
      <c r="AC569" s="2551"/>
      <c r="AD569" s="2551"/>
      <c r="AE569" s="2551"/>
      <c r="AF569" s="2551"/>
      <c r="AG569" s="2551"/>
      <c r="AH569" s="2551"/>
      <c r="AI569" s="2551"/>
      <c r="AJ569" s="2552"/>
      <c r="AK569" s="593"/>
      <c r="AL569" s="593"/>
      <c r="AM569" s="593"/>
      <c r="AN569" s="595"/>
      <c r="AP569" s="2601">
        <f>AP570-AP565-AP566</f>
        <v>33979550</v>
      </c>
      <c r="AQ569" s="2532"/>
      <c r="AR569" s="2532"/>
      <c r="AS569" s="549" t="s">
        <v>2127</v>
      </c>
    </row>
    <row r="570" spans="1:45" s="549" customFormat="1" ht="12.75" customHeight="1">
      <c r="A570" s="622"/>
      <c r="B570" s="2553"/>
      <c r="C570" s="2554"/>
      <c r="D570" s="2554"/>
      <c r="E570" s="2554"/>
      <c r="F570" s="2554"/>
      <c r="G570" s="2554"/>
      <c r="H570" s="2554"/>
      <c r="I570" s="2554"/>
      <c r="J570" s="2554"/>
      <c r="K570" s="2554"/>
      <c r="L570" s="2554"/>
      <c r="M570" s="2554"/>
      <c r="N570" s="2554"/>
      <c r="O570" s="2554"/>
      <c r="P570" s="2554"/>
      <c r="Q570" s="2554"/>
      <c r="R570" s="2554"/>
      <c r="S570" s="2554"/>
      <c r="T570" s="2554"/>
      <c r="U570" s="2554"/>
      <c r="V570" s="2554"/>
      <c r="W570" s="2554"/>
      <c r="X570" s="2554"/>
      <c r="Y570" s="2554"/>
      <c r="Z570" s="2554"/>
      <c r="AA570" s="2554"/>
      <c r="AB570" s="2554"/>
      <c r="AC570" s="2554"/>
      <c r="AD570" s="2554"/>
      <c r="AE570" s="2554"/>
      <c r="AF570" s="2554"/>
      <c r="AG570" s="2554"/>
      <c r="AH570" s="2554"/>
      <c r="AI570" s="2554"/>
      <c r="AJ570" s="2555"/>
      <c r="AK570" s="593"/>
      <c r="AL570" s="593"/>
      <c r="AM570" s="593"/>
      <c r="AN570" s="595"/>
      <c r="AP570" s="2601">
        <f>Application!AJ1062</f>
        <v>80315300</v>
      </c>
      <c r="AQ570" s="2601"/>
      <c r="AR570" s="2601"/>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56">
        <f>IFERROR(IF(AND(C554="N/A",C557="N/A"),0,IF(AF566=0,0,IF((AF566*100)&gt;12,12,(AF566*100)))),0)</f>
        <v>12</v>
      </c>
      <c r="AL572" s="2556"/>
      <c r="AM572" s="2557"/>
      <c r="AN572" s="595"/>
      <c r="AP572" s="2614">
        <f>AP569+(AP563*AP567)</f>
        <v>58691950</v>
      </c>
      <c r="AQ572" s="2615"/>
      <c r="AR572" s="2616"/>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2570</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3" t="s">
        <v>1307</v>
      </c>
      <c r="AF575" s="2413"/>
      <c r="AG575" s="2413"/>
      <c r="AH575" s="2413"/>
      <c r="AI575" s="2413"/>
      <c r="AJ575" s="2413"/>
      <c r="AK575" s="2413"/>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3" t="s">
        <v>1984</v>
      </c>
      <c r="C577" s="2463"/>
      <c r="D577" s="2463"/>
      <c r="E577" s="2463"/>
      <c r="F577" s="2463"/>
      <c r="G577" s="2463"/>
      <c r="H577" s="2463"/>
      <c r="I577" s="2463"/>
      <c r="J577" s="2463"/>
      <c r="K577" s="2463"/>
      <c r="L577" s="2463"/>
      <c r="M577" s="2463"/>
      <c r="N577" s="2463"/>
      <c r="O577" s="2463"/>
      <c r="P577" s="2463"/>
      <c r="Q577" s="2463"/>
      <c r="R577" s="2463"/>
      <c r="S577" s="2463"/>
      <c r="T577" s="2463"/>
      <c r="U577" s="2463"/>
      <c r="V577" s="2463"/>
      <c r="W577" s="2463"/>
      <c r="X577" s="2463"/>
      <c r="Y577" s="2463"/>
      <c r="Z577" s="2463"/>
      <c r="AA577" s="2463"/>
      <c r="AB577" s="2463"/>
      <c r="AC577" s="2463"/>
      <c r="AD577" s="2463"/>
      <c r="AE577" s="2463"/>
      <c r="AF577" s="2463"/>
      <c r="AG577" s="2463"/>
      <c r="AH577" s="2463"/>
      <c r="AI577" s="2463"/>
      <c r="AJ577" s="2463"/>
      <c r="AK577" s="640"/>
      <c r="AL577" s="571"/>
      <c r="AM577" s="601"/>
      <c r="AN577" s="595"/>
    </row>
    <row r="578" spans="1:42" s="549" customFormat="1" ht="12.75" customHeight="1">
      <c r="A578" s="601"/>
      <c r="B578" s="2463"/>
      <c r="C578" s="2463"/>
      <c r="D578" s="2463"/>
      <c r="E578" s="2463"/>
      <c r="F578" s="2463"/>
      <c r="G578" s="2463"/>
      <c r="H578" s="2463"/>
      <c r="I578" s="2463"/>
      <c r="J578" s="2463"/>
      <c r="K578" s="2463"/>
      <c r="L578" s="2463"/>
      <c r="M578" s="2463"/>
      <c r="N578" s="2463"/>
      <c r="O578" s="2463"/>
      <c r="P578" s="2463"/>
      <c r="Q578" s="2463"/>
      <c r="R578" s="2463"/>
      <c r="S578" s="2463"/>
      <c r="T578" s="2463"/>
      <c r="U578" s="2463"/>
      <c r="V578" s="2463"/>
      <c r="W578" s="2463"/>
      <c r="X578" s="2463"/>
      <c r="Y578" s="2463"/>
      <c r="Z578" s="2463"/>
      <c r="AA578" s="2463"/>
      <c r="AB578" s="2463"/>
      <c r="AC578" s="2463"/>
      <c r="AD578" s="2463"/>
      <c r="AE578" s="2463"/>
      <c r="AF578" s="2463"/>
      <c r="AG578" s="2463"/>
      <c r="AH578" s="2463"/>
      <c r="AI578" s="2463"/>
      <c r="AJ578" s="2463"/>
      <c r="AK578" s="640"/>
      <c r="AL578" s="571"/>
      <c r="AM578" s="601"/>
      <c r="AN578" s="595"/>
    </row>
    <row r="579" spans="1:42" s="549" customFormat="1" ht="12.75" customHeight="1">
      <c r="A579" s="601"/>
      <c r="B579" s="2463"/>
      <c r="C579" s="2463"/>
      <c r="D579" s="2463"/>
      <c r="E579" s="2463"/>
      <c r="F579" s="2463"/>
      <c r="G579" s="2463"/>
      <c r="H579" s="2463"/>
      <c r="I579" s="2463"/>
      <c r="J579" s="2463"/>
      <c r="K579" s="2463"/>
      <c r="L579" s="2463"/>
      <c r="M579" s="2463"/>
      <c r="N579" s="2463"/>
      <c r="O579" s="2463"/>
      <c r="P579" s="2463"/>
      <c r="Q579" s="2463"/>
      <c r="R579" s="2463"/>
      <c r="S579" s="2463"/>
      <c r="T579" s="2463"/>
      <c r="U579" s="2463"/>
      <c r="V579" s="2463"/>
      <c r="W579" s="2463"/>
      <c r="X579" s="2463"/>
      <c r="Y579" s="2463"/>
      <c r="Z579" s="2463"/>
      <c r="AA579" s="2463"/>
      <c r="AB579" s="2463"/>
      <c r="AC579" s="2463"/>
      <c r="AD579" s="2463"/>
      <c r="AE579" s="2463"/>
      <c r="AF579" s="2463"/>
      <c r="AG579" s="2463"/>
      <c r="AH579" s="2463"/>
      <c r="AI579" s="2463"/>
      <c r="AJ579" s="2463"/>
      <c r="AK579" s="640"/>
      <c r="AL579" s="571"/>
      <c r="AM579" s="601"/>
      <c r="AN579" s="595"/>
    </row>
    <row r="580" spans="1:42" s="549" customFormat="1" ht="12.75" customHeight="1">
      <c r="A580" s="601"/>
      <c r="B580" s="2463"/>
      <c r="C580" s="2463"/>
      <c r="D580" s="2463"/>
      <c r="E580" s="2463"/>
      <c r="F580" s="2463"/>
      <c r="G580" s="2463"/>
      <c r="H580" s="2463"/>
      <c r="I580" s="2463"/>
      <c r="J580" s="2463"/>
      <c r="K580" s="2463"/>
      <c r="L580" s="2463"/>
      <c r="M580" s="2463"/>
      <c r="N580" s="2463"/>
      <c r="O580" s="2463"/>
      <c r="P580" s="2463"/>
      <c r="Q580" s="2463"/>
      <c r="R580" s="2463"/>
      <c r="S580" s="2463"/>
      <c r="T580" s="2463"/>
      <c r="U580" s="2463"/>
      <c r="V580" s="2463"/>
      <c r="W580" s="2463"/>
      <c r="X580" s="2463"/>
      <c r="Y580" s="2463"/>
      <c r="Z580" s="2463"/>
      <c r="AA580" s="2463"/>
      <c r="AB580" s="2463"/>
      <c r="AC580" s="2463"/>
      <c r="AD580" s="2463"/>
      <c r="AE580" s="2463"/>
      <c r="AF580" s="2463"/>
      <c r="AG580" s="2463"/>
      <c r="AH580" s="2463"/>
      <c r="AI580" s="2463"/>
      <c r="AJ580" s="2463"/>
      <c r="AK580" s="640"/>
      <c r="AL580" s="571"/>
      <c r="AM580" s="601"/>
      <c r="AN580" s="595"/>
    </row>
    <row r="581" spans="1:42" s="549" customFormat="1" ht="12.75" customHeight="1">
      <c r="A581" s="601"/>
      <c r="B581" s="2463"/>
      <c r="C581" s="2463"/>
      <c r="D581" s="2463"/>
      <c r="E581" s="2463"/>
      <c r="F581" s="2463"/>
      <c r="G581" s="2463"/>
      <c r="H581" s="2463"/>
      <c r="I581" s="2463"/>
      <c r="J581" s="2463"/>
      <c r="K581" s="2463"/>
      <c r="L581" s="2463"/>
      <c r="M581" s="2463"/>
      <c r="N581" s="2463"/>
      <c r="O581" s="2463"/>
      <c r="P581" s="2463"/>
      <c r="Q581" s="2463"/>
      <c r="R581" s="2463"/>
      <c r="S581" s="2463"/>
      <c r="T581" s="2463"/>
      <c r="U581" s="2463"/>
      <c r="V581" s="2463"/>
      <c r="W581" s="2463"/>
      <c r="X581" s="2463"/>
      <c r="Y581" s="2463"/>
      <c r="Z581" s="2463"/>
      <c r="AA581" s="2463"/>
      <c r="AB581" s="2463"/>
      <c r="AC581" s="2463"/>
      <c r="AD581" s="2463"/>
      <c r="AE581" s="2463"/>
      <c r="AF581" s="2463"/>
      <c r="AG581" s="2463"/>
      <c r="AH581" s="2463"/>
      <c r="AI581" s="2463"/>
      <c r="AJ581" s="2463"/>
      <c r="AK581" s="640"/>
      <c r="AL581" s="571"/>
      <c r="AM581" s="601"/>
      <c r="AN581" s="595"/>
    </row>
    <row r="582" spans="1:42" s="549" customFormat="1" ht="12.75" customHeight="1">
      <c r="A582" s="601"/>
      <c r="B582" s="2463"/>
      <c r="C582" s="2463"/>
      <c r="D582" s="2463"/>
      <c r="E582" s="2463"/>
      <c r="F582" s="2463"/>
      <c r="G582" s="2463"/>
      <c r="H582" s="2463"/>
      <c r="I582" s="2463"/>
      <c r="J582" s="2463"/>
      <c r="K582" s="2463"/>
      <c r="L582" s="2463"/>
      <c r="M582" s="2463"/>
      <c r="N582" s="2463"/>
      <c r="O582" s="2463"/>
      <c r="P582" s="2463"/>
      <c r="Q582" s="2463"/>
      <c r="R582" s="2463"/>
      <c r="S582" s="2463"/>
      <c r="T582" s="2463"/>
      <c r="U582" s="2463"/>
      <c r="V582" s="2463"/>
      <c r="W582" s="2463"/>
      <c r="X582" s="2463"/>
      <c r="Y582" s="2463"/>
      <c r="Z582" s="2463"/>
      <c r="AA582" s="2463"/>
      <c r="AB582" s="2463"/>
      <c r="AC582" s="2463"/>
      <c r="AD582" s="2463"/>
      <c r="AE582" s="2463"/>
      <c r="AF582" s="2463"/>
      <c r="AG582" s="2463"/>
      <c r="AH582" s="2463"/>
      <c r="AI582" s="2463"/>
      <c r="AJ582" s="2463"/>
      <c r="AK582" s="640"/>
      <c r="AL582" s="571"/>
      <c r="AM582" s="601"/>
      <c r="AN582" s="595"/>
    </row>
    <row r="583" spans="1:42" s="549" customFormat="1" ht="12.75" customHeight="1">
      <c r="A583" s="601"/>
      <c r="B583" s="2463"/>
      <c r="C583" s="2463"/>
      <c r="D583" s="2463"/>
      <c r="E583" s="2463"/>
      <c r="F583" s="2463"/>
      <c r="G583" s="2463"/>
      <c r="H583" s="2463"/>
      <c r="I583" s="2463"/>
      <c r="J583" s="2463"/>
      <c r="K583" s="2463"/>
      <c r="L583" s="2463"/>
      <c r="M583" s="2463"/>
      <c r="N583" s="2463"/>
      <c r="O583" s="2463"/>
      <c r="P583" s="2463"/>
      <c r="Q583" s="2463"/>
      <c r="R583" s="2463"/>
      <c r="S583" s="2463"/>
      <c r="T583" s="2463"/>
      <c r="U583" s="2463"/>
      <c r="V583" s="2463"/>
      <c r="W583" s="2463"/>
      <c r="X583" s="2463"/>
      <c r="Y583" s="2463"/>
      <c r="Z583" s="2463"/>
      <c r="AA583" s="2463"/>
      <c r="AB583" s="2463"/>
      <c r="AC583" s="2463"/>
      <c r="AD583" s="2463"/>
      <c r="AE583" s="2463"/>
      <c r="AF583" s="2463"/>
      <c r="AG583" s="2463"/>
      <c r="AH583" s="2463"/>
      <c r="AI583" s="2463"/>
      <c r="AJ583" s="2463"/>
      <c r="AK583" s="640"/>
      <c r="AL583" s="571"/>
      <c r="AM583" s="601"/>
      <c r="AN583" s="595"/>
    </row>
    <row r="584" spans="1:42" ht="12.75" customHeight="1">
      <c r="A584" s="601"/>
      <c r="B584" s="2463"/>
      <c r="C584" s="2463"/>
      <c r="D584" s="2463"/>
      <c r="E584" s="2463"/>
      <c r="F584" s="2463"/>
      <c r="G584" s="2463"/>
      <c r="H584" s="2463"/>
      <c r="I584" s="2463"/>
      <c r="J584" s="2463"/>
      <c r="K584" s="2463"/>
      <c r="L584" s="2463"/>
      <c r="M584" s="2463"/>
      <c r="N584" s="2463"/>
      <c r="O584" s="2463"/>
      <c r="P584" s="2463"/>
      <c r="Q584" s="2463"/>
      <c r="R584" s="2463"/>
      <c r="S584" s="2463"/>
      <c r="T584" s="2463"/>
      <c r="U584" s="2463"/>
      <c r="V584" s="2463"/>
      <c r="W584" s="2463"/>
      <c r="X584" s="2463"/>
      <c r="Y584" s="2463"/>
      <c r="Z584" s="2463"/>
      <c r="AA584" s="2463"/>
      <c r="AB584" s="2463"/>
      <c r="AC584" s="2463"/>
      <c r="AD584" s="2463"/>
      <c r="AE584" s="2463"/>
      <c r="AF584" s="2463"/>
      <c r="AG584" s="2463"/>
      <c r="AH584" s="2463"/>
      <c r="AI584" s="2463"/>
      <c r="AJ584" s="2463"/>
      <c r="AK584" s="640"/>
      <c r="AL584" s="571"/>
      <c r="AM584" s="601"/>
    </row>
    <row r="585" spans="1:42" s="549" customFormat="1" ht="12.75" customHeight="1">
      <c r="B585" s="2463"/>
      <c r="C585" s="2463"/>
      <c r="D585" s="2463"/>
      <c r="E585" s="2463"/>
      <c r="F585" s="2463"/>
      <c r="G585" s="2463"/>
      <c r="H585" s="2463"/>
      <c r="I585" s="2463"/>
      <c r="J585" s="2463"/>
      <c r="K585" s="2463"/>
      <c r="L585" s="2463"/>
      <c r="M585" s="2463"/>
      <c r="N585" s="2463"/>
      <c r="O585" s="2463"/>
      <c r="P585" s="2463"/>
      <c r="Q585" s="2463"/>
      <c r="R585" s="2463"/>
      <c r="S585" s="2463"/>
      <c r="T585" s="2463"/>
      <c r="U585" s="2463"/>
      <c r="V585" s="2463"/>
      <c r="W585" s="2463"/>
      <c r="X585" s="2463"/>
      <c r="Y585" s="2463"/>
      <c r="Z585" s="2463"/>
      <c r="AA585" s="2463"/>
      <c r="AB585" s="2463"/>
      <c r="AC585" s="2463"/>
      <c r="AD585" s="2463"/>
      <c r="AE585" s="2463"/>
      <c r="AF585" s="2463"/>
      <c r="AG585" s="2463"/>
      <c r="AH585" s="2463"/>
      <c r="AI585" s="2463"/>
      <c r="AJ585" s="2463"/>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46" t="s">
        <v>1331</v>
      </c>
      <c r="AG591" s="2446"/>
      <c r="AH591" s="2446"/>
      <c r="AI591" s="2446"/>
      <c r="AJ591" s="2446"/>
      <c r="AK591" s="2446"/>
      <c r="AL591" s="2446"/>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46" t="s">
        <v>1387</v>
      </c>
      <c r="AG598" s="2446"/>
      <c r="AH598" s="2446"/>
      <c r="AI598" s="2446"/>
      <c r="AJ598" s="2446"/>
      <c r="AK598" s="2446"/>
      <c r="AL598" s="2446"/>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46" t="s">
        <v>1370</v>
      </c>
      <c r="AG604" s="2446"/>
      <c r="AH604" s="2446"/>
      <c r="AI604" s="2446"/>
      <c r="AJ604" s="2446"/>
      <c r="AK604" s="2446"/>
      <c r="AL604" s="2446"/>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46" t="s">
        <v>1390</v>
      </c>
      <c r="AG610" s="2446"/>
      <c r="AH610" s="2446"/>
      <c r="AI610" s="2446"/>
      <c r="AJ610" s="2446"/>
      <c r="AK610" s="2446"/>
      <c r="AL610" s="2446"/>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28" t="s">
        <v>1183</v>
      </c>
      <c r="P614" s="2528"/>
      <c r="Q614" s="2528"/>
      <c r="R614" s="2528"/>
      <c r="S614" s="2528"/>
      <c r="T614" s="2528"/>
      <c r="U614" s="2528"/>
      <c r="V614" s="2528"/>
      <c r="W614" s="2528"/>
      <c r="X614" s="2528"/>
      <c r="Y614" s="2528"/>
      <c r="Z614" s="2528"/>
      <c r="AA614" s="2528"/>
      <c r="AB614" s="2528"/>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46" t="s">
        <v>1345</v>
      </c>
      <c r="AG616" s="2446"/>
      <c r="AH616" s="2446"/>
      <c r="AI616" s="2446"/>
      <c r="AJ616" s="2446"/>
      <c r="AK616" s="2446"/>
      <c r="AL616" s="2446"/>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526" t="s">
        <v>686</v>
      </c>
      <c r="I619" s="2526"/>
      <c r="J619" s="932"/>
      <c r="K619" s="932"/>
      <c r="L619" s="932"/>
      <c r="N619" s="22"/>
      <c r="O619" s="22"/>
      <c r="P619" s="22"/>
      <c r="Q619" s="1145" t="s">
        <v>2130</v>
      </c>
      <c r="R619" s="2529"/>
      <c r="S619" s="2529"/>
      <c r="T619" s="2529"/>
      <c r="U619" s="2529"/>
      <c r="V619" s="2529"/>
      <c r="W619" s="2529"/>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0" t="str">
        <f>IF(AND(H619="(i)",NOT(AP595)),AO612,IF(AND(H619="(iv)",OR(R619=AO608,R619=AO607),NOT(AP596)),AO613,""))</f>
        <v/>
      </c>
      <c r="Z620" s="2530"/>
      <c r="AA620" s="2530"/>
      <c r="AB620" s="2530"/>
      <c r="AC620" s="2530"/>
      <c r="AD620" s="2530"/>
      <c r="AE620" s="2530"/>
      <c r="AF620" s="2530"/>
      <c r="AG620" s="2530"/>
      <c r="AH620" s="2530"/>
      <c r="AI620" s="2530"/>
      <c r="AJ620" s="2530"/>
      <c r="AK620" s="2530"/>
      <c r="AL620" s="2530"/>
      <c r="AM620" s="2531"/>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0"/>
      <c r="Z621" s="2530"/>
      <c r="AA621" s="2530"/>
      <c r="AB621" s="2530"/>
      <c r="AC621" s="2530"/>
      <c r="AD621" s="2530"/>
      <c r="AE621" s="2530"/>
      <c r="AF621" s="2530"/>
      <c r="AG621" s="2530"/>
      <c r="AH621" s="2530"/>
      <c r="AI621" s="2530"/>
      <c r="AJ621" s="2530"/>
      <c r="AK621" s="2530"/>
      <c r="AL621" s="2530"/>
      <c r="AM621" s="2531"/>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27" t="s">
        <v>590</v>
      </c>
      <c r="J627" s="2527"/>
      <c r="K627" s="2527"/>
      <c r="L627" s="2527"/>
      <c r="M627" s="2527"/>
      <c r="N627" s="2527"/>
      <c r="O627" s="2527"/>
      <c r="P627" s="2527"/>
      <c r="Q627" s="2527"/>
      <c r="R627" s="2527"/>
      <c r="S627" s="2527"/>
      <c r="T627" s="2527"/>
      <c r="U627" s="2527"/>
      <c r="V627" s="2527"/>
      <c r="W627" s="2527"/>
      <c r="X627" s="2527"/>
      <c r="Y627" s="2527"/>
      <c r="Z627" s="2527"/>
      <c r="AA627" s="2527"/>
      <c r="AB627" s="2527"/>
      <c r="AC627" s="2527"/>
      <c r="AD627" s="2527"/>
      <c r="AE627" s="2527"/>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58" t="s">
        <v>590</v>
      </c>
      <c r="C629" s="2458"/>
      <c r="D629" s="640"/>
      <c r="E629" s="2463" t="s">
        <v>1394</v>
      </c>
      <c r="F629" s="2463"/>
      <c r="G629" s="2463"/>
      <c r="H629" s="2463"/>
      <c r="I629" s="2463"/>
      <c r="J629" s="2463"/>
      <c r="K629" s="2463"/>
      <c r="L629" s="2463"/>
      <c r="M629" s="2463"/>
      <c r="N629" s="2463"/>
      <c r="O629" s="2463"/>
      <c r="P629" s="2463"/>
      <c r="Q629" s="2463"/>
      <c r="R629" s="2463"/>
      <c r="S629" s="2463"/>
      <c r="T629" s="2463"/>
      <c r="U629" s="2463"/>
      <c r="V629" s="2463"/>
      <c r="W629" s="2463"/>
      <c r="X629" s="2463"/>
      <c r="Y629" s="2463"/>
      <c r="Z629" s="2463"/>
      <c r="AA629" s="2463"/>
      <c r="AB629" s="2463"/>
      <c r="AC629" s="2463"/>
      <c r="AD629" s="2463"/>
      <c r="AE629" s="2463"/>
      <c r="AF629" s="2463"/>
      <c r="AG629" s="2463"/>
      <c r="AH629" s="640"/>
      <c r="AI629" s="640"/>
      <c r="AJ629" s="640"/>
      <c r="AK629" s="640"/>
      <c r="AL629" s="640"/>
      <c r="AN629" s="595"/>
    </row>
    <row r="630" spans="1:42" s="549" customFormat="1" ht="12.75" customHeight="1">
      <c r="B630" s="536"/>
      <c r="C630" s="929"/>
      <c r="D630" s="640"/>
      <c r="E630" s="2463"/>
      <c r="F630" s="2463"/>
      <c r="G630" s="2463"/>
      <c r="H630" s="2463"/>
      <c r="I630" s="2463"/>
      <c r="J630" s="2463"/>
      <c r="K630" s="2463"/>
      <c r="L630" s="2463"/>
      <c r="M630" s="2463"/>
      <c r="N630" s="2463"/>
      <c r="O630" s="2463"/>
      <c r="P630" s="2463"/>
      <c r="Q630" s="2463"/>
      <c r="R630" s="2463"/>
      <c r="S630" s="2463"/>
      <c r="T630" s="2463"/>
      <c r="U630" s="2463"/>
      <c r="V630" s="2463"/>
      <c r="W630" s="2463"/>
      <c r="X630" s="2463"/>
      <c r="Y630" s="2463"/>
      <c r="Z630" s="2463"/>
      <c r="AA630" s="2463"/>
      <c r="AB630" s="2463"/>
      <c r="AC630" s="2463"/>
      <c r="AD630" s="2463"/>
      <c r="AE630" s="2463"/>
      <c r="AF630" s="2463"/>
      <c r="AG630" s="2463"/>
      <c r="AH630" s="640"/>
      <c r="AI630" s="640"/>
      <c r="AJ630" s="640"/>
      <c r="AK630" s="640"/>
      <c r="AL630" s="640"/>
      <c r="AN630" s="595"/>
    </row>
    <row r="631" spans="1:42" s="549" customFormat="1" ht="12.75" customHeight="1">
      <c r="B631" s="536"/>
      <c r="C631" s="929"/>
      <c r="D631" s="640"/>
      <c r="E631" s="2463"/>
      <c r="F631" s="2463"/>
      <c r="G631" s="2463"/>
      <c r="H631" s="2463"/>
      <c r="I631" s="2463"/>
      <c r="J631" s="2463"/>
      <c r="K631" s="2463"/>
      <c r="L631" s="2463"/>
      <c r="M631" s="2463"/>
      <c r="N631" s="2463"/>
      <c r="O631" s="2463"/>
      <c r="P631" s="2463"/>
      <c r="Q631" s="2463"/>
      <c r="R631" s="2463"/>
      <c r="S631" s="2463"/>
      <c r="T631" s="2463"/>
      <c r="U631" s="2463"/>
      <c r="V631" s="2463"/>
      <c r="W631" s="2463"/>
      <c r="X631" s="2463"/>
      <c r="Y631" s="2463"/>
      <c r="Z631" s="2463"/>
      <c r="AA631" s="2463"/>
      <c r="AB631" s="2463"/>
      <c r="AC631" s="2463"/>
      <c r="AD631" s="2463"/>
      <c r="AE631" s="2463"/>
      <c r="AF631" s="2463"/>
      <c r="AG631" s="2463"/>
      <c r="AH631" s="640"/>
      <c r="AI631" s="640"/>
      <c r="AJ631" s="640"/>
      <c r="AK631" s="640"/>
      <c r="AL631" s="640"/>
      <c r="AN631" s="595"/>
    </row>
    <row r="632" spans="1:42" s="549" customFormat="1" ht="12.75" customHeight="1">
      <c r="B632" s="536"/>
      <c r="C632" s="929"/>
      <c r="D632" s="640"/>
      <c r="E632" s="2463"/>
      <c r="F632" s="2463"/>
      <c r="G632" s="2463"/>
      <c r="H632" s="2463"/>
      <c r="I632" s="2463"/>
      <c r="J632" s="2463"/>
      <c r="K632" s="2463"/>
      <c r="L632" s="2463"/>
      <c r="M632" s="2463"/>
      <c r="N632" s="2463"/>
      <c r="O632" s="2463"/>
      <c r="P632" s="2463"/>
      <c r="Q632" s="2463"/>
      <c r="R632" s="2463"/>
      <c r="S632" s="2463"/>
      <c r="T632" s="2463"/>
      <c r="U632" s="2463"/>
      <c r="V632" s="2463"/>
      <c r="W632" s="2463"/>
      <c r="X632" s="2463"/>
      <c r="Y632" s="2463"/>
      <c r="Z632" s="2463"/>
      <c r="AA632" s="2463"/>
      <c r="AB632" s="2463"/>
      <c r="AC632" s="2463"/>
      <c r="AD632" s="2463"/>
      <c r="AE632" s="2463"/>
      <c r="AF632" s="2463"/>
      <c r="AG632" s="2463"/>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71">
        <f>VLOOKUP($H$619,$AO$599:$AP$604,2,FALSE)+IF(R619=AO607,0,VLOOKUP($I$627,$AO$626:$AP$628,2,FALSE))</f>
        <v>7</v>
      </c>
      <c r="AK634" s="2473"/>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25" t="s">
        <v>1682</v>
      </c>
      <c r="F638" s="2525"/>
      <c r="G638" s="2525"/>
      <c r="H638" s="2525"/>
      <c r="I638" s="2525"/>
      <c r="J638" s="2525"/>
      <c r="K638" s="2525"/>
      <c r="L638" s="2525"/>
      <c r="M638" s="2525"/>
      <c r="N638" s="2525"/>
      <c r="O638" s="2525"/>
      <c r="P638" s="2525"/>
      <c r="Q638" s="2525"/>
      <c r="R638" s="2525"/>
      <c r="S638" s="2525"/>
      <c r="T638" s="2525"/>
      <c r="U638" s="2525"/>
      <c r="V638" s="2525"/>
      <c r="W638" s="2525"/>
      <c r="X638" s="2525"/>
      <c r="Y638" s="2525"/>
      <c r="Z638" s="2525"/>
      <c r="AA638" s="2525"/>
      <c r="AB638" s="2525"/>
      <c r="AC638" s="2525"/>
      <c r="AD638" s="2525"/>
      <c r="AE638" s="539"/>
      <c r="AF638" s="2446" t="s">
        <v>1345</v>
      </c>
      <c r="AG638" s="2446"/>
      <c r="AH638" s="2446"/>
      <c r="AI638" s="2446"/>
      <c r="AJ638" s="2446"/>
      <c r="AK638" s="2446"/>
      <c r="AL638" s="2446"/>
      <c r="AM638" s="549"/>
      <c r="AN638" s="674"/>
    </row>
    <row r="639" spans="1:42" s="549" customFormat="1" ht="12.75" customHeight="1">
      <c r="A639" s="675"/>
      <c r="B639" s="536"/>
      <c r="C639" s="929"/>
      <c r="D639" s="659"/>
      <c r="E639" s="2525"/>
      <c r="F639" s="2525"/>
      <c r="G639" s="2525"/>
      <c r="H639" s="2525"/>
      <c r="I639" s="2525"/>
      <c r="J639" s="2525"/>
      <c r="K639" s="2525"/>
      <c r="L639" s="2525"/>
      <c r="M639" s="2525"/>
      <c r="N639" s="2525"/>
      <c r="O639" s="2525"/>
      <c r="P639" s="2525"/>
      <c r="Q639" s="2525"/>
      <c r="R639" s="2525"/>
      <c r="S639" s="2525"/>
      <c r="T639" s="2525"/>
      <c r="U639" s="2525"/>
      <c r="V639" s="2525"/>
      <c r="W639" s="2525"/>
      <c r="X639" s="2525"/>
      <c r="Y639" s="2525"/>
      <c r="Z639" s="2525"/>
      <c r="AA639" s="2525"/>
      <c r="AB639" s="2525"/>
      <c r="AC639" s="2525"/>
      <c r="AD639" s="2525"/>
      <c r="AE639" s="536"/>
      <c r="AF639" s="536"/>
      <c r="AG639" s="536"/>
      <c r="AH639" s="536"/>
      <c r="AI639" s="536"/>
      <c r="AJ639" s="536"/>
      <c r="AK639" s="536"/>
      <c r="AL639" s="536"/>
      <c r="AN639" s="595"/>
    </row>
    <row r="640" spans="1:42" s="549" customFormat="1" ht="12.75" customHeight="1">
      <c r="B640" s="536"/>
      <c r="C640" s="927"/>
      <c r="D640" s="659"/>
      <c r="E640" s="2525"/>
      <c r="F640" s="2525"/>
      <c r="G640" s="2525"/>
      <c r="H640" s="2525"/>
      <c r="I640" s="2525"/>
      <c r="J640" s="2525"/>
      <c r="K640" s="2525"/>
      <c r="L640" s="2525"/>
      <c r="M640" s="2525"/>
      <c r="N640" s="2525"/>
      <c r="O640" s="2525"/>
      <c r="P640" s="2525"/>
      <c r="Q640" s="2525"/>
      <c r="R640" s="2525"/>
      <c r="S640" s="2525"/>
      <c r="T640" s="2525"/>
      <c r="U640" s="2525"/>
      <c r="V640" s="2525"/>
      <c r="W640" s="2525"/>
      <c r="X640" s="2525"/>
      <c r="Y640" s="2525"/>
      <c r="Z640" s="2525"/>
      <c r="AA640" s="2525"/>
      <c r="AB640" s="2525"/>
      <c r="AC640" s="2525"/>
      <c r="AD640" s="2525"/>
      <c r="AE640" s="536"/>
      <c r="AF640" s="536"/>
      <c r="AG640" s="536"/>
      <c r="AH640" s="536"/>
      <c r="AI640" s="536"/>
      <c r="AJ640" s="536"/>
      <c r="AK640" s="536"/>
      <c r="AL640" s="536"/>
      <c r="AN640" s="595"/>
    </row>
    <row r="641" spans="1:42" s="549" customFormat="1" ht="12.75" customHeight="1">
      <c r="B641" s="536"/>
      <c r="C641" s="927"/>
      <c r="D641" s="659"/>
      <c r="E641" s="2525"/>
      <c r="F641" s="2525"/>
      <c r="G641" s="2525"/>
      <c r="H641" s="2525"/>
      <c r="I641" s="2525"/>
      <c r="J641" s="2525"/>
      <c r="K641" s="2525"/>
      <c r="L641" s="2525"/>
      <c r="M641" s="2525"/>
      <c r="N641" s="2525"/>
      <c r="O641" s="2525"/>
      <c r="P641" s="2525"/>
      <c r="Q641" s="2525"/>
      <c r="R641" s="2525"/>
      <c r="S641" s="2525"/>
      <c r="T641" s="2525"/>
      <c r="U641" s="2525"/>
      <c r="V641" s="2525"/>
      <c r="W641" s="2525"/>
      <c r="X641" s="2525"/>
      <c r="Y641" s="2525"/>
      <c r="Z641" s="2525"/>
      <c r="AA641" s="2525"/>
      <c r="AB641" s="2525"/>
      <c r="AC641" s="2525"/>
      <c r="AD641" s="2525"/>
      <c r="AE641" s="536"/>
      <c r="AF641" s="536"/>
      <c r="AG641" s="536"/>
      <c r="AH641" s="536"/>
      <c r="AI641" s="536"/>
      <c r="AJ641" s="536"/>
      <c r="AK641" s="536"/>
      <c r="AL641" s="536"/>
      <c r="AN641" s="595"/>
    </row>
    <row r="642" spans="1:42" s="549" customFormat="1" ht="12.75" customHeight="1">
      <c r="B642" s="536"/>
      <c r="C642" s="927"/>
      <c r="D642" s="659"/>
      <c r="E642" s="2525"/>
      <c r="F642" s="2525"/>
      <c r="G642" s="2525"/>
      <c r="H642" s="2525"/>
      <c r="I642" s="2525"/>
      <c r="J642" s="2525"/>
      <c r="K642" s="2525"/>
      <c r="L642" s="2525"/>
      <c r="M642" s="2525"/>
      <c r="N642" s="2525"/>
      <c r="O642" s="2525"/>
      <c r="P642" s="2525"/>
      <c r="Q642" s="2525"/>
      <c r="R642" s="2525"/>
      <c r="S642" s="2525"/>
      <c r="T642" s="2525"/>
      <c r="U642" s="2525"/>
      <c r="V642" s="2525"/>
      <c r="W642" s="2525"/>
      <c r="X642" s="2525"/>
      <c r="Y642" s="2525"/>
      <c r="Z642" s="2525"/>
      <c r="AA642" s="2525"/>
      <c r="AB642" s="2525"/>
      <c r="AC642" s="2525"/>
      <c r="AD642" s="2525"/>
      <c r="AE642" s="536"/>
      <c r="AF642" s="536"/>
      <c r="AG642" s="536"/>
      <c r="AH642" s="536"/>
      <c r="AI642" s="536"/>
      <c r="AJ642" s="536"/>
      <c r="AK642" s="536"/>
      <c r="AL642" s="536"/>
      <c r="AN642" s="595"/>
    </row>
    <row r="643" spans="1:42" s="549" customFormat="1" ht="12.75" customHeight="1">
      <c r="B643" s="536"/>
      <c r="C643" s="927"/>
      <c r="D643" s="659"/>
      <c r="E643" s="2525"/>
      <c r="F643" s="2525"/>
      <c r="G643" s="2525"/>
      <c r="H643" s="2525"/>
      <c r="I643" s="2525"/>
      <c r="J643" s="2525"/>
      <c r="K643" s="2525"/>
      <c r="L643" s="2525"/>
      <c r="M643" s="2525"/>
      <c r="N643" s="2525"/>
      <c r="O643" s="2525"/>
      <c r="P643" s="2525"/>
      <c r="Q643" s="2525"/>
      <c r="R643" s="2525"/>
      <c r="S643" s="2525"/>
      <c r="T643" s="2525"/>
      <c r="U643" s="2525"/>
      <c r="V643" s="2525"/>
      <c r="W643" s="2525"/>
      <c r="X643" s="2525"/>
      <c r="Y643" s="2525"/>
      <c r="Z643" s="2525"/>
      <c r="AA643" s="2525"/>
      <c r="AB643" s="2525"/>
      <c r="AC643" s="2525"/>
      <c r="AD643" s="2525"/>
      <c r="AE643" s="536"/>
      <c r="AF643" s="536"/>
      <c r="AG643" s="536"/>
      <c r="AH643" s="536"/>
      <c r="AI643" s="536"/>
      <c r="AJ643" s="536"/>
      <c r="AK643" s="536"/>
      <c r="AL643" s="536"/>
      <c r="AN643" s="595"/>
    </row>
    <row r="644" spans="1:42" s="549" customFormat="1" ht="12.75" customHeight="1">
      <c r="A644" s="635"/>
      <c r="B644" s="614"/>
      <c r="C644" s="936"/>
      <c r="D644" s="659"/>
      <c r="E644" s="2525"/>
      <c r="F644" s="2525"/>
      <c r="G644" s="2525"/>
      <c r="H644" s="2525"/>
      <c r="I644" s="2525"/>
      <c r="J644" s="2525"/>
      <c r="K644" s="2525"/>
      <c r="L644" s="2525"/>
      <c r="M644" s="2525"/>
      <c r="N644" s="2525"/>
      <c r="O644" s="2525"/>
      <c r="P644" s="2525"/>
      <c r="Q644" s="2525"/>
      <c r="R644" s="2525"/>
      <c r="S644" s="2525"/>
      <c r="T644" s="2525"/>
      <c r="U644" s="2525"/>
      <c r="V644" s="2525"/>
      <c r="W644" s="2525"/>
      <c r="X644" s="2525"/>
      <c r="Y644" s="2525"/>
      <c r="Z644" s="2525"/>
      <c r="AA644" s="2525"/>
      <c r="AB644" s="2525"/>
      <c r="AC644" s="2525"/>
      <c r="AD644" s="2525"/>
      <c r="AE644" s="614"/>
      <c r="AF644" s="614"/>
      <c r="AG644" s="614"/>
      <c r="AH644" s="614"/>
      <c r="AI644" s="614"/>
      <c r="AJ644" s="614"/>
      <c r="AK644" s="536"/>
      <c r="AL644" s="536"/>
      <c r="AN644" s="595"/>
    </row>
    <row r="645" spans="1:42" s="549" customFormat="1" ht="12.75" customHeight="1">
      <c r="B645" s="614"/>
      <c r="C645" s="936"/>
      <c r="D645" s="659"/>
      <c r="E645" s="2525"/>
      <c r="F645" s="2525"/>
      <c r="G645" s="2525"/>
      <c r="H645" s="2525"/>
      <c r="I645" s="2525"/>
      <c r="J645" s="2525"/>
      <c r="K645" s="2525"/>
      <c r="L645" s="2525"/>
      <c r="M645" s="2525"/>
      <c r="N645" s="2525"/>
      <c r="O645" s="2525"/>
      <c r="P645" s="2525"/>
      <c r="Q645" s="2525"/>
      <c r="R645" s="2525"/>
      <c r="S645" s="2525"/>
      <c r="T645" s="2525"/>
      <c r="U645" s="2525"/>
      <c r="V645" s="2525"/>
      <c r="W645" s="2525"/>
      <c r="X645" s="2525"/>
      <c r="Y645" s="2525"/>
      <c r="Z645" s="2525"/>
      <c r="AA645" s="2525"/>
      <c r="AB645" s="2525"/>
      <c r="AC645" s="2525"/>
      <c r="AD645" s="2525"/>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58" t="s">
        <v>590</v>
      </c>
      <c r="Y647" s="2458"/>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46" t="s">
        <v>1399</v>
      </c>
      <c r="AG649" s="2446"/>
      <c r="AH649" s="2446"/>
      <c r="AI649" s="2446"/>
      <c r="AJ649" s="2446"/>
      <c r="AK649" s="2446"/>
      <c r="AL649" s="2446"/>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26" t="s">
        <v>686</v>
      </c>
      <c r="I651" s="2526"/>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71">
        <f>VLOOKUP($H$651,$AO$618:$AP$620,2,FALSE)</f>
        <v>3</v>
      </c>
      <c r="AK653" s="2473"/>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63" t="s">
        <v>2052</v>
      </c>
      <c r="F657" s="2463"/>
      <c r="G657" s="2463"/>
      <c r="H657" s="2463"/>
      <c r="I657" s="2463"/>
      <c r="J657" s="2463"/>
      <c r="K657" s="2463"/>
      <c r="L657" s="2463"/>
      <c r="M657" s="2463"/>
      <c r="N657" s="2463"/>
      <c r="O657" s="2463"/>
      <c r="P657" s="2463"/>
      <c r="Q657" s="2463"/>
      <c r="R657" s="2463"/>
      <c r="S657" s="2463"/>
      <c r="T657" s="2463"/>
      <c r="U657" s="2463"/>
      <c r="V657" s="2463"/>
      <c r="W657" s="2463"/>
      <c r="X657" s="2463"/>
      <c r="Y657" s="2463"/>
      <c r="Z657" s="2463"/>
      <c r="AA657" s="2463"/>
      <c r="AB657" s="2463"/>
      <c r="AC657" s="2463"/>
      <c r="AD657" s="2463"/>
      <c r="AE657" s="536"/>
      <c r="AF657" s="2446" t="s">
        <v>1345</v>
      </c>
      <c r="AG657" s="2446"/>
      <c r="AH657" s="2446"/>
      <c r="AI657" s="2446"/>
      <c r="AJ657" s="2446"/>
      <c r="AK657" s="2446"/>
      <c r="AL657" s="2446"/>
      <c r="AN657" s="595"/>
    </row>
    <row r="658" spans="1:42" s="549" customFormat="1" ht="12.75" customHeight="1">
      <c r="B658" s="536"/>
      <c r="C658" s="536"/>
      <c r="D658" s="659"/>
      <c r="E658" s="2463"/>
      <c r="F658" s="2463"/>
      <c r="G658" s="2463"/>
      <c r="H658" s="2463"/>
      <c r="I658" s="2463"/>
      <c r="J658" s="2463"/>
      <c r="K658" s="2463"/>
      <c r="L658" s="2463"/>
      <c r="M658" s="2463"/>
      <c r="N658" s="2463"/>
      <c r="O658" s="2463"/>
      <c r="P658" s="2463"/>
      <c r="Q658" s="2463"/>
      <c r="R658" s="2463"/>
      <c r="S658" s="2463"/>
      <c r="T658" s="2463"/>
      <c r="U658" s="2463"/>
      <c r="V658" s="2463"/>
      <c r="W658" s="2463"/>
      <c r="X658" s="2463"/>
      <c r="Y658" s="2463"/>
      <c r="Z658" s="2463"/>
      <c r="AA658" s="2463"/>
      <c r="AB658" s="2463"/>
      <c r="AC658" s="2463"/>
      <c r="AD658" s="2463"/>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46" t="s">
        <v>1399</v>
      </c>
      <c r="AG660" s="2446"/>
      <c r="AH660" s="2446"/>
      <c r="AI660" s="2446"/>
      <c r="AJ660" s="2446"/>
      <c r="AK660" s="2446"/>
      <c r="AL660" s="2446"/>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26" t="s">
        <v>508</v>
      </c>
      <c r="I663" s="2526"/>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71">
        <f>VLOOKUP(H663,AT618:AU620,2,FALSE)</f>
        <v>2</v>
      </c>
      <c r="AK665" s="2473"/>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63" t="s">
        <v>1409</v>
      </c>
      <c r="F670" s="2463"/>
      <c r="G670" s="2463"/>
      <c r="H670" s="2463"/>
      <c r="I670" s="2463"/>
      <c r="J670" s="2463"/>
      <c r="K670" s="2463"/>
      <c r="L670" s="2463"/>
      <c r="M670" s="2463"/>
      <c r="N670" s="2463"/>
      <c r="O670" s="2463"/>
      <c r="P670" s="2463"/>
      <c r="Q670" s="2463"/>
      <c r="R670" s="2463"/>
      <c r="S670" s="2463"/>
      <c r="T670" s="2463"/>
      <c r="U670" s="2463"/>
      <c r="V670" s="2463"/>
      <c r="W670" s="2463"/>
      <c r="X670" s="2463"/>
      <c r="Y670" s="2463"/>
      <c r="Z670" s="2463"/>
      <c r="AA670" s="2463"/>
      <c r="AB670" s="2463"/>
      <c r="AC670" s="2463"/>
      <c r="AD670" s="536"/>
      <c r="AE670" s="536"/>
      <c r="AF670" s="2446" t="s">
        <v>1370</v>
      </c>
      <c r="AG670" s="2446"/>
      <c r="AH670" s="2446"/>
      <c r="AI670" s="2446"/>
      <c r="AJ670" s="2446"/>
      <c r="AK670" s="2446"/>
      <c r="AL670" s="2446"/>
      <c r="AN670" s="595"/>
    </row>
    <row r="671" spans="1:42" s="549" customFormat="1" ht="12.75" customHeight="1">
      <c r="B671" s="536"/>
      <c r="C671" s="539"/>
      <c r="D671" s="536"/>
      <c r="E671" s="2463"/>
      <c r="F671" s="2463"/>
      <c r="G671" s="2463"/>
      <c r="H671" s="2463"/>
      <c r="I671" s="2463"/>
      <c r="J671" s="2463"/>
      <c r="K671" s="2463"/>
      <c r="L671" s="2463"/>
      <c r="M671" s="2463"/>
      <c r="N671" s="2463"/>
      <c r="O671" s="2463"/>
      <c r="P671" s="2463"/>
      <c r="Q671" s="2463"/>
      <c r="R671" s="2463"/>
      <c r="S671" s="2463"/>
      <c r="T671" s="2463"/>
      <c r="U671" s="2463"/>
      <c r="V671" s="2463"/>
      <c r="W671" s="2463"/>
      <c r="X671" s="2463"/>
      <c r="Y671" s="2463"/>
      <c r="Z671" s="2463"/>
      <c r="AA671" s="2463"/>
      <c r="AB671" s="2463"/>
      <c r="AC671" s="2463"/>
      <c r="AD671" s="536"/>
      <c r="AE671" s="536"/>
      <c r="AF671" s="536"/>
      <c r="AG671" s="536"/>
      <c r="AH671" s="536"/>
      <c r="AI671" s="536"/>
      <c r="AJ671" s="536"/>
      <c r="AK671" s="536"/>
      <c r="AL671" s="536"/>
      <c r="AN671" s="595"/>
    </row>
    <row r="672" spans="1:42" s="549" customFormat="1" ht="12.75" customHeight="1">
      <c r="B672" s="536"/>
      <c r="C672" s="539"/>
      <c r="D672" s="659"/>
      <c r="E672" s="2463"/>
      <c r="F672" s="2463"/>
      <c r="G672" s="2463"/>
      <c r="H672" s="2463"/>
      <c r="I672" s="2463"/>
      <c r="J672" s="2463"/>
      <c r="K672" s="2463"/>
      <c r="L672" s="2463"/>
      <c r="M672" s="2463"/>
      <c r="N672" s="2463"/>
      <c r="O672" s="2463"/>
      <c r="P672" s="2463"/>
      <c r="Q672" s="2463"/>
      <c r="R672" s="2463"/>
      <c r="S672" s="2463"/>
      <c r="T672" s="2463"/>
      <c r="U672" s="2463"/>
      <c r="V672" s="2463"/>
      <c r="W672" s="2463"/>
      <c r="X672" s="2463"/>
      <c r="Y672" s="2463"/>
      <c r="Z672" s="2463"/>
      <c r="AA672" s="2463"/>
      <c r="AB672" s="2463"/>
      <c r="AC672" s="2463"/>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63" t="s">
        <v>1410</v>
      </c>
      <c r="F674" s="2463"/>
      <c r="G674" s="2463"/>
      <c r="H674" s="2463"/>
      <c r="I674" s="2463"/>
      <c r="J674" s="2463"/>
      <c r="K674" s="2463"/>
      <c r="L674" s="2463"/>
      <c r="M674" s="2463"/>
      <c r="N674" s="2463"/>
      <c r="O674" s="2463"/>
      <c r="P674" s="2463"/>
      <c r="Q674" s="2463"/>
      <c r="R674" s="2463"/>
      <c r="S674" s="2463"/>
      <c r="T674" s="2463"/>
      <c r="U674" s="2463"/>
      <c r="V674" s="2463"/>
      <c r="W674" s="2463"/>
      <c r="X674" s="2463"/>
      <c r="Y674" s="2463"/>
      <c r="Z674" s="2463"/>
      <c r="AA674" s="2463"/>
      <c r="AB674" s="2463"/>
      <c r="AC674" s="2463"/>
      <c r="AD674" s="536"/>
      <c r="AE674" s="536"/>
      <c r="AF674" s="2446" t="s">
        <v>1390</v>
      </c>
      <c r="AG674" s="2446"/>
      <c r="AH674" s="2446"/>
      <c r="AI674" s="2446"/>
      <c r="AJ674" s="2446"/>
      <c r="AK674" s="2446"/>
      <c r="AL674" s="2446"/>
      <c r="AN674" s="595"/>
    </row>
    <row r="675" spans="1:42" s="549" customFormat="1" ht="12.75" customHeight="1">
      <c r="B675" s="536"/>
      <c r="C675" s="539"/>
      <c r="D675" s="536"/>
      <c r="E675" s="2463"/>
      <c r="F675" s="2463"/>
      <c r="G675" s="2463"/>
      <c r="H675" s="2463"/>
      <c r="I675" s="2463"/>
      <c r="J675" s="2463"/>
      <c r="K675" s="2463"/>
      <c r="L675" s="2463"/>
      <c r="M675" s="2463"/>
      <c r="N675" s="2463"/>
      <c r="O675" s="2463"/>
      <c r="P675" s="2463"/>
      <c r="Q675" s="2463"/>
      <c r="R675" s="2463"/>
      <c r="S675" s="2463"/>
      <c r="T675" s="2463"/>
      <c r="U675" s="2463"/>
      <c r="V675" s="2463"/>
      <c r="W675" s="2463"/>
      <c r="X675" s="2463"/>
      <c r="Y675" s="2463"/>
      <c r="Z675" s="2463"/>
      <c r="AA675" s="2463"/>
      <c r="AB675" s="2463"/>
      <c r="AC675" s="2463"/>
      <c r="AD675" s="536"/>
      <c r="AE675" s="536"/>
      <c r="AF675" s="536"/>
      <c r="AG675" s="536"/>
      <c r="AH675" s="536"/>
      <c r="AI675" s="536"/>
      <c r="AJ675" s="536"/>
      <c r="AK675" s="536"/>
      <c r="AL675" s="536"/>
      <c r="AN675" s="595"/>
    </row>
    <row r="676" spans="1:42" s="549" customFormat="1" ht="15" customHeight="1">
      <c r="B676" s="536"/>
      <c r="C676" s="539"/>
      <c r="D676" s="659"/>
      <c r="E676" s="2463"/>
      <c r="F676" s="2463"/>
      <c r="G676" s="2463"/>
      <c r="H676" s="2463"/>
      <c r="I676" s="2463"/>
      <c r="J676" s="2463"/>
      <c r="K676" s="2463"/>
      <c r="L676" s="2463"/>
      <c r="M676" s="2463"/>
      <c r="N676" s="2463"/>
      <c r="O676" s="2463"/>
      <c r="P676" s="2463"/>
      <c r="Q676" s="2463"/>
      <c r="R676" s="2463"/>
      <c r="S676" s="2463"/>
      <c r="T676" s="2463"/>
      <c r="U676" s="2463"/>
      <c r="V676" s="2463"/>
      <c r="W676" s="2463"/>
      <c r="X676" s="2463"/>
      <c r="Y676" s="2463"/>
      <c r="Z676" s="2463"/>
      <c r="AA676" s="2463"/>
      <c r="AB676" s="2463"/>
      <c r="AC676" s="2463"/>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63" t="s">
        <v>1411</v>
      </c>
      <c r="F678" s="2463"/>
      <c r="G678" s="2463"/>
      <c r="H678" s="2463"/>
      <c r="I678" s="2463"/>
      <c r="J678" s="2463"/>
      <c r="K678" s="2463"/>
      <c r="L678" s="2463"/>
      <c r="M678" s="2463"/>
      <c r="N678" s="2463"/>
      <c r="O678" s="2463"/>
      <c r="P678" s="2463"/>
      <c r="Q678" s="2463"/>
      <c r="R678" s="2463"/>
      <c r="S678" s="2463"/>
      <c r="T678" s="2463"/>
      <c r="U678" s="2463"/>
      <c r="V678" s="2463"/>
      <c r="W678" s="2463"/>
      <c r="X678" s="2463"/>
      <c r="Y678" s="2463"/>
      <c r="Z678" s="2463"/>
      <c r="AA678" s="2463"/>
      <c r="AB678" s="2463"/>
      <c r="AC678" s="2463"/>
      <c r="AD678" s="536"/>
      <c r="AE678" s="536"/>
      <c r="AF678" s="2446" t="s">
        <v>1345</v>
      </c>
      <c r="AG678" s="2446"/>
      <c r="AH678" s="2446"/>
      <c r="AI678" s="2446"/>
      <c r="AJ678" s="2446"/>
      <c r="AK678" s="2446"/>
      <c r="AL678" s="2446"/>
      <c r="AN678" s="595"/>
    </row>
    <row r="679" spans="1:42" s="549" customFormat="1" ht="12.75" customHeight="1">
      <c r="B679" s="536"/>
      <c r="C679" s="927"/>
      <c r="D679" s="536"/>
      <c r="E679" s="2463"/>
      <c r="F679" s="2463"/>
      <c r="G679" s="2463"/>
      <c r="H679" s="2463"/>
      <c r="I679" s="2463"/>
      <c r="J679" s="2463"/>
      <c r="K679" s="2463"/>
      <c r="L679" s="2463"/>
      <c r="M679" s="2463"/>
      <c r="N679" s="2463"/>
      <c r="O679" s="2463"/>
      <c r="P679" s="2463"/>
      <c r="Q679" s="2463"/>
      <c r="R679" s="2463"/>
      <c r="S679" s="2463"/>
      <c r="T679" s="2463"/>
      <c r="U679" s="2463"/>
      <c r="V679" s="2463"/>
      <c r="W679" s="2463"/>
      <c r="X679" s="2463"/>
      <c r="Y679" s="2463"/>
      <c r="Z679" s="2463"/>
      <c r="AA679" s="2463"/>
      <c r="AB679" s="2463"/>
      <c r="AC679" s="2463"/>
      <c r="AD679" s="536"/>
      <c r="AE679" s="2446"/>
      <c r="AF679" s="2446"/>
      <c r="AG679" s="2446"/>
      <c r="AH679" s="2446"/>
      <c r="AI679" s="2446"/>
      <c r="AJ679" s="2446"/>
      <c r="AK679" s="2446"/>
      <c r="AL679" s="592"/>
      <c r="AN679" s="595"/>
      <c r="AO679" s="549" t="s">
        <v>590</v>
      </c>
      <c r="AP679" s="669">
        <v>0</v>
      </c>
    </row>
    <row r="680" spans="1:42" s="549" customFormat="1" ht="12.75" customHeight="1">
      <c r="A680" s="675"/>
      <c r="B680" s="536"/>
      <c r="C680" s="536"/>
      <c r="D680" s="659"/>
      <c r="E680" s="2463"/>
      <c r="F680" s="2463"/>
      <c r="G680" s="2463"/>
      <c r="H680" s="2463"/>
      <c r="I680" s="2463"/>
      <c r="J680" s="2463"/>
      <c r="K680" s="2463"/>
      <c r="L680" s="2463"/>
      <c r="M680" s="2463"/>
      <c r="N680" s="2463"/>
      <c r="O680" s="2463"/>
      <c r="P680" s="2463"/>
      <c r="Q680" s="2463"/>
      <c r="R680" s="2463"/>
      <c r="S680" s="2463"/>
      <c r="T680" s="2463"/>
      <c r="U680" s="2463"/>
      <c r="V680" s="2463"/>
      <c r="W680" s="2463"/>
      <c r="X680" s="2463"/>
      <c r="Y680" s="2463"/>
      <c r="Z680" s="2463"/>
      <c r="AA680" s="2463"/>
      <c r="AB680" s="2463"/>
      <c r="AC680" s="2463"/>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463" t="s">
        <v>1412</v>
      </c>
      <c r="F682" s="2463"/>
      <c r="G682" s="2463"/>
      <c r="H682" s="2463"/>
      <c r="I682" s="2463"/>
      <c r="J682" s="2463"/>
      <c r="K682" s="2463"/>
      <c r="L682" s="2463"/>
      <c r="M682" s="2463"/>
      <c r="N682" s="2463"/>
      <c r="O682" s="2463"/>
      <c r="P682" s="2463"/>
      <c r="Q682" s="2463"/>
      <c r="R682" s="2463"/>
      <c r="S682" s="2463"/>
      <c r="T682" s="2463"/>
      <c r="U682" s="2463"/>
      <c r="V682" s="2463"/>
      <c r="W682" s="2463"/>
      <c r="X682" s="2463"/>
      <c r="Y682" s="2463"/>
      <c r="Z682" s="2463"/>
      <c r="AA682" s="2463"/>
      <c r="AB682" s="2463"/>
      <c r="AC682" s="2463"/>
      <c r="AD682" s="536"/>
      <c r="AE682" s="536"/>
      <c r="AF682" s="2446" t="s">
        <v>1390</v>
      </c>
      <c r="AG682" s="2446"/>
      <c r="AH682" s="2446"/>
      <c r="AI682" s="2446"/>
      <c r="AJ682" s="2446"/>
      <c r="AK682" s="2446"/>
      <c r="AL682" s="2446"/>
      <c r="AN682" s="595"/>
    </row>
    <row r="683" spans="1:42" s="549" customFormat="1" ht="12.75" customHeight="1">
      <c r="A683" s="666"/>
      <c r="B683" s="536"/>
      <c r="C683" s="943"/>
      <c r="D683" s="659"/>
      <c r="E683" s="2463"/>
      <c r="F683" s="2463"/>
      <c r="G683" s="2463"/>
      <c r="H683" s="2463"/>
      <c r="I683" s="2463"/>
      <c r="J683" s="2463"/>
      <c r="K683" s="2463"/>
      <c r="L683" s="2463"/>
      <c r="M683" s="2463"/>
      <c r="N683" s="2463"/>
      <c r="O683" s="2463"/>
      <c r="P683" s="2463"/>
      <c r="Q683" s="2463"/>
      <c r="R683" s="2463"/>
      <c r="S683" s="2463"/>
      <c r="T683" s="2463"/>
      <c r="U683" s="2463"/>
      <c r="V683" s="2463"/>
      <c r="W683" s="2463"/>
      <c r="X683" s="2463"/>
      <c r="Y683" s="2463"/>
      <c r="Z683" s="2463"/>
      <c r="AA683" s="2463"/>
      <c r="AB683" s="2463"/>
      <c r="AC683" s="2463"/>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3"/>
      <c r="F684" s="2463"/>
      <c r="G684" s="2463"/>
      <c r="H684" s="2463"/>
      <c r="I684" s="2463"/>
      <c r="J684" s="2463"/>
      <c r="K684" s="2463"/>
      <c r="L684" s="2463"/>
      <c r="M684" s="2463"/>
      <c r="N684" s="2463"/>
      <c r="O684" s="2463"/>
      <c r="P684" s="2463"/>
      <c r="Q684" s="2463"/>
      <c r="R684" s="2463"/>
      <c r="S684" s="2463"/>
      <c r="T684" s="2463"/>
      <c r="U684" s="2463"/>
      <c r="V684" s="2463"/>
      <c r="W684" s="2463"/>
      <c r="X684" s="2463"/>
      <c r="Y684" s="2463"/>
      <c r="Z684" s="2463"/>
      <c r="AA684" s="2463"/>
      <c r="AB684" s="2463"/>
      <c r="AC684" s="2463"/>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63" t="s">
        <v>1413</v>
      </c>
      <c r="F686" s="2463"/>
      <c r="G686" s="2463"/>
      <c r="H686" s="2463"/>
      <c r="I686" s="2463"/>
      <c r="J686" s="2463"/>
      <c r="K686" s="2463"/>
      <c r="L686" s="2463"/>
      <c r="M686" s="2463"/>
      <c r="N686" s="2463"/>
      <c r="O686" s="2463"/>
      <c r="P686" s="2463"/>
      <c r="Q686" s="2463"/>
      <c r="R686" s="2463"/>
      <c r="S686" s="2463"/>
      <c r="T686" s="2463"/>
      <c r="U686" s="2463"/>
      <c r="V686" s="2463"/>
      <c r="W686" s="2463"/>
      <c r="X686" s="2463"/>
      <c r="Y686" s="2463"/>
      <c r="Z686" s="2463"/>
      <c r="AA686" s="2463"/>
      <c r="AB686" s="2463"/>
      <c r="AC686" s="2463"/>
      <c r="AD686" s="536"/>
      <c r="AE686" s="536"/>
      <c r="AF686" s="2446" t="s">
        <v>1345</v>
      </c>
      <c r="AG686" s="2446"/>
      <c r="AH686" s="2446"/>
      <c r="AI686" s="2446"/>
      <c r="AJ686" s="2446"/>
      <c r="AK686" s="2446"/>
      <c r="AL686" s="2446"/>
      <c r="AM686" s="594"/>
      <c r="AN686" s="595"/>
    </row>
    <row r="687" spans="1:42" s="549" customFormat="1" ht="12.75" customHeight="1">
      <c r="B687" s="536"/>
      <c r="C687" s="927"/>
      <c r="D687" s="659"/>
      <c r="E687" s="2463"/>
      <c r="F687" s="2463"/>
      <c r="G687" s="2463"/>
      <c r="H687" s="2463"/>
      <c r="I687" s="2463"/>
      <c r="J687" s="2463"/>
      <c r="K687" s="2463"/>
      <c r="L687" s="2463"/>
      <c r="M687" s="2463"/>
      <c r="N687" s="2463"/>
      <c r="O687" s="2463"/>
      <c r="P687" s="2463"/>
      <c r="Q687" s="2463"/>
      <c r="R687" s="2463"/>
      <c r="S687" s="2463"/>
      <c r="T687" s="2463"/>
      <c r="U687" s="2463"/>
      <c r="V687" s="2463"/>
      <c r="W687" s="2463"/>
      <c r="X687" s="2463"/>
      <c r="Y687" s="2463"/>
      <c r="Z687" s="2463"/>
      <c r="AA687" s="2463"/>
      <c r="AB687" s="2463"/>
      <c r="AC687" s="2463"/>
      <c r="AD687" s="536"/>
      <c r="AE687" s="536"/>
      <c r="AF687" s="536"/>
      <c r="AG687" s="536"/>
      <c r="AH687" s="536"/>
      <c r="AI687" s="536"/>
      <c r="AJ687" s="536"/>
      <c r="AK687" s="536"/>
      <c r="AL687" s="536"/>
      <c r="AM687" s="594"/>
      <c r="AN687" s="595"/>
    </row>
    <row r="688" spans="1:42" s="549" customFormat="1" ht="12.75" customHeight="1">
      <c r="B688" s="536"/>
      <c r="C688" s="927"/>
      <c r="D688" s="659"/>
      <c r="E688" s="2463"/>
      <c r="F688" s="2463"/>
      <c r="G688" s="2463"/>
      <c r="H688" s="2463"/>
      <c r="I688" s="2463"/>
      <c r="J688" s="2463"/>
      <c r="K688" s="2463"/>
      <c r="L688" s="2463"/>
      <c r="M688" s="2463"/>
      <c r="N688" s="2463"/>
      <c r="O688" s="2463"/>
      <c r="P688" s="2463"/>
      <c r="Q688" s="2463"/>
      <c r="R688" s="2463"/>
      <c r="S688" s="2463"/>
      <c r="T688" s="2463"/>
      <c r="U688" s="2463"/>
      <c r="V688" s="2463"/>
      <c r="W688" s="2463"/>
      <c r="X688" s="2463"/>
      <c r="Y688" s="2463"/>
      <c r="Z688" s="2463"/>
      <c r="AA688" s="2463"/>
      <c r="AB688" s="2463"/>
      <c r="AC688" s="2463"/>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63" t="s">
        <v>1414</v>
      </c>
      <c r="F690" s="2463"/>
      <c r="G690" s="2463"/>
      <c r="H690" s="2463"/>
      <c r="I690" s="2463"/>
      <c r="J690" s="2463"/>
      <c r="K690" s="2463"/>
      <c r="L690" s="2463"/>
      <c r="M690" s="2463"/>
      <c r="N690" s="2463"/>
      <c r="O690" s="2463"/>
      <c r="P690" s="2463"/>
      <c r="Q690" s="2463"/>
      <c r="R690" s="2463"/>
      <c r="S690" s="2463"/>
      <c r="T690" s="2463"/>
      <c r="U690" s="2463"/>
      <c r="V690" s="2463"/>
      <c r="W690" s="2463"/>
      <c r="X690" s="2463"/>
      <c r="Y690" s="2463"/>
      <c r="Z690" s="2463"/>
      <c r="AA690" s="2463"/>
      <c r="AB690" s="2463"/>
      <c r="AC690" s="2463"/>
      <c r="AD690" s="536"/>
      <c r="AE690" s="536"/>
      <c r="AF690" s="2446" t="s">
        <v>1399</v>
      </c>
      <c r="AG690" s="2446"/>
      <c r="AH690" s="2446"/>
      <c r="AI690" s="2446"/>
      <c r="AJ690" s="2446"/>
      <c r="AK690" s="2446"/>
      <c r="AL690" s="2446"/>
      <c r="AM690" s="594"/>
      <c r="AN690" s="595"/>
    </row>
    <row r="691" spans="1:50" s="549" customFormat="1" ht="12.75" customHeight="1">
      <c r="A691" s="675"/>
      <c r="B691" s="536"/>
      <c r="C691" s="927"/>
      <c r="D691" s="659"/>
      <c r="E691" s="2463"/>
      <c r="F691" s="2463"/>
      <c r="G691" s="2463"/>
      <c r="H691" s="2463"/>
      <c r="I691" s="2463"/>
      <c r="J691" s="2463"/>
      <c r="K691" s="2463"/>
      <c r="L691" s="2463"/>
      <c r="M691" s="2463"/>
      <c r="N691" s="2463"/>
      <c r="O691" s="2463"/>
      <c r="P691" s="2463"/>
      <c r="Q691" s="2463"/>
      <c r="R691" s="2463"/>
      <c r="S691" s="2463"/>
      <c r="T691" s="2463"/>
      <c r="U691" s="2463"/>
      <c r="V691" s="2463"/>
      <c r="W691" s="2463"/>
      <c r="X691" s="2463"/>
      <c r="Y691" s="2463"/>
      <c r="Z691" s="2463"/>
      <c r="AA691" s="2463"/>
      <c r="AB691" s="2463"/>
      <c r="AC691" s="2463"/>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3"/>
      <c r="F692" s="2463"/>
      <c r="G692" s="2463"/>
      <c r="H692" s="2463"/>
      <c r="I692" s="2463"/>
      <c r="J692" s="2463"/>
      <c r="K692" s="2463"/>
      <c r="L692" s="2463"/>
      <c r="M692" s="2463"/>
      <c r="N692" s="2463"/>
      <c r="O692" s="2463"/>
      <c r="P692" s="2463"/>
      <c r="Q692" s="2463"/>
      <c r="R692" s="2463"/>
      <c r="S692" s="2463"/>
      <c r="T692" s="2463"/>
      <c r="U692" s="2463"/>
      <c r="V692" s="2463"/>
      <c r="W692" s="2463"/>
      <c r="X692" s="2463"/>
      <c r="Y692" s="2463"/>
      <c r="Z692" s="2463"/>
      <c r="AA692" s="2463"/>
      <c r="AB692" s="2463"/>
      <c r="AC692" s="2463"/>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463" t="s">
        <v>1415</v>
      </c>
      <c r="F694" s="2463"/>
      <c r="G694" s="2463"/>
      <c r="H694" s="2463"/>
      <c r="I694" s="2463"/>
      <c r="J694" s="2463"/>
      <c r="K694" s="2463"/>
      <c r="L694" s="2463"/>
      <c r="M694" s="2463"/>
      <c r="N694" s="2463"/>
      <c r="O694" s="2463"/>
      <c r="P694" s="2463"/>
      <c r="Q694" s="2463"/>
      <c r="R694" s="2463"/>
      <c r="S694" s="2463"/>
      <c r="T694" s="2463"/>
      <c r="U694" s="2463"/>
      <c r="V694" s="2463"/>
      <c r="W694" s="2463"/>
      <c r="X694" s="2463"/>
      <c r="Y694" s="2463"/>
      <c r="Z694" s="2463"/>
      <c r="AA694" s="2463"/>
      <c r="AB694" s="2463"/>
      <c r="AC694" s="2463"/>
      <c r="AD694" s="536"/>
      <c r="AE694" s="536"/>
      <c r="AF694" s="2446" t="s">
        <v>1416</v>
      </c>
      <c r="AG694" s="2446"/>
      <c r="AH694" s="2446"/>
      <c r="AI694" s="2446"/>
      <c r="AJ694" s="2446"/>
      <c r="AK694" s="2446"/>
      <c r="AL694" s="2446"/>
      <c r="AM694" s="594"/>
      <c r="AN694" s="595"/>
      <c r="AO694" s="609" t="s">
        <v>686</v>
      </c>
      <c r="AP694" s="549">
        <v>3</v>
      </c>
    </row>
    <row r="695" spans="1:50" s="549" customFormat="1" ht="12.75" customHeight="1">
      <c r="A695" s="675"/>
      <c r="B695" s="536"/>
      <c r="C695" s="927"/>
      <c r="D695" s="659"/>
      <c r="E695" s="2463"/>
      <c r="F695" s="2463"/>
      <c r="G695" s="2463"/>
      <c r="H695" s="2463"/>
      <c r="I695" s="2463"/>
      <c r="J695" s="2463"/>
      <c r="K695" s="2463"/>
      <c r="L695" s="2463"/>
      <c r="M695" s="2463"/>
      <c r="N695" s="2463"/>
      <c r="O695" s="2463"/>
      <c r="P695" s="2463"/>
      <c r="Q695" s="2463"/>
      <c r="R695" s="2463"/>
      <c r="S695" s="2463"/>
      <c r="T695" s="2463"/>
      <c r="U695" s="2463"/>
      <c r="V695" s="2463"/>
      <c r="W695" s="2463"/>
      <c r="X695" s="2463"/>
      <c r="Y695" s="2463"/>
      <c r="Z695" s="2463"/>
      <c r="AA695" s="2463"/>
      <c r="AB695" s="2463"/>
      <c r="AC695" s="2463"/>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63"/>
      <c r="F696" s="2463"/>
      <c r="G696" s="2463"/>
      <c r="H696" s="2463"/>
      <c r="I696" s="2463"/>
      <c r="J696" s="2463"/>
      <c r="K696" s="2463"/>
      <c r="L696" s="2463"/>
      <c r="M696" s="2463"/>
      <c r="N696" s="2463"/>
      <c r="O696" s="2463"/>
      <c r="P696" s="2463"/>
      <c r="Q696" s="2463"/>
      <c r="R696" s="2463"/>
      <c r="S696" s="2463"/>
      <c r="T696" s="2463"/>
      <c r="U696" s="2463"/>
      <c r="V696" s="2463"/>
      <c r="W696" s="2463"/>
      <c r="X696" s="2463"/>
      <c r="Y696" s="2463"/>
      <c r="Z696" s="2463"/>
      <c r="AA696" s="2463"/>
      <c r="AB696" s="2463"/>
      <c r="AC696" s="2463"/>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26" t="s">
        <v>508</v>
      </c>
      <c r="I698" s="2526"/>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71">
        <f>VLOOKUP($H$698,$AO$646:$AP$653,2,FALSE)</f>
        <v>4</v>
      </c>
      <c r="AK700" s="2473"/>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60</v>
      </c>
    </row>
    <row r="704" spans="1:50" s="549" customFormat="1" ht="12.75" customHeight="1">
      <c r="A704" s="675"/>
      <c r="B704" s="536"/>
      <c r="C704" s="944"/>
      <c r="D704" s="659" t="s">
        <v>686</v>
      </c>
      <c r="E704" s="2533" t="s">
        <v>2143</v>
      </c>
      <c r="F704" s="2533"/>
      <c r="G704" s="2533"/>
      <c r="H704" s="2533"/>
      <c r="I704" s="2533"/>
      <c r="J704" s="2533"/>
      <c r="K704" s="2533"/>
      <c r="L704" s="2533"/>
      <c r="M704" s="2533"/>
      <c r="N704" s="2533"/>
      <c r="O704" s="2533"/>
      <c r="P704" s="2533"/>
      <c r="Q704" s="2533"/>
      <c r="R704" s="2533"/>
      <c r="S704" s="2533"/>
      <c r="T704" s="2533"/>
      <c r="U704" s="2533"/>
      <c r="V704" s="2533"/>
      <c r="W704" s="2533"/>
      <c r="X704" s="2533"/>
      <c r="Y704" s="2533"/>
      <c r="Z704" s="2533"/>
      <c r="AA704" s="2533"/>
      <c r="AB704" s="2533"/>
      <c r="AC704" s="536"/>
      <c r="AD704" s="536"/>
      <c r="AE704" s="536"/>
      <c r="AF704" s="2446" t="s">
        <v>1345</v>
      </c>
      <c r="AG704" s="2446"/>
      <c r="AH704" s="2446"/>
      <c r="AI704" s="2446"/>
      <c r="AJ704" s="2446"/>
      <c r="AK704" s="2446"/>
      <c r="AL704" s="2446"/>
      <c r="AN704" s="595"/>
      <c r="AW704" s="22" t="s">
        <v>2138</v>
      </c>
      <c r="AX704" s="549">
        <f>Application!DE761</f>
        <v>0</v>
      </c>
    </row>
    <row r="705" spans="1:51" s="549" customFormat="1" ht="12.75" customHeight="1">
      <c r="A705" s="675"/>
      <c r="B705" s="536"/>
      <c r="C705" s="944"/>
      <c r="D705" s="659"/>
      <c r="E705" s="2533"/>
      <c r="F705" s="2533"/>
      <c r="G705" s="2533"/>
      <c r="H705" s="2533"/>
      <c r="I705" s="2533"/>
      <c r="J705" s="2533"/>
      <c r="K705" s="2533"/>
      <c r="L705" s="2533"/>
      <c r="M705" s="2533"/>
      <c r="N705" s="2533"/>
      <c r="O705" s="2533"/>
      <c r="P705" s="2533"/>
      <c r="Q705" s="2533"/>
      <c r="R705" s="2533"/>
      <c r="S705" s="2533"/>
      <c r="T705" s="2533"/>
      <c r="U705" s="2533"/>
      <c r="V705" s="2533"/>
      <c r="W705" s="2533"/>
      <c r="X705" s="2533"/>
      <c r="Y705" s="2533"/>
      <c r="Z705" s="2533"/>
      <c r="AA705" s="2533"/>
      <c r="AB705" s="2533"/>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508</v>
      </c>
      <c r="E707" s="2463" t="s">
        <v>2088</v>
      </c>
      <c r="F707" s="2463"/>
      <c r="G707" s="2463"/>
      <c r="H707" s="2463"/>
      <c r="I707" s="2463"/>
      <c r="J707" s="2463"/>
      <c r="K707" s="2463"/>
      <c r="L707" s="2463"/>
      <c r="M707" s="2463"/>
      <c r="N707" s="2463"/>
      <c r="O707" s="2463"/>
      <c r="P707" s="2463"/>
      <c r="Q707" s="2463"/>
      <c r="R707" s="2463"/>
      <c r="S707" s="2463"/>
      <c r="T707" s="2463"/>
      <c r="U707" s="2463"/>
      <c r="V707" s="2463"/>
      <c r="W707" s="2463"/>
      <c r="X707" s="2463"/>
      <c r="Y707" s="2463"/>
      <c r="Z707" s="2463"/>
      <c r="AA707" s="2463"/>
      <c r="AB707" s="2463"/>
      <c r="AC707" s="536"/>
      <c r="AD707" s="536"/>
      <c r="AE707" s="536"/>
      <c r="AF707" s="2446" t="s">
        <v>1345</v>
      </c>
      <c r="AG707" s="2446"/>
      <c r="AH707" s="2446"/>
      <c r="AI707" s="2446"/>
      <c r="AJ707" s="2446"/>
      <c r="AK707" s="2446"/>
      <c r="AL707" s="2446"/>
      <c r="AN707" s="595"/>
      <c r="AW707" s="22" t="s">
        <v>2141</v>
      </c>
      <c r="AX707" s="549">
        <f>AX704+AX705+AX706</f>
        <v>0</v>
      </c>
    </row>
    <row r="708" spans="1:51" s="549" customFormat="1" ht="12.75" customHeight="1">
      <c r="B708" s="536"/>
      <c r="C708" s="936"/>
      <c r="D708" s="659"/>
      <c r="E708" s="2463"/>
      <c r="F708" s="2463"/>
      <c r="G708" s="2463"/>
      <c r="H708" s="2463"/>
      <c r="I708" s="2463"/>
      <c r="J708" s="2463"/>
      <c r="K708" s="2463"/>
      <c r="L708" s="2463"/>
      <c r="M708" s="2463"/>
      <c r="N708" s="2463"/>
      <c r="O708" s="2463"/>
      <c r="P708" s="2463"/>
      <c r="Q708" s="2463"/>
      <c r="R708" s="2463"/>
      <c r="S708" s="2463"/>
      <c r="T708" s="2463"/>
      <c r="U708" s="2463"/>
      <c r="V708" s="2463"/>
      <c r="W708" s="2463"/>
      <c r="X708" s="2463"/>
      <c r="Y708" s="2463"/>
      <c r="Z708" s="2463"/>
      <c r="AA708" s="2463"/>
      <c r="AB708" s="2463"/>
      <c r="AC708" s="536"/>
      <c r="AD708" s="536"/>
      <c r="AE708" s="614"/>
      <c r="AF708" s="536"/>
      <c r="AG708" s="536"/>
      <c r="AH708" s="536"/>
      <c r="AI708" s="536"/>
      <c r="AJ708" s="536"/>
      <c r="AK708" s="536"/>
      <c r="AL708" s="536"/>
      <c r="AN708" s="595"/>
      <c r="AO708" s="2532" t="b">
        <f>IF(Application!D211="Special Needs",IF(AY708&gt;=0.25,TRUE,FALSE),IF(AX708&gt;=0.25,TRUE,FALSE))</f>
        <v>0</v>
      </c>
      <c r="AP708" s="2532"/>
      <c r="AW708" s="22" t="s">
        <v>2142</v>
      </c>
      <c r="AX708" s="549">
        <f>IFERROR(AX707/AX703,0)</f>
        <v>0</v>
      </c>
      <c r="AY708" s="549">
        <f>IFERROR(AX707/(AX703-AX702),0)</f>
        <v>0</v>
      </c>
    </row>
    <row r="709" spans="1:51" s="549" customFormat="1" ht="12.75" customHeight="1">
      <c r="B709" s="536"/>
      <c r="C709" s="936"/>
      <c r="E709" s="2463"/>
      <c r="F709" s="2463"/>
      <c r="G709" s="2463"/>
      <c r="H709" s="2463"/>
      <c r="I709" s="2463"/>
      <c r="J709" s="2463"/>
      <c r="K709" s="2463"/>
      <c r="L709" s="2463"/>
      <c r="M709" s="2463"/>
      <c r="N709" s="2463"/>
      <c r="O709" s="2463"/>
      <c r="P709" s="2463"/>
      <c r="Q709" s="2463"/>
      <c r="R709" s="2463"/>
      <c r="S709" s="2463"/>
      <c r="T709" s="2463"/>
      <c r="U709" s="2463"/>
      <c r="V709" s="2463"/>
      <c r="W709" s="2463"/>
      <c r="X709" s="2463"/>
      <c r="Y709" s="2463"/>
      <c r="Z709" s="2463"/>
      <c r="AA709" s="2463"/>
      <c r="AB709" s="2463"/>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3"/>
      <c r="F710" s="2463"/>
      <c r="G710" s="2463"/>
      <c r="H710" s="2463"/>
      <c r="I710" s="2463"/>
      <c r="J710" s="2463"/>
      <c r="K710" s="2463"/>
      <c r="L710" s="2463"/>
      <c r="M710" s="2463"/>
      <c r="N710" s="2463"/>
      <c r="O710" s="2463"/>
      <c r="P710" s="2463"/>
      <c r="Q710" s="2463"/>
      <c r="R710" s="2463"/>
      <c r="S710" s="2463"/>
      <c r="T710" s="2463"/>
      <c r="U710" s="2463"/>
      <c r="V710" s="2463"/>
      <c r="W710" s="2463"/>
      <c r="X710" s="2463"/>
      <c r="Y710" s="2463"/>
      <c r="Z710" s="2463"/>
      <c r="AA710" s="2463"/>
      <c r="AB710" s="2463"/>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463" t="s">
        <v>2089</v>
      </c>
      <c r="F712" s="2463"/>
      <c r="G712" s="2463"/>
      <c r="H712" s="2463"/>
      <c r="I712" s="2463"/>
      <c r="J712" s="2463"/>
      <c r="K712" s="2463"/>
      <c r="L712" s="2463"/>
      <c r="M712" s="2463"/>
      <c r="N712" s="2463"/>
      <c r="O712" s="2463"/>
      <c r="P712" s="2463"/>
      <c r="Q712" s="2463"/>
      <c r="R712" s="2463"/>
      <c r="S712" s="2463"/>
      <c r="T712" s="2463"/>
      <c r="U712" s="2463"/>
      <c r="V712" s="2463"/>
      <c r="W712" s="2463"/>
      <c r="X712" s="2463"/>
      <c r="Y712" s="2463"/>
      <c r="Z712" s="2463"/>
      <c r="AA712" s="2463"/>
      <c r="AB712" s="2463"/>
      <c r="AC712" s="536"/>
      <c r="AD712" s="536"/>
      <c r="AE712" s="536"/>
      <c r="AF712" s="2446" t="s">
        <v>1399</v>
      </c>
      <c r="AG712" s="2446"/>
      <c r="AH712" s="2446"/>
      <c r="AI712" s="2446"/>
      <c r="AJ712" s="2446"/>
      <c r="AK712" s="2446"/>
      <c r="AL712" s="2446"/>
      <c r="AN712" s="595"/>
      <c r="AO712" s="609" t="s">
        <v>508</v>
      </c>
      <c r="AP712" s="549">
        <v>1</v>
      </c>
    </row>
    <row r="713" spans="1:51" s="549" customFormat="1" ht="12" customHeight="1">
      <c r="B713" s="536"/>
      <c r="C713" s="927"/>
      <c r="E713" s="2463"/>
      <c r="F713" s="2463"/>
      <c r="G713" s="2463"/>
      <c r="H713" s="2463"/>
      <c r="I713" s="2463"/>
      <c r="J713" s="2463"/>
      <c r="K713" s="2463"/>
      <c r="L713" s="2463"/>
      <c r="M713" s="2463"/>
      <c r="N713" s="2463"/>
      <c r="O713" s="2463"/>
      <c r="P713" s="2463"/>
      <c r="Q713" s="2463"/>
      <c r="R713" s="2463"/>
      <c r="S713" s="2463"/>
      <c r="T713" s="2463"/>
      <c r="U713" s="2463"/>
      <c r="V713" s="2463"/>
      <c r="W713" s="2463"/>
      <c r="X713" s="2463"/>
      <c r="Y713" s="2463"/>
      <c r="Z713" s="2463"/>
      <c r="AA713" s="2463"/>
      <c r="AB713" s="2463"/>
      <c r="AC713" s="536"/>
      <c r="AD713" s="536"/>
      <c r="AE713" s="614"/>
      <c r="AF713" s="536"/>
      <c r="AG713" s="536"/>
      <c r="AH713" s="536"/>
      <c r="AI713" s="536"/>
      <c r="AJ713" s="536"/>
      <c r="AK713" s="536"/>
      <c r="AL713" s="536"/>
      <c r="AN713" s="595"/>
    </row>
    <row r="714" spans="1:51" s="549" customFormat="1" ht="12" customHeight="1">
      <c r="B714" s="536"/>
      <c r="C714" s="927"/>
      <c r="D714" s="536"/>
      <c r="E714" s="2463"/>
      <c r="F714" s="2463"/>
      <c r="G714" s="2463"/>
      <c r="H714" s="2463"/>
      <c r="I714" s="2463"/>
      <c r="J714" s="2463"/>
      <c r="K714" s="2463"/>
      <c r="L714" s="2463"/>
      <c r="M714" s="2463"/>
      <c r="N714" s="2463"/>
      <c r="O714" s="2463"/>
      <c r="P714" s="2463"/>
      <c r="Q714" s="2463"/>
      <c r="R714" s="2463"/>
      <c r="S714" s="2463"/>
      <c r="T714" s="2463"/>
      <c r="U714" s="2463"/>
      <c r="V714" s="2463"/>
      <c r="W714" s="2463"/>
      <c r="X714" s="2463"/>
      <c r="Y714" s="2463"/>
      <c r="Z714" s="2463"/>
      <c r="AA714" s="2463"/>
      <c r="AB714" s="2463"/>
      <c r="AC714" s="536"/>
      <c r="AD714" s="536"/>
      <c r="AE714" s="614"/>
      <c r="AF714" s="536"/>
      <c r="AG714" s="536"/>
      <c r="AH714" s="536"/>
      <c r="AI714" s="536"/>
      <c r="AJ714" s="536"/>
      <c r="AK714" s="536"/>
      <c r="AL714" s="536"/>
      <c r="AN714" s="595"/>
    </row>
    <row r="715" spans="1:51" s="549" customFormat="1" ht="12" customHeight="1">
      <c r="B715" s="536"/>
      <c r="C715" s="927"/>
      <c r="D715" s="536"/>
      <c r="E715" s="2463"/>
      <c r="F715" s="2463"/>
      <c r="G715" s="2463"/>
      <c r="H715" s="2463"/>
      <c r="I715" s="2463"/>
      <c r="J715" s="2463"/>
      <c r="K715" s="2463"/>
      <c r="L715" s="2463"/>
      <c r="M715" s="2463"/>
      <c r="N715" s="2463"/>
      <c r="O715" s="2463"/>
      <c r="P715" s="2463"/>
      <c r="Q715" s="2463"/>
      <c r="R715" s="2463"/>
      <c r="S715" s="2463"/>
      <c r="T715" s="2463"/>
      <c r="U715" s="2463"/>
      <c r="V715" s="2463"/>
      <c r="W715" s="2463"/>
      <c r="X715" s="2463"/>
      <c r="Y715" s="2463"/>
      <c r="Z715" s="2463"/>
      <c r="AA715" s="2463"/>
      <c r="AB715" s="2463"/>
      <c r="AC715" s="536"/>
      <c r="AD715" s="536"/>
      <c r="AE715" s="614"/>
      <c r="AF715" s="536"/>
      <c r="AG715" s="536"/>
      <c r="AH715" s="536"/>
      <c r="AI715" s="536"/>
      <c r="AJ715" s="536"/>
      <c r="AK715" s="536"/>
      <c r="AL715" s="536"/>
      <c r="AN715" s="595"/>
    </row>
    <row r="716" spans="1:51" s="568" customFormat="1" ht="13" customHeight="1">
      <c r="A716" s="549"/>
      <c r="B716" s="536"/>
      <c r="C716" s="927"/>
      <c r="D716" s="536"/>
      <c r="E716" s="2463"/>
      <c r="F716" s="2463"/>
      <c r="G716" s="2463"/>
      <c r="H716" s="2463"/>
      <c r="I716" s="2463"/>
      <c r="J716" s="2463"/>
      <c r="K716" s="2463"/>
      <c r="L716" s="2463"/>
      <c r="M716" s="2463"/>
      <c r="N716" s="2463"/>
      <c r="O716" s="2463"/>
      <c r="P716" s="2463"/>
      <c r="Q716" s="2463"/>
      <c r="R716" s="2463"/>
      <c r="S716" s="2463"/>
      <c r="T716" s="2463"/>
      <c r="U716" s="2463"/>
      <c r="V716" s="2463"/>
      <c r="W716" s="2463"/>
      <c r="X716" s="2463"/>
      <c r="Y716" s="2463"/>
      <c r="Z716" s="2463"/>
      <c r="AA716" s="2463"/>
      <c r="AB716" s="2463"/>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63" t="s">
        <v>1681</v>
      </c>
      <c r="F718" s="2463"/>
      <c r="G718" s="2463"/>
      <c r="H718" s="2463"/>
      <c r="I718" s="2463"/>
      <c r="J718" s="2463"/>
      <c r="K718" s="2463"/>
      <c r="L718" s="2463"/>
      <c r="M718" s="2463"/>
      <c r="N718" s="2463"/>
      <c r="O718" s="2463"/>
      <c r="P718" s="2463"/>
      <c r="Q718" s="2463"/>
      <c r="R718" s="2463"/>
      <c r="S718" s="2463"/>
      <c r="T718" s="2463"/>
      <c r="U718" s="2463"/>
      <c r="V718" s="2463"/>
      <c r="W718" s="2463"/>
      <c r="X718" s="2463"/>
      <c r="Y718" s="2463"/>
      <c r="Z718" s="2463"/>
      <c r="AA718" s="2463"/>
      <c r="AB718" s="2463"/>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463"/>
      <c r="F719" s="2463"/>
      <c r="G719" s="2463"/>
      <c r="H719" s="2463"/>
      <c r="I719" s="2463"/>
      <c r="J719" s="2463"/>
      <c r="K719" s="2463"/>
      <c r="L719" s="2463"/>
      <c r="M719" s="2463"/>
      <c r="N719" s="2463"/>
      <c r="O719" s="2463"/>
      <c r="P719" s="2463"/>
      <c r="Q719" s="2463"/>
      <c r="R719" s="2463"/>
      <c r="S719" s="2463"/>
      <c r="T719" s="2463"/>
      <c r="U719" s="2463"/>
      <c r="V719" s="2463"/>
      <c r="W719" s="2463"/>
      <c r="X719" s="2463"/>
      <c r="Y719" s="2463"/>
      <c r="Z719" s="2463"/>
      <c r="AA719" s="2463"/>
      <c r="AB719" s="2463"/>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463"/>
      <c r="F720" s="2463"/>
      <c r="G720" s="2463"/>
      <c r="H720" s="2463"/>
      <c r="I720" s="2463"/>
      <c r="J720" s="2463"/>
      <c r="K720" s="2463"/>
      <c r="L720" s="2463"/>
      <c r="M720" s="2463"/>
      <c r="N720" s="2463"/>
      <c r="O720" s="2463"/>
      <c r="P720" s="2463"/>
      <c r="Q720" s="2463"/>
      <c r="R720" s="2463"/>
      <c r="S720" s="2463"/>
      <c r="T720" s="2463"/>
      <c r="U720" s="2463"/>
      <c r="V720" s="2463"/>
      <c r="W720" s="2463"/>
      <c r="X720" s="2463"/>
      <c r="Y720" s="2463"/>
      <c r="Z720" s="2463"/>
      <c r="AA720" s="2463"/>
      <c r="AB720" s="2463"/>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26" t="s">
        <v>590</v>
      </c>
      <c r="I722" s="2526"/>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71">
        <f>VLOOKUP($H$722,$AO$716:$AP$719,2,FALSE)</f>
        <v>0</v>
      </c>
      <c r="AK724" s="2473"/>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4" t="s">
        <v>1683</v>
      </c>
      <c r="F728" s="2534"/>
      <c r="G728" s="2534"/>
      <c r="H728" s="2534"/>
      <c r="I728" s="2534"/>
      <c r="J728" s="2534"/>
      <c r="K728" s="2534"/>
      <c r="L728" s="2534"/>
      <c r="M728" s="2534"/>
      <c r="N728" s="2534"/>
      <c r="O728" s="2534"/>
      <c r="P728" s="2534"/>
      <c r="Q728" s="2534"/>
      <c r="R728" s="2534"/>
      <c r="S728" s="2534"/>
      <c r="T728" s="2534"/>
      <c r="U728" s="2534"/>
      <c r="V728" s="2534"/>
      <c r="W728" s="2534"/>
      <c r="X728" s="2534"/>
      <c r="Y728" s="2534"/>
      <c r="Z728" s="2534"/>
      <c r="AA728" s="2534"/>
      <c r="AB728" s="2534"/>
      <c r="AC728" s="536"/>
      <c r="AD728" s="536"/>
      <c r="AE728" s="536"/>
      <c r="AF728" s="2446" t="s">
        <v>1345</v>
      </c>
      <c r="AG728" s="2446"/>
      <c r="AH728" s="2446"/>
      <c r="AI728" s="2446"/>
      <c r="AJ728" s="2446"/>
      <c r="AK728" s="2446"/>
      <c r="AL728" s="2446"/>
      <c r="AM728" s="549"/>
      <c r="AN728" s="680"/>
      <c r="AP728" s="568" t="s">
        <v>1423</v>
      </c>
    </row>
    <row r="729" spans="1:43" s="568" customFormat="1" ht="11.9" customHeight="1">
      <c r="A729" s="549"/>
      <c r="B729" s="536"/>
      <c r="C729" s="929"/>
      <c r="D729" s="659"/>
      <c r="E729" s="2534"/>
      <c r="F729" s="2534"/>
      <c r="G729" s="2534"/>
      <c r="H729" s="2534"/>
      <c r="I729" s="2534"/>
      <c r="J729" s="2534"/>
      <c r="K729" s="2534"/>
      <c r="L729" s="2534"/>
      <c r="M729" s="2534"/>
      <c r="N729" s="2534"/>
      <c r="O729" s="2534"/>
      <c r="P729" s="2534"/>
      <c r="Q729" s="2534"/>
      <c r="R729" s="2534"/>
      <c r="S729" s="2534"/>
      <c r="T729" s="2534"/>
      <c r="U729" s="2534"/>
      <c r="V729" s="2534"/>
      <c r="W729" s="2534"/>
      <c r="X729" s="2534"/>
      <c r="Y729" s="2534"/>
      <c r="Z729" s="2534"/>
      <c r="AA729" s="2534"/>
      <c r="AB729" s="2534"/>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34"/>
      <c r="F730" s="2534"/>
      <c r="G730" s="2534"/>
      <c r="H730" s="2534"/>
      <c r="I730" s="2534"/>
      <c r="J730" s="2534"/>
      <c r="K730" s="2534"/>
      <c r="L730" s="2534"/>
      <c r="M730" s="2534"/>
      <c r="N730" s="2534"/>
      <c r="O730" s="2534"/>
      <c r="P730" s="2534"/>
      <c r="Q730" s="2534"/>
      <c r="R730" s="2534"/>
      <c r="S730" s="2534"/>
      <c r="T730" s="2534"/>
      <c r="U730" s="2534"/>
      <c r="V730" s="2534"/>
      <c r="W730" s="2534"/>
      <c r="X730" s="2534"/>
      <c r="Y730" s="2534"/>
      <c r="Z730" s="2534"/>
      <c r="AA730" s="2534"/>
      <c r="AB730" s="2534"/>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508</v>
      </c>
      <c r="E732" s="2535" t="s">
        <v>1426</v>
      </c>
      <c r="F732" s="2535"/>
      <c r="G732" s="2535"/>
      <c r="H732" s="2535"/>
      <c r="I732" s="2535"/>
      <c r="J732" s="2535"/>
      <c r="K732" s="2535"/>
      <c r="L732" s="2535"/>
      <c r="M732" s="2535"/>
      <c r="N732" s="2535"/>
      <c r="O732" s="2535"/>
      <c r="P732" s="2535"/>
      <c r="Q732" s="2535"/>
      <c r="R732" s="2535"/>
      <c r="S732" s="2535"/>
      <c r="T732" s="2535"/>
      <c r="U732" s="2535"/>
      <c r="V732" s="2535"/>
      <c r="W732" s="2535"/>
      <c r="X732" s="2535"/>
      <c r="Y732" s="2535"/>
      <c r="Z732" s="2535"/>
      <c r="AA732" s="2535"/>
      <c r="AB732" s="2535"/>
      <c r="AC732" s="536"/>
      <c r="AD732" s="536"/>
      <c r="AE732" s="536"/>
      <c r="AF732" s="2446" t="s">
        <v>1399</v>
      </c>
      <c r="AG732" s="2446"/>
      <c r="AH732" s="2446"/>
      <c r="AI732" s="2446"/>
      <c r="AJ732" s="2446"/>
      <c r="AK732" s="2446"/>
      <c r="AL732" s="2446"/>
      <c r="AM732" s="549"/>
      <c r="AN732" s="681"/>
    </row>
    <row r="733" spans="1:43" s="568" customFormat="1" ht="12.75" customHeight="1">
      <c r="A733" s="549"/>
      <c r="B733" s="536"/>
      <c r="C733" s="929"/>
      <c r="D733" s="536"/>
      <c r="E733" s="2535"/>
      <c r="F733" s="2535"/>
      <c r="G733" s="2535"/>
      <c r="H733" s="2535"/>
      <c r="I733" s="2535"/>
      <c r="J733" s="2535"/>
      <c r="K733" s="2535"/>
      <c r="L733" s="2535"/>
      <c r="M733" s="2535"/>
      <c r="N733" s="2535"/>
      <c r="O733" s="2535"/>
      <c r="P733" s="2535"/>
      <c r="Q733" s="2535"/>
      <c r="R733" s="2535"/>
      <c r="S733" s="2535"/>
      <c r="T733" s="2535"/>
      <c r="U733" s="2535"/>
      <c r="V733" s="2535"/>
      <c r="W733" s="2535"/>
      <c r="X733" s="2535"/>
      <c r="Y733" s="2535"/>
      <c r="Z733" s="2535"/>
      <c r="AA733" s="2535"/>
      <c r="AB733" s="2535"/>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5"/>
      <c r="F734" s="2535"/>
      <c r="G734" s="2535"/>
      <c r="H734" s="2535"/>
      <c r="I734" s="2535"/>
      <c r="J734" s="2535"/>
      <c r="K734" s="2535"/>
      <c r="L734" s="2535"/>
      <c r="M734" s="2535"/>
      <c r="N734" s="2535"/>
      <c r="O734" s="2535"/>
      <c r="P734" s="2535"/>
      <c r="Q734" s="2535"/>
      <c r="R734" s="2535"/>
      <c r="S734" s="2535"/>
      <c r="T734" s="2535"/>
      <c r="U734" s="2535"/>
      <c r="V734" s="2535"/>
      <c r="W734" s="2535"/>
      <c r="X734" s="2535"/>
      <c r="Y734" s="2535"/>
      <c r="Z734" s="2535"/>
      <c r="AA734" s="2535"/>
      <c r="AB734" s="2535"/>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1391</v>
      </c>
      <c r="E736" s="932"/>
      <c r="F736" s="932"/>
      <c r="G736" s="932"/>
      <c r="H736" s="2526" t="s">
        <v>686</v>
      </c>
      <c r="I736" s="2526"/>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71">
        <f>VLOOKUP($H$736,$AP$733:$AQ$735,2,FALSE)</f>
        <v>3</v>
      </c>
      <c r="AK738" s="2473"/>
      <c r="AL738" s="593"/>
      <c r="AM738" s="549"/>
      <c r="AN738" s="680"/>
      <c r="AP738" s="2471"/>
      <c r="AQ738" s="2473"/>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686</v>
      </c>
      <c r="E742" s="2463" t="s">
        <v>1684</v>
      </c>
      <c r="F742" s="2463"/>
      <c r="G742" s="2463"/>
      <c r="H742" s="2463"/>
      <c r="I742" s="2463"/>
      <c r="J742" s="2463"/>
      <c r="K742" s="2463"/>
      <c r="L742" s="2463"/>
      <c r="M742" s="2463"/>
      <c r="N742" s="2463"/>
      <c r="O742" s="2463"/>
      <c r="P742" s="2463"/>
      <c r="Q742" s="2463"/>
      <c r="R742" s="2463"/>
      <c r="S742" s="2463"/>
      <c r="T742" s="2463"/>
      <c r="U742" s="2463"/>
      <c r="V742" s="2463"/>
      <c r="W742" s="2463"/>
      <c r="X742" s="2463"/>
      <c r="Y742" s="2463"/>
      <c r="Z742" s="2463"/>
      <c r="AA742" s="2463"/>
      <c r="AB742" s="2463"/>
      <c r="AC742" s="536"/>
      <c r="AD742" s="536"/>
      <c r="AE742" s="536"/>
      <c r="AF742" s="2446" t="s">
        <v>1345</v>
      </c>
      <c r="AG742" s="2446"/>
      <c r="AH742" s="2446"/>
      <c r="AI742" s="2446"/>
      <c r="AJ742" s="2446"/>
      <c r="AK742" s="2446"/>
      <c r="AL742" s="2446"/>
      <c r="AM742" s="549"/>
      <c r="AN742" s="680"/>
      <c r="AT742" s="14"/>
      <c r="AU742" s="14"/>
      <c r="AV742" s="14"/>
      <c r="AW742" s="14"/>
      <c r="AX742" s="14"/>
      <c r="AY742" s="14"/>
      <c r="AZ742" s="14"/>
    </row>
    <row r="743" spans="1:81" s="568" customFormat="1" ht="13">
      <c r="A743" s="549"/>
      <c r="B743" s="536"/>
      <c r="C743" s="929"/>
      <c r="D743" s="659"/>
      <c r="E743" s="2463"/>
      <c r="F743" s="2463"/>
      <c r="G743" s="2463"/>
      <c r="H743" s="2463"/>
      <c r="I743" s="2463"/>
      <c r="J743" s="2463"/>
      <c r="K743" s="2463"/>
      <c r="L743" s="2463"/>
      <c r="M743" s="2463"/>
      <c r="N743" s="2463"/>
      <c r="O743" s="2463"/>
      <c r="P743" s="2463"/>
      <c r="Q743" s="2463"/>
      <c r="R743" s="2463"/>
      <c r="S743" s="2463"/>
      <c r="T743" s="2463"/>
      <c r="U743" s="2463"/>
      <c r="V743" s="2463"/>
      <c r="W743" s="2463"/>
      <c r="X743" s="2463"/>
      <c r="Y743" s="2463"/>
      <c r="Z743" s="2463"/>
      <c r="AA743" s="2463"/>
      <c r="AB743" s="2463"/>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63" t="s">
        <v>1430</v>
      </c>
      <c r="F745" s="2463"/>
      <c r="G745" s="2463"/>
      <c r="H745" s="2463"/>
      <c r="I745" s="2463"/>
      <c r="J745" s="2463"/>
      <c r="K745" s="2463"/>
      <c r="L745" s="2463"/>
      <c r="M745" s="2463"/>
      <c r="N745" s="2463"/>
      <c r="O745" s="2463"/>
      <c r="P745" s="2463"/>
      <c r="Q745" s="2463"/>
      <c r="R745" s="2463"/>
      <c r="S745" s="2463"/>
      <c r="T745" s="2463"/>
      <c r="U745" s="2463"/>
      <c r="V745" s="2463"/>
      <c r="W745" s="2463"/>
      <c r="X745" s="2463"/>
      <c r="Y745" s="2463"/>
      <c r="Z745" s="2463"/>
      <c r="AA745" s="2463"/>
      <c r="AB745" s="2463"/>
      <c r="AC745" s="536"/>
      <c r="AD745" s="536"/>
      <c r="AE745" s="536"/>
      <c r="AF745" s="2446" t="s">
        <v>1399</v>
      </c>
      <c r="AG745" s="2446"/>
      <c r="AH745" s="2446"/>
      <c r="AI745" s="2446"/>
      <c r="AJ745" s="2446"/>
      <c r="AK745" s="2446"/>
      <c r="AL745" s="2446"/>
      <c r="AM745" s="549"/>
      <c r="AN745" s="680"/>
      <c r="AT745" s="14"/>
      <c r="AU745" s="14"/>
      <c r="AV745" s="14"/>
      <c r="AW745" s="14"/>
      <c r="AX745" s="14"/>
      <c r="AY745" s="14"/>
      <c r="AZ745" s="14"/>
    </row>
    <row r="746" spans="1:81" s="568" customFormat="1" ht="13">
      <c r="A746" s="549"/>
      <c r="B746" s="536"/>
      <c r="C746" s="929"/>
      <c r="D746" s="536"/>
      <c r="E746" s="2463"/>
      <c r="F746" s="2463"/>
      <c r="G746" s="2463"/>
      <c r="H746" s="2463"/>
      <c r="I746" s="2463"/>
      <c r="J746" s="2463"/>
      <c r="K746" s="2463"/>
      <c r="L746" s="2463"/>
      <c r="M746" s="2463"/>
      <c r="N746" s="2463"/>
      <c r="O746" s="2463"/>
      <c r="P746" s="2463"/>
      <c r="Q746" s="2463"/>
      <c r="R746" s="2463"/>
      <c r="S746" s="2463"/>
      <c r="T746" s="2463"/>
      <c r="U746" s="2463"/>
      <c r="V746" s="2463"/>
      <c r="W746" s="2463"/>
      <c r="X746" s="2463"/>
      <c r="Y746" s="2463"/>
      <c r="Z746" s="2463"/>
      <c r="AA746" s="2463"/>
      <c r="AB746" s="2463"/>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26" t="s">
        <v>590</v>
      </c>
      <c r="I748" s="2526"/>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71">
        <f>VLOOKUP($H$748,$AO$679:$AP$681,2,FALSE)</f>
        <v>0</v>
      </c>
      <c r="AK750" s="2473"/>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686</v>
      </c>
      <c r="E754" s="2463" t="s">
        <v>1433</v>
      </c>
      <c r="F754" s="2463"/>
      <c r="G754" s="2463"/>
      <c r="H754" s="2463"/>
      <c r="I754" s="2463"/>
      <c r="J754" s="2463"/>
      <c r="K754" s="2463"/>
      <c r="L754" s="2463"/>
      <c r="M754" s="2463"/>
      <c r="N754" s="2463"/>
      <c r="O754" s="2463"/>
      <c r="P754" s="2463"/>
      <c r="Q754" s="2463"/>
      <c r="R754" s="2463"/>
      <c r="S754" s="2463"/>
      <c r="T754" s="2463"/>
      <c r="U754" s="2463"/>
      <c r="V754" s="2463"/>
      <c r="W754" s="2463"/>
      <c r="X754" s="2463"/>
      <c r="Y754" s="2463"/>
      <c r="Z754" s="2463"/>
      <c r="AA754" s="2463"/>
      <c r="AB754" s="2463"/>
      <c r="AC754" s="536"/>
      <c r="AD754" s="536"/>
      <c r="AE754" s="536"/>
      <c r="AF754" s="2446" t="s">
        <v>1345</v>
      </c>
      <c r="AG754" s="2446"/>
      <c r="AH754" s="2446"/>
      <c r="AI754" s="2446"/>
      <c r="AJ754" s="2446"/>
      <c r="AK754" s="2446"/>
      <c r="AL754" s="2446"/>
      <c r="AM754" s="549"/>
      <c r="AN754" s="680"/>
      <c r="AT754" s="14"/>
      <c r="AU754" s="14"/>
      <c r="AV754" s="14"/>
      <c r="AW754" s="14"/>
      <c r="AX754" s="14"/>
      <c r="AY754" s="14"/>
      <c r="AZ754" s="14"/>
    </row>
    <row r="755" spans="1:81" s="568" customFormat="1" ht="13">
      <c r="A755" s="549"/>
      <c r="B755" s="536"/>
      <c r="C755" s="927"/>
      <c r="D755" s="659"/>
      <c r="E755" s="2463"/>
      <c r="F755" s="2463"/>
      <c r="G755" s="2463"/>
      <c r="H755" s="2463"/>
      <c r="I755" s="2463"/>
      <c r="J755" s="2463"/>
      <c r="K755" s="2463"/>
      <c r="L755" s="2463"/>
      <c r="M755" s="2463"/>
      <c r="N755" s="2463"/>
      <c r="O755" s="2463"/>
      <c r="P755" s="2463"/>
      <c r="Q755" s="2463"/>
      <c r="R755" s="2463"/>
      <c r="S755" s="2463"/>
      <c r="T755" s="2463"/>
      <c r="U755" s="2463"/>
      <c r="V755" s="2463"/>
      <c r="W755" s="2463"/>
      <c r="X755" s="2463"/>
      <c r="Y755" s="2463"/>
      <c r="Z755" s="2463"/>
      <c r="AA755" s="2463"/>
      <c r="AB755" s="2463"/>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463"/>
      <c r="F756" s="2463"/>
      <c r="G756" s="2463"/>
      <c r="H756" s="2463"/>
      <c r="I756" s="2463"/>
      <c r="J756" s="2463"/>
      <c r="K756" s="2463"/>
      <c r="L756" s="2463"/>
      <c r="M756" s="2463"/>
      <c r="N756" s="2463"/>
      <c r="O756" s="2463"/>
      <c r="P756" s="2463"/>
      <c r="Q756" s="2463"/>
      <c r="R756" s="2463"/>
      <c r="S756" s="2463"/>
      <c r="T756" s="2463"/>
      <c r="U756" s="2463"/>
      <c r="V756" s="2463"/>
      <c r="W756" s="2463"/>
      <c r="X756" s="2463"/>
      <c r="Y756" s="2463"/>
      <c r="Z756" s="2463"/>
      <c r="AA756" s="2463"/>
      <c r="AB756" s="2463"/>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3"/>
      <c r="F757" s="2463"/>
      <c r="G757" s="2463"/>
      <c r="H757" s="2463"/>
      <c r="I757" s="2463"/>
      <c r="J757" s="2463"/>
      <c r="K757" s="2463"/>
      <c r="L757" s="2463"/>
      <c r="M757" s="2463"/>
      <c r="N757" s="2463"/>
      <c r="O757" s="2463"/>
      <c r="P757" s="2463"/>
      <c r="Q757" s="2463"/>
      <c r="R757" s="2463"/>
      <c r="S757" s="2463"/>
      <c r="T757" s="2463"/>
      <c r="U757" s="2463"/>
      <c r="V757" s="2463"/>
      <c r="W757" s="2463"/>
      <c r="X757" s="2463"/>
      <c r="Y757" s="2463"/>
      <c r="Z757" s="2463"/>
      <c r="AA757" s="2463"/>
      <c r="AB757" s="2463"/>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508</v>
      </c>
      <c r="E759" s="2463" t="s">
        <v>1434</v>
      </c>
      <c r="F759" s="2463"/>
      <c r="G759" s="2463"/>
      <c r="H759" s="2463"/>
      <c r="I759" s="2463"/>
      <c r="J759" s="2463"/>
      <c r="K759" s="2463"/>
      <c r="L759" s="2463"/>
      <c r="M759" s="2463"/>
      <c r="N759" s="2463"/>
      <c r="O759" s="2463"/>
      <c r="P759" s="2463"/>
      <c r="Q759" s="2463"/>
      <c r="R759" s="2463"/>
      <c r="S759" s="2463"/>
      <c r="T759" s="2463"/>
      <c r="U759" s="2463"/>
      <c r="V759" s="2463"/>
      <c r="W759" s="2463"/>
      <c r="X759" s="2463"/>
      <c r="Y759" s="2463"/>
      <c r="Z759" s="2463"/>
      <c r="AA759" s="2463"/>
      <c r="AB759" s="573"/>
      <c r="AC759" s="536"/>
      <c r="AD759" s="536"/>
      <c r="AE759" s="536"/>
      <c r="AF759" s="2446" t="s">
        <v>1399</v>
      </c>
      <c r="AG759" s="2446"/>
      <c r="AH759" s="2446"/>
      <c r="AI759" s="2446"/>
      <c r="AJ759" s="2446"/>
      <c r="AK759" s="2446"/>
      <c r="AL759" s="2446"/>
      <c r="AM759" s="549"/>
      <c r="AN759" s="680"/>
      <c r="AO759" s="30"/>
      <c r="AP759" s="14"/>
    </row>
    <row r="760" spans="1:81" s="568" customFormat="1" ht="13">
      <c r="A760" s="549"/>
      <c r="B760" s="536"/>
      <c r="C760" s="927"/>
      <c r="D760" s="659"/>
      <c r="E760" s="2463"/>
      <c r="F760" s="2463"/>
      <c r="G760" s="2463"/>
      <c r="H760" s="2463"/>
      <c r="I760" s="2463"/>
      <c r="J760" s="2463"/>
      <c r="K760" s="2463"/>
      <c r="L760" s="2463"/>
      <c r="M760" s="2463"/>
      <c r="N760" s="2463"/>
      <c r="O760" s="2463"/>
      <c r="P760" s="2463"/>
      <c r="Q760" s="2463"/>
      <c r="R760" s="2463"/>
      <c r="S760" s="2463"/>
      <c r="T760" s="2463"/>
      <c r="U760" s="2463"/>
      <c r="V760" s="2463"/>
      <c r="W760" s="2463"/>
      <c r="X760" s="2463"/>
      <c r="Y760" s="2463"/>
      <c r="Z760" s="2463"/>
      <c r="AA760" s="2463"/>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463"/>
      <c r="F761" s="2463"/>
      <c r="G761" s="2463"/>
      <c r="H761" s="2463"/>
      <c r="I761" s="2463"/>
      <c r="J761" s="2463"/>
      <c r="K761" s="2463"/>
      <c r="L761" s="2463"/>
      <c r="M761" s="2463"/>
      <c r="N761" s="2463"/>
      <c r="O761" s="2463"/>
      <c r="P761" s="2463"/>
      <c r="Q761" s="2463"/>
      <c r="R761" s="2463"/>
      <c r="S761" s="2463"/>
      <c r="T761" s="2463"/>
      <c r="U761" s="2463"/>
      <c r="V761" s="2463"/>
      <c r="W761" s="2463"/>
      <c r="X761" s="2463"/>
      <c r="Y761" s="2463"/>
      <c r="Z761" s="2463"/>
      <c r="AA761" s="2463"/>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463"/>
      <c r="F762" s="2463"/>
      <c r="G762" s="2463"/>
      <c r="H762" s="2463"/>
      <c r="I762" s="2463"/>
      <c r="J762" s="2463"/>
      <c r="K762" s="2463"/>
      <c r="L762" s="2463"/>
      <c r="M762" s="2463"/>
      <c r="N762" s="2463"/>
      <c r="O762" s="2463"/>
      <c r="P762" s="2463"/>
      <c r="Q762" s="2463"/>
      <c r="R762" s="2463"/>
      <c r="S762" s="2463"/>
      <c r="T762" s="2463"/>
      <c r="U762" s="2463"/>
      <c r="V762" s="2463"/>
      <c r="W762" s="2463"/>
      <c r="X762" s="2463"/>
      <c r="Y762" s="2463"/>
      <c r="Z762" s="2463"/>
      <c r="AA762" s="2463"/>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26" t="s">
        <v>508</v>
      </c>
      <c r="I764" s="2526"/>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71">
        <f>VLOOKUP($H$764,$AO$693:$AP$695,2,FALSE)</f>
        <v>2</v>
      </c>
      <c r="AK766" s="2473"/>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686</v>
      </c>
      <c r="E770" s="2463" t="s">
        <v>1436</v>
      </c>
      <c r="F770" s="2463"/>
      <c r="G770" s="2463"/>
      <c r="H770" s="2463"/>
      <c r="I770" s="2463"/>
      <c r="J770" s="2463"/>
      <c r="K770" s="2463"/>
      <c r="L770" s="2463"/>
      <c r="M770" s="2463"/>
      <c r="N770" s="2463"/>
      <c r="O770" s="2463"/>
      <c r="P770" s="2463"/>
      <c r="Q770" s="2463"/>
      <c r="R770" s="2463"/>
      <c r="S770" s="2463"/>
      <c r="T770" s="2463"/>
      <c r="U770" s="2463"/>
      <c r="V770" s="2463"/>
      <c r="W770" s="2463"/>
      <c r="X770" s="2463"/>
      <c r="Y770" s="2463"/>
      <c r="Z770" s="2463"/>
      <c r="AA770" s="2463"/>
      <c r="AB770" s="2463"/>
      <c r="AC770" s="536"/>
      <c r="AD770" s="536"/>
      <c r="AE770" s="536"/>
      <c r="AF770" s="2446" t="s">
        <v>1399</v>
      </c>
      <c r="AG770" s="2446"/>
      <c r="AH770" s="2446"/>
      <c r="AI770" s="2446"/>
      <c r="AJ770" s="2446"/>
      <c r="AK770" s="2446"/>
      <c r="AL770" s="2446"/>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463"/>
      <c r="F771" s="2463"/>
      <c r="G771" s="2463"/>
      <c r="H771" s="2463"/>
      <c r="I771" s="2463"/>
      <c r="J771" s="2463"/>
      <c r="K771" s="2463"/>
      <c r="L771" s="2463"/>
      <c r="M771" s="2463"/>
      <c r="N771" s="2463"/>
      <c r="O771" s="2463"/>
      <c r="P771" s="2463"/>
      <c r="Q771" s="2463"/>
      <c r="R771" s="2463"/>
      <c r="S771" s="2463"/>
      <c r="T771" s="2463"/>
      <c r="U771" s="2463"/>
      <c r="V771" s="2463"/>
      <c r="W771" s="2463"/>
      <c r="X771" s="2463"/>
      <c r="Y771" s="2463"/>
      <c r="Z771" s="2463"/>
      <c r="AA771" s="2463"/>
      <c r="AB771" s="2463"/>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508</v>
      </c>
      <c r="E773" s="2463" t="s">
        <v>1437</v>
      </c>
      <c r="F773" s="2463"/>
      <c r="G773" s="2463"/>
      <c r="H773" s="2463"/>
      <c r="I773" s="2463"/>
      <c r="J773" s="2463"/>
      <c r="K773" s="2463"/>
      <c r="L773" s="2463"/>
      <c r="M773" s="2463"/>
      <c r="N773" s="2463"/>
      <c r="O773" s="2463"/>
      <c r="P773" s="2463"/>
      <c r="Q773" s="2463"/>
      <c r="R773" s="2463"/>
      <c r="S773" s="2463"/>
      <c r="T773" s="2463"/>
      <c r="U773" s="2463"/>
      <c r="V773" s="2463"/>
      <c r="W773" s="2463"/>
      <c r="X773" s="2463"/>
      <c r="Y773" s="2463"/>
      <c r="Z773" s="2463"/>
      <c r="AA773" s="2463"/>
      <c r="AB773" s="2463"/>
      <c r="AC773" s="536"/>
      <c r="AD773" s="536"/>
      <c r="AE773" s="536"/>
      <c r="AF773" s="2446" t="s">
        <v>1416</v>
      </c>
      <c r="AG773" s="2446"/>
      <c r="AH773" s="2446"/>
      <c r="AI773" s="2446"/>
      <c r="AJ773" s="2446"/>
      <c r="AK773" s="2446"/>
      <c r="AL773" s="2446"/>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3"/>
      <c r="F774" s="2463"/>
      <c r="G774" s="2463"/>
      <c r="H774" s="2463"/>
      <c r="I774" s="2463"/>
      <c r="J774" s="2463"/>
      <c r="K774" s="2463"/>
      <c r="L774" s="2463"/>
      <c r="M774" s="2463"/>
      <c r="N774" s="2463"/>
      <c r="O774" s="2463"/>
      <c r="P774" s="2463"/>
      <c r="Q774" s="2463"/>
      <c r="R774" s="2463"/>
      <c r="S774" s="2463"/>
      <c r="T774" s="2463"/>
      <c r="U774" s="2463"/>
      <c r="V774" s="2463"/>
      <c r="W774" s="2463"/>
      <c r="X774" s="2463"/>
      <c r="Y774" s="2463"/>
      <c r="Z774" s="2463"/>
      <c r="AA774" s="2463"/>
      <c r="AB774" s="2463"/>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26" t="s">
        <v>686</v>
      </c>
      <c r="I776" s="2526"/>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71">
        <f>VLOOKUP($H$776,$AO$710:$AP$712,2,FALSE)</f>
        <v>2</v>
      </c>
      <c r="AK778" s="2473"/>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686</v>
      </c>
      <c r="E782" s="2463" t="s">
        <v>1680</v>
      </c>
      <c r="F782" s="2463"/>
      <c r="G782" s="2463"/>
      <c r="H782" s="2463"/>
      <c r="I782" s="2463"/>
      <c r="J782" s="2463"/>
      <c r="K782" s="2463"/>
      <c r="L782" s="2463"/>
      <c r="M782" s="2463"/>
      <c r="N782" s="2463"/>
      <c r="O782" s="2463"/>
      <c r="P782" s="2463"/>
      <c r="Q782" s="2463"/>
      <c r="R782" s="2463"/>
      <c r="S782" s="2463"/>
      <c r="T782" s="2463"/>
      <c r="U782" s="2463"/>
      <c r="V782" s="2463"/>
      <c r="W782" s="2463"/>
      <c r="X782" s="2463"/>
      <c r="Y782" s="2463"/>
      <c r="Z782" s="2463"/>
      <c r="AA782" s="2463"/>
      <c r="AB782" s="2463"/>
      <c r="AC782" s="2463"/>
      <c r="AD782" s="2463"/>
      <c r="AE782" s="536"/>
      <c r="AF782" s="2446" t="s">
        <v>1399</v>
      </c>
      <c r="AG782" s="2446"/>
      <c r="AH782" s="2446"/>
      <c r="AI782" s="2446"/>
      <c r="AJ782" s="2446"/>
      <c r="AK782" s="2446"/>
      <c r="AL782" s="2446"/>
      <c r="AM782" s="611"/>
      <c r="AN782" s="680"/>
      <c r="AO782" s="549" t="s">
        <v>590</v>
      </c>
      <c r="AP782" s="669">
        <v>0</v>
      </c>
    </row>
    <row r="783" spans="1:74" s="568" customFormat="1" ht="13.75" customHeight="1">
      <c r="A783" s="549"/>
      <c r="B783" s="614"/>
      <c r="C783" s="936"/>
      <c r="D783" s="659"/>
      <c r="E783" s="2463"/>
      <c r="F783" s="2463"/>
      <c r="G783" s="2463"/>
      <c r="H783" s="2463"/>
      <c r="I783" s="2463"/>
      <c r="J783" s="2463"/>
      <c r="K783" s="2463"/>
      <c r="L783" s="2463"/>
      <c r="M783" s="2463"/>
      <c r="N783" s="2463"/>
      <c r="O783" s="2463"/>
      <c r="P783" s="2463"/>
      <c r="Q783" s="2463"/>
      <c r="R783" s="2463"/>
      <c r="S783" s="2463"/>
      <c r="T783" s="2463"/>
      <c r="U783" s="2463"/>
      <c r="V783" s="2463"/>
      <c r="W783" s="2463"/>
      <c r="X783" s="2463"/>
      <c r="Y783" s="2463"/>
      <c r="Z783" s="2463"/>
      <c r="AA783" s="2463"/>
      <c r="AB783" s="2463"/>
      <c r="AC783" s="2463"/>
      <c r="AD783" s="2463"/>
      <c r="AE783" s="536"/>
      <c r="AF783" s="592"/>
      <c r="AG783" s="592"/>
      <c r="AH783" s="592"/>
      <c r="AI783" s="592"/>
      <c r="AJ783" s="592"/>
      <c r="AK783" s="592"/>
      <c r="AL783" s="592"/>
      <c r="AM783" s="611"/>
      <c r="AN783" s="680"/>
      <c r="AO783" s="609" t="s">
        <v>686</v>
      </c>
      <c r="AP783" s="549">
        <v>2</v>
      </c>
    </row>
    <row r="784" spans="1:74" s="568" customFormat="1" ht="13">
      <c r="A784" s="549"/>
      <c r="B784" s="614"/>
      <c r="C784" s="936"/>
      <c r="D784" s="659"/>
      <c r="E784" s="2463"/>
      <c r="F784" s="2463"/>
      <c r="G784" s="2463"/>
      <c r="H784" s="2463"/>
      <c r="I784" s="2463"/>
      <c r="J784" s="2463"/>
      <c r="K784" s="2463"/>
      <c r="L784" s="2463"/>
      <c r="M784" s="2463"/>
      <c r="N784" s="2463"/>
      <c r="O784" s="2463"/>
      <c r="P784" s="2463"/>
      <c r="Q784" s="2463"/>
      <c r="R784" s="2463"/>
      <c r="S784" s="2463"/>
      <c r="T784" s="2463"/>
      <c r="U784" s="2463"/>
      <c r="V784" s="2463"/>
      <c r="W784" s="2463"/>
      <c r="X784" s="2463"/>
      <c r="Y784" s="2463"/>
      <c r="Z784" s="2463"/>
      <c r="AA784" s="2463"/>
      <c r="AB784" s="2463"/>
      <c r="AC784" s="2463"/>
      <c r="AD784" s="2463"/>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463"/>
      <c r="F785" s="2463"/>
      <c r="G785" s="2463"/>
      <c r="H785" s="2463"/>
      <c r="I785" s="2463"/>
      <c r="J785" s="2463"/>
      <c r="K785" s="2463"/>
      <c r="L785" s="2463"/>
      <c r="M785" s="2463"/>
      <c r="N785" s="2463"/>
      <c r="O785" s="2463"/>
      <c r="P785" s="2463"/>
      <c r="Q785" s="2463"/>
      <c r="R785" s="2463"/>
      <c r="S785" s="2463"/>
      <c r="T785" s="2463"/>
      <c r="U785" s="2463"/>
      <c r="V785" s="2463"/>
      <c r="W785" s="2463"/>
      <c r="X785" s="2463"/>
      <c r="Y785" s="2463"/>
      <c r="Z785" s="2463"/>
      <c r="AA785" s="2463"/>
      <c r="AB785" s="2463"/>
      <c r="AC785" s="2463"/>
      <c r="AD785" s="2463"/>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6" t="s">
        <v>1685</v>
      </c>
      <c r="F787" s="2536"/>
      <c r="G787" s="2536"/>
      <c r="H787" s="2536"/>
      <c r="I787" s="2536"/>
      <c r="J787" s="2536"/>
      <c r="K787" s="2536"/>
      <c r="L787" s="2536"/>
      <c r="M787" s="2536"/>
      <c r="N787" s="2536"/>
      <c r="O787" s="2536"/>
      <c r="P787" s="2536"/>
      <c r="Q787" s="2536"/>
      <c r="R787" s="2536"/>
      <c r="S787" s="2536"/>
      <c r="T787" s="2536"/>
      <c r="U787" s="2536"/>
      <c r="V787" s="2536"/>
      <c r="W787" s="2536"/>
      <c r="X787" s="2536"/>
      <c r="Y787" s="2536"/>
      <c r="Z787" s="2536"/>
      <c r="AA787" s="2536"/>
      <c r="AB787" s="2536"/>
      <c r="AC787" s="2536"/>
      <c r="AD787" s="2536"/>
      <c r="AE787" s="536"/>
      <c r="AF787" s="2446" t="s">
        <v>1345</v>
      </c>
      <c r="AG787" s="2446"/>
      <c r="AH787" s="2446"/>
      <c r="AI787" s="2446"/>
      <c r="AJ787" s="2446"/>
      <c r="AK787" s="2446"/>
      <c r="AL787" s="2446"/>
      <c r="AM787" s="611"/>
      <c r="AN787" s="595"/>
    </row>
    <row r="788" spans="1:81" s="549" customFormat="1" ht="12.75" customHeight="1">
      <c r="B788" s="614"/>
      <c r="C788" s="936"/>
      <c r="D788" s="659"/>
      <c r="E788" s="2536"/>
      <c r="F788" s="2536"/>
      <c r="G788" s="2536"/>
      <c r="H788" s="2536"/>
      <c r="I788" s="2536"/>
      <c r="J788" s="2536"/>
      <c r="K788" s="2536"/>
      <c r="L788" s="2536"/>
      <c r="M788" s="2536"/>
      <c r="N788" s="2536"/>
      <c r="O788" s="2536"/>
      <c r="P788" s="2536"/>
      <c r="Q788" s="2536"/>
      <c r="R788" s="2536"/>
      <c r="S788" s="2536"/>
      <c r="T788" s="2536"/>
      <c r="U788" s="2536"/>
      <c r="V788" s="2536"/>
      <c r="W788" s="2536"/>
      <c r="X788" s="2536"/>
      <c r="Y788" s="2536"/>
      <c r="Z788" s="2536"/>
      <c r="AA788" s="2536"/>
      <c r="AB788" s="2536"/>
      <c r="AC788" s="2536"/>
      <c r="AD788" s="2536"/>
      <c r="AE788" s="592"/>
      <c r="AF788" s="592"/>
      <c r="AG788" s="592"/>
      <c r="AH788" s="592"/>
      <c r="AI788" s="592"/>
      <c r="AJ788" s="592"/>
      <c r="AK788" s="592"/>
      <c r="AL788" s="592"/>
      <c r="AM788" s="611"/>
      <c r="AN788" s="595"/>
    </row>
    <row r="789" spans="1:81" s="549" customFormat="1" ht="12.75" customHeight="1">
      <c r="B789" s="614"/>
      <c r="C789" s="936"/>
      <c r="D789" s="659"/>
      <c r="E789" s="2536"/>
      <c r="F789" s="2536"/>
      <c r="G789" s="2536"/>
      <c r="H789" s="2536"/>
      <c r="I789" s="2536"/>
      <c r="J789" s="2536"/>
      <c r="K789" s="2536"/>
      <c r="L789" s="2536"/>
      <c r="M789" s="2536"/>
      <c r="N789" s="2536"/>
      <c r="O789" s="2536"/>
      <c r="P789" s="2536"/>
      <c r="Q789" s="2536"/>
      <c r="R789" s="2536"/>
      <c r="S789" s="2536"/>
      <c r="T789" s="2536"/>
      <c r="U789" s="2536"/>
      <c r="V789" s="2536"/>
      <c r="W789" s="2536"/>
      <c r="X789" s="2536"/>
      <c r="Y789" s="2536"/>
      <c r="Z789" s="2536"/>
      <c r="AA789" s="2536"/>
      <c r="AB789" s="2536"/>
      <c r="AC789" s="2536"/>
      <c r="AD789" s="2536"/>
      <c r="AE789" s="592"/>
      <c r="AF789" s="592"/>
      <c r="AG789" s="592"/>
      <c r="AH789" s="592"/>
      <c r="AI789" s="592"/>
      <c r="AJ789" s="592"/>
      <c r="AK789" s="592"/>
      <c r="AL789" s="592"/>
      <c r="AM789" s="611"/>
      <c r="AN789" s="595"/>
    </row>
    <row r="790" spans="1:81" s="549" customFormat="1" ht="12.75" customHeight="1">
      <c r="B790" s="614"/>
      <c r="C790" s="936"/>
      <c r="D790" s="659"/>
      <c r="E790" s="2536"/>
      <c r="F790" s="2536"/>
      <c r="G790" s="2536"/>
      <c r="H790" s="2536"/>
      <c r="I790" s="2536"/>
      <c r="J790" s="2536"/>
      <c r="K790" s="2536"/>
      <c r="L790" s="2536"/>
      <c r="M790" s="2536"/>
      <c r="N790" s="2536"/>
      <c r="O790" s="2536"/>
      <c r="P790" s="2536"/>
      <c r="Q790" s="2536"/>
      <c r="R790" s="2536"/>
      <c r="S790" s="2536"/>
      <c r="T790" s="2536"/>
      <c r="U790" s="2536"/>
      <c r="V790" s="2536"/>
      <c r="W790" s="2536"/>
      <c r="X790" s="2536"/>
      <c r="Y790" s="2536"/>
      <c r="Z790" s="2536"/>
      <c r="AA790" s="2536"/>
      <c r="AB790" s="2536"/>
      <c r="AC790" s="2536"/>
      <c r="AD790" s="2536"/>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26" t="s">
        <v>590</v>
      </c>
      <c r="I792" s="2526"/>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71">
        <f>VLOOKUP($H$792,$AO$782:$AP$784,2,FALSE)</f>
        <v>0</v>
      </c>
      <c r="AK794" s="2473"/>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686</v>
      </c>
      <c r="E798" s="2463" t="s">
        <v>2637</v>
      </c>
      <c r="F798" s="2463"/>
      <c r="G798" s="2463"/>
      <c r="H798" s="2463"/>
      <c r="I798" s="2463"/>
      <c r="J798" s="2463"/>
      <c r="K798" s="2463"/>
      <c r="L798" s="2463"/>
      <c r="M798" s="2463"/>
      <c r="N798" s="2463"/>
      <c r="O798" s="2463"/>
      <c r="P798" s="2463"/>
      <c r="Q798" s="2463"/>
      <c r="R798" s="2463"/>
      <c r="S798" s="2463"/>
      <c r="T798" s="2463"/>
      <c r="U798" s="2463"/>
      <c r="V798" s="2463"/>
      <c r="W798" s="2463"/>
      <c r="X798" s="2463"/>
      <c r="Y798" s="2463"/>
      <c r="Z798" s="2463"/>
      <c r="AA798" s="2463"/>
      <c r="AB798" s="2463"/>
      <c r="AC798" s="2463"/>
      <c r="AD798" s="2463"/>
      <c r="AE798" s="536"/>
      <c r="AF798" s="2446" t="s">
        <v>1345</v>
      </c>
      <c r="AG798" s="2446"/>
      <c r="AH798" s="2446"/>
      <c r="AI798" s="2446"/>
      <c r="AJ798" s="2446"/>
      <c r="AK798" s="2446"/>
      <c r="AL798" s="2446"/>
      <c r="AM798" s="611"/>
      <c r="AN798" s="680"/>
      <c r="AO798" s="609" t="s">
        <v>544</v>
      </c>
      <c r="AP798" s="549">
        <v>3</v>
      </c>
      <c r="AT798" s="670"/>
      <c r="AU798" s="670"/>
      <c r="AV798" s="670"/>
      <c r="AW798" s="670"/>
      <c r="AX798" s="670"/>
      <c r="AY798" s="670"/>
      <c r="AZ798" s="670"/>
    </row>
    <row r="799" spans="1:81" s="568" customFormat="1" ht="13.75" customHeight="1">
      <c r="A799" s="549"/>
      <c r="B799" s="614"/>
      <c r="C799" s="936"/>
      <c r="D799" s="659"/>
      <c r="E799" s="2463"/>
      <c r="F799" s="2463"/>
      <c r="G799" s="2463"/>
      <c r="H799" s="2463"/>
      <c r="I799" s="2463"/>
      <c r="J799" s="2463"/>
      <c r="K799" s="2463"/>
      <c r="L799" s="2463"/>
      <c r="M799" s="2463"/>
      <c r="N799" s="2463"/>
      <c r="O799" s="2463"/>
      <c r="P799" s="2463"/>
      <c r="Q799" s="2463"/>
      <c r="R799" s="2463"/>
      <c r="S799" s="2463"/>
      <c r="T799" s="2463"/>
      <c r="U799" s="2463"/>
      <c r="V799" s="2463"/>
      <c r="W799" s="2463"/>
      <c r="X799" s="2463"/>
      <c r="Y799" s="2463"/>
      <c r="Z799" s="2463"/>
      <c r="AA799" s="2463"/>
      <c r="AB799" s="2463"/>
      <c r="AC799" s="2463"/>
      <c r="AD799" s="2463"/>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463"/>
      <c r="F800" s="2463"/>
      <c r="G800" s="2463"/>
      <c r="H800" s="2463"/>
      <c r="I800" s="2463"/>
      <c r="J800" s="2463"/>
      <c r="K800" s="2463"/>
      <c r="L800" s="2463"/>
      <c r="M800" s="2463"/>
      <c r="N800" s="2463"/>
      <c r="O800" s="2463"/>
      <c r="P800" s="2463"/>
      <c r="Q800" s="2463"/>
      <c r="R800" s="2463"/>
      <c r="S800" s="2463"/>
      <c r="T800" s="2463"/>
      <c r="U800" s="2463"/>
      <c r="V800" s="2463"/>
      <c r="W800" s="2463"/>
      <c r="X800" s="2463"/>
      <c r="Y800" s="2463"/>
      <c r="Z800" s="2463"/>
      <c r="AA800" s="2463"/>
      <c r="AB800" s="2463"/>
      <c r="AC800" s="2463"/>
      <c r="AD800" s="2463"/>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463"/>
      <c r="F801" s="2463"/>
      <c r="G801" s="2463"/>
      <c r="H801" s="2463"/>
      <c r="I801" s="2463"/>
      <c r="J801" s="2463"/>
      <c r="K801" s="2463"/>
      <c r="L801" s="2463"/>
      <c r="M801" s="2463"/>
      <c r="N801" s="2463"/>
      <c r="O801" s="2463"/>
      <c r="P801" s="2463"/>
      <c r="Q801" s="2463"/>
      <c r="R801" s="2463"/>
      <c r="S801" s="2463"/>
      <c r="T801" s="2463"/>
      <c r="U801" s="2463"/>
      <c r="V801" s="2463"/>
      <c r="W801" s="2463"/>
      <c r="X801" s="2463"/>
      <c r="Y801" s="2463"/>
      <c r="Z801" s="2463"/>
      <c r="AA801" s="2463"/>
      <c r="AB801" s="2463"/>
      <c r="AC801" s="2463"/>
      <c r="AD801" s="2463"/>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1391</v>
      </c>
      <c r="E803" s="932"/>
      <c r="F803" s="932"/>
      <c r="G803" s="932"/>
      <c r="H803" s="2526" t="s">
        <v>590</v>
      </c>
      <c r="I803" s="2526"/>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71">
        <f>VLOOKUP($H$803,$AO$797:$AP$798,2,FALSE)</f>
        <v>0</v>
      </c>
      <c r="AK805" s="2473"/>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2598</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63" t="s">
        <v>2599</v>
      </c>
      <c r="F809" s="2463"/>
      <c r="G809" s="2463"/>
      <c r="H809" s="2463"/>
      <c r="I809" s="2463"/>
      <c r="J809" s="2463"/>
      <c r="K809" s="2463"/>
      <c r="L809" s="2463"/>
      <c r="M809" s="2463"/>
      <c r="N809" s="2463"/>
      <c r="O809" s="2463"/>
      <c r="P809" s="2463"/>
      <c r="Q809" s="2463"/>
      <c r="R809" s="2463"/>
      <c r="S809" s="2463"/>
      <c r="T809" s="2463"/>
      <c r="U809" s="2463"/>
      <c r="V809" s="2463"/>
      <c r="W809" s="2463"/>
      <c r="X809" s="2463"/>
      <c r="Y809" s="2463"/>
      <c r="Z809" s="2463"/>
      <c r="AA809" s="2463"/>
      <c r="AB809" s="2463"/>
      <c r="AC809" s="2463"/>
      <c r="AD809" s="2463"/>
      <c r="AE809" s="550"/>
      <c r="AF809" s="2446" t="s">
        <v>1370</v>
      </c>
      <c r="AG809" s="2446"/>
      <c r="AH809" s="2446"/>
      <c r="AI809" s="2446"/>
      <c r="AJ809" s="2446"/>
      <c r="AK809" s="2446"/>
      <c r="AL809" s="2446"/>
      <c r="AN809" s="595"/>
    </row>
    <row r="810" spans="1:81" s="549" customFormat="1" ht="12.75" customHeight="1">
      <c r="B810" s="614"/>
      <c r="C810" s="684"/>
      <c r="D810" s="659"/>
      <c r="E810" s="2463"/>
      <c r="F810" s="2463"/>
      <c r="G810" s="2463"/>
      <c r="H810" s="2463"/>
      <c r="I810" s="2463"/>
      <c r="J810" s="2463"/>
      <c r="K810" s="2463"/>
      <c r="L810" s="2463"/>
      <c r="M810" s="2463"/>
      <c r="N810" s="2463"/>
      <c r="O810" s="2463"/>
      <c r="P810" s="2463"/>
      <c r="Q810" s="2463"/>
      <c r="R810" s="2463"/>
      <c r="S810" s="2463"/>
      <c r="T810" s="2463"/>
      <c r="U810" s="2463"/>
      <c r="V810" s="2463"/>
      <c r="W810" s="2463"/>
      <c r="X810" s="2463"/>
      <c r="Y810" s="2463"/>
      <c r="Z810" s="2463"/>
      <c r="AA810" s="2463"/>
      <c r="AB810" s="2463"/>
      <c r="AC810" s="2463"/>
      <c r="AD810" s="2463"/>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1391</v>
      </c>
      <c r="E812" s="932"/>
      <c r="F812" s="932"/>
      <c r="G812" s="932"/>
      <c r="H812" s="2526" t="s">
        <v>590</v>
      </c>
      <c r="I812" s="2526"/>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2600</v>
      </c>
      <c r="AJ814" s="2471">
        <f>IF(H812="Yes",5,0)</f>
        <v>0</v>
      </c>
      <c r="AK814" s="2473"/>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71">
        <f>IF(($AJ$634+$AJ$653+$AJ$665+$AJ$700+$AJ$724+$AJ$738+$AJ$750+$AJ$766+$AJ$778+$AJ$794+AJ805+AJ814)&gt;10,10,($AJ$634+$AJ$653+$AJ$665+$AJ$700+$AJ$724+$AJ$738+$AJ$750+$AJ$766+$AJ$778+$AJ$794+AJ805+AJ814))</f>
        <v>10</v>
      </c>
      <c r="AL816" s="2472"/>
      <c r="AM816" s="2473"/>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58" t="s">
        <v>1557</v>
      </c>
      <c r="B819" s="2559"/>
      <c r="C819" s="2559"/>
      <c r="D819" s="2559"/>
      <c r="E819" s="2559"/>
      <c r="F819" s="2559"/>
      <c r="G819" s="2559"/>
      <c r="H819" s="2559"/>
      <c r="I819" s="2559"/>
      <c r="J819" s="2559"/>
      <c r="K819" s="2559"/>
      <c r="L819" s="2559"/>
      <c r="M819" s="2559"/>
      <c r="N819" s="2559"/>
      <c r="O819" s="2559"/>
      <c r="P819" s="2559"/>
      <c r="Q819" s="2559"/>
      <c r="R819" s="2559"/>
      <c r="S819" s="2559"/>
      <c r="T819" s="2559"/>
      <c r="U819" s="2559"/>
      <c r="V819" s="2559"/>
      <c r="W819" s="2559"/>
      <c r="X819" s="2559"/>
      <c r="Y819" s="2559"/>
      <c r="Z819" s="2559"/>
      <c r="AA819" s="2559"/>
      <c r="AB819" s="2559"/>
      <c r="AC819" s="2559"/>
      <c r="AD819" s="2559"/>
      <c r="AE819" s="2559"/>
      <c r="AF819" s="2559"/>
      <c r="AG819" s="2559"/>
      <c r="AH819" s="2559"/>
      <c r="AI819" s="2559"/>
      <c r="AJ819" s="2559"/>
      <c r="AK819" s="2559"/>
      <c r="AL819" s="2559"/>
      <c r="AM819" s="2559"/>
    </row>
    <row r="820" spans="1:43">
      <c r="A820" s="2560"/>
      <c r="B820" s="2560"/>
      <c r="C820" s="2560"/>
      <c r="D820" s="2560"/>
      <c r="E820" s="2560"/>
      <c r="F820" s="2560"/>
      <c r="G820" s="2560"/>
      <c r="H820" s="2560"/>
      <c r="I820" s="2560"/>
      <c r="J820" s="2560"/>
      <c r="K820" s="2560"/>
      <c r="L820" s="2560"/>
      <c r="M820" s="2560"/>
      <c r="N820" s="2560"/>
      <c r="O820" s="2560"/>
      <c r="P820" s="2560"/>
      <c r="Q820" s="2560"/>
      <c r="R820" s="2560"/>
      <c r="S820" s="2560"/>
      <c r="T820" s="2560"/>
      <c r="U820" s="2560"/>
      <c r="V820" s="2560"/>
      <c r="W820" s="2560"/>
      <c r="X820" s="2560"/>
      <c r="Y820" s="2560"/>
      <c r="Z820" s="2560"/>
      <c r="AA820" s="2560"/>
      <c r="AB820" s="2560"/>
      <c r="AC820" s="2560"/>
      <c r="AD820" s="2560"/>
      <c r="AE820" s="2560"/>
      <c r="AF820" s="2560"/>
      <c r="AG820" s="2560"/>
      <c r="AH820" s="2560"/>
      <c r="AI820" s="2560"/>
      <c r="AJ820" s="2560"/>
      <c r="AK820" s="2560"/>
      <c r="AL820" s="2560"/>
      <c r="AM820" s="2560"/>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509"/>
      <c r="B822" s="2509"/>
      <c r="C822" s="2509"/>
      <c r="D822" s="2509"/>
      <c r="E822" s="2509"/>
      <c r="F822" s="2509"/>
      <c r="G822" s="2509"/>
      <c r="H822" s="2509"/>
      <c r="I822" s="2509"/>
      <c r="J822" s="2509"/>
      <c r="K822" s="2509"/>
      <c r="L822" s="2509"/>
      <c r="M822" s="2509"/>
      <c r="N822" s="2509"/>
      <c r="O822" s="2509"/>
      <c r="P822" s="2509"/>
      <c r="Q822" s="2509"/>
      <c r="R822" s="2509"/>
      <c r="S822" s="2509"/>
      <c r="T822" s="2509"/>
      <c r="U822" s="2509"/>
      <c r="V822" s="2509"/>
      <c r="W822" s="2509"/>
      <c r="X822" s="2509"/>
      <c r="Y822" s="2509"/>
      <c r="Z822" s="2509"/>
      <c r="AA822" s="2509"/>
      <c r="AB822" s="2509"/>
      <c r="AC822" s="2509"/>
      <c r="AD822" s="2509"/>
      <c r="AE822" s="2509"/>
      <c r="AF822" s="2509"/>
      <c r="AG822" s="2509"/>
      <c r="AH822" s="2509"/>
      <c r="AI822" s="2509"/>
      <c r="AJ822" s="2509"/>
      <c r="AK822" s="2509"/>
      <c r="AL822" s="2509"/>
      <c r="AM822" s="2509"/>
      <c r="AP822" s="812"/>
      <c r="AQ822" s="812"/>
    </row>
    <row r="823" spans="1:43" ht="13">
      <c r="A823" s="2509"/>
      <c r="B823" s="2509"/>
      <c r="C823" s="2509"/>
      <c r="D823" s="2509"/>
      <c r="E823" s="2509"/>
      <c r="F823" s="2509"/>
      <c r="G823" s="2509"/>
      <c r="H823" s="2509"/>
      <c r="I823" s="2509"/>
      <c r="J823" s="2509"/>
      <c r="K823" s="2509"/>
      <c r="L823" s="2509"/>
      <c r="M823" s="2509"/>
      <c r="N823" s="2509"/>
      <c r="O823" s="2509"/>
      <c r="P823" s="2509"/>
      <c r="Q823" s="2509"/>
      <c r="R823" s="2509"/>
      <c r="S823" s="2509"/>
      <c r="T823" s="2509"/>
      <c r="U823" s="2509"/>
      <c r="V823" s="2509"/>
      <c r="W823" s="2509"/>
      <c r="X823" s="2509"/>
      <c r="Y823" s="2509"/>
      <c r="Z823" s="2509"/>
      <c r="AA823" s="2509"/>
      <c r="AB823" s="2509"/>
      <c r="AC823" s="2509"/>
      <c r="AD823" s="2509"/>
      <c r="AE823" s="2509"/>
      <c r="AF823" s="2509"/>
      <c r="AG823" s="2509"/>
      <c r="AH823" s="2509"/>
      <c r="AI823" s="2509"/>
      <c r="AJ823" s="2509"/>
      <c r="AK823" s="2509"/>
      <c r="AL823" s="2509"/>
      <c r="AM823" s="2509"/>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61" t="s">
        <v>1558</v>
      </c>
      <c r="U824" s="2562"/>
      <c r="V824" s="2562"/>
      <c r="W824" s="2562"/>
      <c r="X824" s="2562"/>
      <c r="Y824" s="2563"/>
      <c r="Z824" s="2561" t="s">
        <v>1559</v>
      </c>
      <c r="AA824" s="2562"/>
      <c r="AB824" s="2562"/>
      <c r="AC824" s="2562"/>
      <c r="AD824" s="2562"/>
      <c r="AE824" s="2563"/>
      <c r="AF824" s="2561" t="s">
        <v>1560</v>
      </c>
      <c r="AG824" s="2562"/>
      <c r="AH824" s="2562"/>
      <c r="AI824" s="2562"/>
      <c r="AJ824" s="2562"/>
      <c r="AK824" s="2563"/>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64"/>
      <c r="U825" s="2565"/>
      <c r="V825" s="2565"/>
      <c r="W825" s="2565"/>
      <c r="X825" s="2565"/>
      <c r="Y825" s="2566"/>
      <c r="Z825" s="2564"/>
      <c r="AA825" s="2565"/>
      <c r="AB825" s="2565"/>
      <c r="AC825" s="2565"/>
      <c r="AD825" s="2565"/>
      <c r="AE825" s="2566"/>
      <c r="AF825" s="2564"/>
      <c r="AG825" s="2565"/>
      <c r="AH825" s="2565"/>
      <c r="AI825" s="2565"/>
      <c r="AJ825" s="2565"/>
      <c r="AK825" s="2566"/>
      <c r="AL825" s="814"/>
      <c r="AM825" s="594"/>
      <c r="AO825" s="812"/>
      <c r="AP825" s="812"/>
      <c r="AQ825" s="812"/>
    </row>
    <row r="826" spans="1:43" ht="13">
      <c r="A826" s="815" t="s">
        <v>756</v>
      </c>
      <c r="B826" s="2541" t="str">
        <f>B7</f>
        <v xml:space="preserve">Acquisition/Rehabilitation Project Priorities </v>
      </c>
      <c r="C826" s="2541"/>
      <c r="D826" s="2541"/>
      <c r="E826" s="2541"/>
      <c r="F826" s="2541"/>
      <c r="G826" s="2541"/>
      <c r="H826" s="2541"/>
      <c r="I826" s="2541"/>
      <c r="J826" s="2541"/>
      <c r="K826" s="2541"/>
      <c r="L826" s="2541"/>
      <c r="M826" s="2541"/>
      <c r="N826" s="2541"/>
      <c r="O826" s="2541"/>
      <c r="P826" s="2541"/>
      <c r="Q826" s="2541"/>
      <c r="R826" s="2541"/>
      <c r="S826" s="2542"/>
      <c r="T826" s="2543">
        <f>AK61</f>
        <v>19</v>
      </c>
      <c r="U826" s="2544"/>
      <c r="V826" s="2544"/>
      <c r="W826" s="2544"/>
      <c r="X826" s="2544"/>
      <c r="Y826" s="2545"/>
      <c r="Z826" s="2546">
        <v>20</v>
      </c>
      <c r="AA826" s="2544"/>
      <c r="AB826" s="2544"/>
      <c r="AC826" s="2544"/>
      <c r="AD826" s="2544"/>
      <c r="AE826" s="2545"/>
      <c r="AF826" s="2539">
        <f>IF(T826&gt;Z826,Z826,T826)</f>
        <v>19</v>
      </c>
      <c r="AG826" s="2539"/>
      <c r="AH826" s="2539"/>
      <c r="AI826" s="2539"/>
      <c r="AJ826" s="2539"/>
      <c r="AK826" s="2539"/>
      <c r="AL826" s="814"/>
      <c r="AM826" s="594"/>
      <c r="AO826" s="812"/>
      <c r="AP826" s="812"/>
      <c r="AQ826" s="812"/>
    </row>
    <row r="827" spans="1:43" ht="13">
      <c r="A827" s="815" t="s">
        <v>1531</v>
      </c>
      <c r="B827" s="2541" t="s">
        <v>1306</v>
      </c>
      <c r="C827" s="2541"/>
      <c r="D827" s="2541"/>
      <c r="E827" s="2541"/>
      <c r="F827" s="2541"/>
      <c r="G827" s="2541"/>
      <c r="H827" s="2541"/>
      <c r="I827" s="2541"/>
      <c r="J827" s="2541"/>
      <c r="K827" s="2541"/>
      <c r="L827" s="2541"/>
      <c r="M827" s="2541"/>
      <c r="N827" s="2541"/>
      <c r="O827" s="2541"/>
      <c r="P827" s="2541"/>
      <c r="Q827" s="2541"/>
      <c r="R827" s="2541"/>
      <c r="S827" s="2542"/>
      <c r="T827" s="2543">
        <f>AK83</f>
        <v>0</v>
      </c>
      <c r="U827" s="2544"/>
      <c r="V827" s="2544"/>
      <c r="W827" s="2544"/>
      <c r="X827" s="2544"/>
      <c r="Y827" s="2545"/>
      <c r="Z827" s="2546">
        <v>10</v>
      </c>
      <c r="AA827" s="2544"/>
      <c r="AB827" s="2544"/>
      <c r="AC827" s="2544"/>
      <c r="AD827" s="2544"/>
      <c r="AE827" s="2545"/>
      <c r="AF827" s="2539">
        <f>IF(T827&gt;Z827,Z827,T827)</f>
        <v>0</v>
      </c>
      <c r="AG827" s="2539"/>
      <c r="AH827" s="2539"/>
      <c r="AI827" s="2539"/>
      <c r="AJ827" s="2539"/>
      <c r="AK827" s="2539"/>
      <c r="AL827" s="814"/>
      <c r="AM827" s="594"/>
      <c r="AO827" s="812"/>
      <c r="AP827" s="812"/>
      <c r="AQ827" s="812"/>
    </row>
    <row r="828" spans="1:43" ht="13">
      <c r="A828" s="815" t="s">
        <v>1540</v>
      </c>
      <c r="B828" s="2541" t="s">
        <v>1316</v>
      </c>
      <c r="C828" s="2541"/>
      <c r="D828" s="2541"/>
      <c r="E828" s="2541"/>
      <c r="F828" s="2541"/>
      <c r="G828" s="2541"/>
      <c r="H828" s="2541"/>
      <c r="I828" s="2541"/>
      <c r="J828" s="2541"/>
      <c r="K828" s="2541"/>
      <c r="L828" s="2541"/>
      <c r="M828" s="2541"/>
      <c r="N828" s="2541"/>
      <c r="O828" s="2541"/>
      <c r="P828" s="2541"/>
      <c r="Q828" s="2541"/>
      <c r="R828" s="2541"/>
      <c r="S828" s="2542"/>
      <c r="T828" s="2543">
        <f>AK108</f>
        <v>20</v>
      </c>
      <c r="U828" s="2544"/>
      <c r="V828" s="2544"/>
      <c r="W828" s="2544"/>
      <c r="X828" s="2544"/>
      <c r="Y828" s="2545"/>
      <c r="Z828" s="2546">
        <v>20</v>
      </c>
      <c r="AA828" s="2544"/>
      <c r="AB828" s="2544"/>
      <c r="AC828" s="2544"/>
      <c r="AD828" s="2544"/>
      <c r="AE828" s="2545"/>
      <c r="AF828" s="2539">
        <f>IF(T828&gt;Z828,Z828,T828)</f>
        <v>20</v>
      </c>
      <c r="AG828" s="2539"/>
      <c r="AH828" s="2539"/>
      <c r="AI828" s="2539"/>
      <c r="AJ828" s="2539"/>
      <c r="AK828" s="2539"/>
      <c r="AL828" s="814"/>
      <c r="AM828" s="594"/>
      <c r="AO828" s="812"/>
      <c r="AP828" s="812"/>
      <c r="AQ828" s="812"/>
    </row>
    <row r="829" spans="1:43" ht="13">
      <c r="A829" s="815" t="s">
        <v>1561</v>
      </c>
      <c r="B829" s="2541" t="s">
        <v>1326</v>
      </c>
      <c r="C829" s="2541"/>
      <c r="D829" s="2541"/>
      <c r="E829" s="2541"/>
      <c r="F829" s="2541"/>
      <c r="G829" s="2541"/>
      <c r="H829" s="2541"/>
      <c r="I829" s="2541"/>
      <c r="J829" s="2541"/>
      <c r="K829" s="2541"/>
      <c r="L829" s="2541"/>
      <c r="M829" s="2541"/>
      <c r="N829" s="2541"/>
      <c r="O829" s="2541"/>
      <c r="P829" s="2541"/>
      <c r="Q829" s="2541"/>
      <c r="R829" s="2541"/>
      <c r="S829" s="2542"/>
      <c r="T829" s="2543">
        <f>AK142</f>
        <v>10</v>
      </c>
      <c r="U829" s="2544"/>
      <c r="V829" s="2544"/>
      <c r="W829" s="2544"/>
      <c r="X829" s="2544"/>
      <c r="Y829" s="2545"/>
      <c r="Z829" s="2546">
        <v>10</v>
      </c>
      <c r="AA829" s="2544"/>
      <c r="AB829" s="2544"/>
      <c r="AC829" s="2544"/>
      <c r="AD829" s="2544"/>
      <c r="AE829" s="2545"/>
      <c r="AF829" s="2539">
        <f>IF(T829&gt;Z829,Z829,T829)</f>
        <v>10</v>
      </c>
      <c r="AG829" s="2539"/>
      <c r="AH829" s="2539"/>
      <c r="AI829" s="2539"/>
      <c r="AJ829" s="2539"/>
      <c r="AK829" s="2539"/>
      <c r="AL829" s="814"/>
      <c r="AM829" s="594"/>
      <c r="AO829" s="812"/>
      <c r="AP829" s="812"/>
      <c r="AQ829" s="812"/>
    </row>
    <row r="830" spans="1:43" ht="13">
      <c r="A830" s="816" t="s">
        <v>1562</v>
      </c>
      <c r="B830" s="2541" t="s">
        <v>1563</v>
      </c>
      <c r="C830" s="2541"/>
      <c r="D830" s="2541"/>
      <c r="E830" s="2541"/>
      <c r="F830" s="2541"/>
      <c r="G830" s="2541"/>
      <c r="H830" s="2541"/>
      <c r="I830" s="2541"/>
      <c r="J830" s="2541"/>
      <c r="K830" s="2541"/>
      <c r="L830" s="2541"/>
      <c r="M830" s="2541"/>
      <c r="N830" s="2541"/>
      <c r="O830" s="2541"/>
      <c r="P830" s="2541"/>
      <c r="Q830" s="2541"/>
      <c r="R830" s="2541"/>
      <c r="S830" s="2542"/>
      <c r="T830" s="2567">
        <f>SUM(T831:Y832)</f>
        <v>10</v>
      </c>
      <c r="U830" s="2567"/>
      <c r="V830" s="2567"/>
      <c r="W830" s="2567"/>
      <c r="X830" s="2567"/>
      <c r="Y830" s="2567"/>
      <c r="Z830" s="2539">
        <v>10</v>
      </c>
      <c r="AA830" s="2539"/>
      <c r="AB830" s="2539"/>
      <c r="AC830" s="2539"/>
      <c r="AD830" s="2539"/>
      <c r="AE830" s="2539"/>
      <c r="AF830" s="2539">
        <f>IF(T830&gt;Z830,Z830,T830)</f>
        <v>10</v>
      </c>
      <c r="AG830" s="2539"/>
      <c r="AH830" s="2539"/>
      <c r="AI830" s="2539"/>
      <c r="AJ830" s="2539"/>
      <c r="AK830" s="2539"/>
      <c r="AL830" s="814"/>
      <c r="AM830" s="594"/>
    </row>
    <row r="831" spans="1:43" ht="13">
      <c r="A831" s="535"/>
      <c r="B831" s="599"/>
      <c r="C831" s="2568" t="s">
        <v>1564</v>
      </c>
      <c r="D831" s="2568"/>
      <c r="E831" s="2568"/>
      <c r="F831" s="2568"/>
      <c r="G831" s="2568"/>
      <c r="H831" s="2568"/>
      <c r="I831" s="2568"/>
      <c r="J831" s="2568"/>
      <c r="K831" s="2568"/>
      <c r="L831" s="2568"/>
      <c r="M831" s="2568"/>
      <c r="N831" s="2568"/>
      <c r="O831" s="2568"/>
      <c r="P831" s="2568"/>
      <c r="Q831" s="2568"/>
      <c r="R831" s="2568"/>
      <c r="S831" s="2569"/>
      <c r="T831" s="2460">
        <f>AJ165</f>
        <v>7</v>
      </c>
      <c r="U831" s="2460"/>
      <c r="V831" s="2460"/>
      <c r="W831" s="2460"/>
      <c r="X831" s="2460"/>
      <c r="Y831" s="2460"/>
      <c r="Z831" s="2461">
        <v>7</v>
      </c>
      <c r="AA831" s="2461"/>
      <c r="AB831" s="2461"/>
      <c r="AC831" s="2461"/>
      <c r="AD831" s="2461"/>
      <c r="AE831" s="2461"/>
      <c r="AF831" s="2570"/>
      <c r="AG831" s="2570"/>
      <c r="AH831" s="2570"/>
      <c r="AI831" s="2570"/>
      <c r="AJ831" s="2570"/>
      <c r="AK831" s="2570"/>
      <c r="AL831" s="814"/>
      <c r="AM831" s="594"/>
    </row>
    <row r="832" spans="1:43" ht="13">
      <c r="A832" s="598"/>
      <c r="B832" s="599"/>
      <c r="C832" s="2568" t="s">
        <v>1565</v>
      </c>
      <c r="D832" s="2568"/>
      <c r="E832" s="2568"/>
      <c r="F832" s="2568"/>
      <c r="G832" s="2568"/>
      <c r="H832" s="2568"/>
      <c r="I832" s="2568"/>
      <c r="J832" s="2568"/>
      <c r="K832" s="2568"/>
      <c r="L832" s="2568"/>
      <c r="M832" s="2568"/>
      <c r="N832" s="2568"/>
      <c r="O832" s="2568"/>
      <c r="P832" s="2568"/>
      <c r="Q832" s="2568"/>
      <c r="R832" s="2568"/>
      <c r="S832" s="2569"/>
      <c r="T832" s="2460">
        <f>AJ179</f>
        <v>3</v>
      </c>
      <c r="U832" s="2460"/>
      <c r="V832" s="2460"/>
      <c r="W832" s="2460"/>
      <c r="X832" s="2460"/>
      <c r="Y832" s="2460"/>
      <c r="Z832" s="2461">
        <v>3</v>
      </c>
      <c r="AA832" s="2461"/>
      <c r="AB832" s="2461"/>
      <c r="AC832" s="2461"/>
      <c r="AD832" s="2461"/>
      <c r="AE832" s="2461"/>
      <c r="AF832" s="2570"/>
      <c r="AG832" s="2570"/>
      <c r="AH832" s="2570"/>
      <c r="AI832" s="2570"/>
      <c r="AJ832" s="2570"/>
      <c r="AK832" s="2570"/>
      <c r="AL832" s="814"/>
      <c r="AM832" s="594"/>
      <c r="AO832" s="549"/>
    </row>
    <row r="833" spans="1:81" ht="13">
      <c r="A833" s="816" t="s">
        <v>1354</v>
      </c>
      <c r="B833" s="2541" t="s">
        <v>1566</v>
      </c>
      <c r="C833" s="2541"/>
      <c r="D833" s="2541"/>
      <c r="E833" s="2541"/>
      <c r="F833" s="2541"/>
      <c r="G833" s="2541"/>
      <c r="H833" s="2541"/>
      <c r="I833" s="2541"/>
      <c r="J833" s="2541"/>
      <c r="K833" s="2541"/>
      <c r="L833" s="2541"/>
      <c r="M833" s="2541"/>
      <c r="N833" s="2541"/>
      <c r="O833" s="2541"/>
      <c r="P833" s="2541"/>
      <c r="Q833" s="2541"/>
      <c r="R833" s="2541"/>
      <c r="S833" s="2542"/>
      <c r="T833" s="2567">
        <f>AK190</f>
        <v>0</v>
      </c>
      <c r="U833" s="2567"/>
      <c r="V833" s="2567"/>
      <c r="W833" s="2567"/>
      <c r="X833" s="2567"/>
      <c r="Y833" s="2567"/>
      <c r="Z833" s="2539">
        <v>10</v>
      </c>
      <c r="AA833" s="2539"/>
      <c r="AB833" s="2539"/>
      <c r="AC833" s="2539"/>
      <c r="AD833" s="2539"/>
      <c r="AE833" s="2539"/>
      <c r="AF833" s="2539">
        <f>IF(T833&gt;Z833,Z833,T833)</f>
        <v>0</v>
      </c>
      <c r="AG833" s="2539"/>
      <c r="AH833" s="2539"/>
      <c r="AI833" s="2539"/>
      <c r="AJ833" s="2539"/>
      <c r="AK833" s="2539"/>
      <c r="AL833" s="814"/>
      <c r="AM833" s="594"/>
    </row>
    <row r="834" spans="1:81" ht="13" hidden="1">
      <c r="A834" s="815" t="s">
        <v>1362</v>
      </c>
      <c r="B834" s="2541" t="s">
        <v>1363</v>
      </c>
      <c r="C834" s="2541"/>
      <c r="D834" s="2541"/>
      <c r="E834" s="2541"/>
      <c r="F834" s="2541"/>
      <c r="G834" s="2541"/>
      <c r="H834" s="2541"/>
      <c r="I834" s="2541"/>
      <c r="J834" s="2541"/>
      <c r="K834" s="2541"/>
      <c r="L834" s="2541"/>
      <c r="M834" s="2541"/>
      <c r="N834" s="2541"/>
      <c r="O834" s="2541"/>
      <c r="P834" s="2541"/>
      <c r="Q834" s="2541"/>
      <c r="R834" s="2541"/>
      <c r="S834" s="2542"/>
      <c r="T834" s="2567">
        <f>AK272</f>
        <v>0</v>
      </c>
      <c r="U834" s="2567"/>
      <c r="V834" s="2567"/>
      <c r="W834" s="2567"/>
      <c r="X834" s="2567"/>
      <c r="Y834" s="2567"/>
      <c r="Z834" s="2546">
        <v>8</v>
      </c>
      <c r="AA834" s="2544"/>
      <c r="AB834" s="2544"/>
      <c r="AC834" s="2544"/>
      <c r="AD834" s="2544"/>
      <c r="AE834" s="2545"/>
      <c r="AF834" s="2539"/>
      <c r="AG834" s="2539"/>
      <c r="AH834" s="2539"/>
      <c r="AI834" s="2539"/>
      <c r="AJ834" s="2539"/>
      <c r="AK834" s="2539"/>
      <c r="AL834" s="814"/>
      <c r="AM834" s="594"/>
    </row>
    <row r="835" spans="1:81" s="534" customFormat="1" ht="13" hidden="1">
      <c r="A835" s="816" t="s">
        <v>588</v>
      </c>
      <c r="B835" s="2541" t="s">
        <v>1567</v>
      </c>
      <c r="C835" s="2541"/>
      <c r="D835" s="2541"/>
      <c r="E835" s="2541"/>
      <c r="F835" s="2541"/>
      <c r="G835" s="2541"/>
      <c r="H835" s="2541"/>
      <c r="I835" s="2541"/>
      <c r="J835" s="2541"/>
      <c r="K835" s="2541"/>
      <c r="L835" s="2541"/>
      <c r="M835" s="2541"/>
      <c r="N835" s="2541"/>
      <c r="O835" s="2541"/>
      <c r="P835" s="2541"/>
      <c r="Q835" s="2541"/>
      <c r="R835" s="2541"/>
      <c r="S835" s="2542"/>
      <c r="T835" s="2567">
        <f>IF(AK548&gt;5,5,AK548)</f>
        <v>0</v>
      </c>
      <c r="U835" s="2567"/>
      <c r="V835" s="2567"/>
      <c r="W835" s="2567"/>
      <c r="X835" s="2567"/>
      <c r="Y835" s="2567"/>
      <c r="Z835" s="2539">
        <v>5</v>
      </c>
      <c r="AA835" s="2539"/>
      <c r="AB835" s="2539"/>
      <c r="AC835" s="2539"/>
      <c r="AD835" s="2539"/>
      <c r="AE835" s="2539"/>
      <c r="AF835" s="2539"/>
      <c r="AG835" s="2539"/>
      <c r="AH835" s="2539"/>
      <c r="AI835" s="2539"/>
      <c r="AJ835" s="2539"/>
      <c r="AK835" s="2539"/>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541" t="str">
        <f>B275</f>
        <v>Readiness to Proceed</v>
      </c>
      <c r="C836" s="2541"/>
      <c r="D836" s="2541"/>
      <c r="E836" s="2541"/>
      <c r="F836" s="2541"/>
      <c r="G836" s="2541"/>
      <c r="H836" s="2541"/>
      <c r="I836" s="2541"/>
      <c r="J836" s="2541"/>
      <c r="K836" s="2541"/>
      <c r="L836" s="2541"/>
      <c r="M836" s="2541"/>
      <c r="N836" s="2541"/>
      <c r="O836" s="2541"/>
      <c r="P836" s="2541"/>
      <c r="Q836" s="2541"/>
      <c r="R836" s="2541"/>
      <c r="S836" s="2542"/>
      <c r="T836" s="2567">
        <f>AK298</f>
        <v>10</v>
      </c>
      <c r="U836" s="2567"/>
      <c r="V836" s="2567"/>
      <c r="W836" s="2567"/>
      <c r="X836" s="2567"/>
      <c r="Y836" s="2567"/>
      <c r="Z836" s="2539">
        <v>10</v>
      </c>
      <c r="AA836" s="2539"/>
      <c r="AB836" s="2539"/>
      <c r="AC836" s="2539"/>
      <c r="AD836" s="2539"/>
      <c r="AE836" s="2539"/>
      <c r="AF836" s="2572">
        <f>IF(T836&gt;Z836,Z836,T836)</f>
        <v>10</v>
      </c>
      <c r="AG836" s="2573"/>
      <c r="AH836" s="2573"/>
      <c r="AI836" s="2573"/>
      <c r="AJ836" s="2573"/>
      <c r="AK836" s="2574"/>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541" t="str">
        <f>B301</f>
        <v>Access to Opportunity</v>
      </c>
      <c r="C837" s="2541"/>
      <c r="D837" s="2541"/>
      <c r="E837" s="2541"/>
      <c r="F837" s="2541"/>
      <c r="G837" s="2541"/>
      <c r="H837" s="2541"/>
      <c r="I837" s="2541"/>
      <c r="J837" s="2541"/>
      <c r="K837" s="2541"/>
      <c r="L837" s="2541"/>
      <c r="M837" s="2541"/>
      <c r="N837" s="2541"/>
      <c r="O837" s="2541"/>
      <c r="P837" s="2541"/>
      <c r="Q837" s="2541"/>
      <c r="R837" s="2541"/>
      <c r="S837" s="2542"/>
      <c r="T837" s="2567">
        <f>AK351</f>
        <v>0</v>
      </c>
      <c r="U837" s="2567"/>
      <c r="V837" s="2567"/>
      <c r="W837" s="2567"/>
      <c r="X837" s="2567"/>
      <c r="Y837" s="2567"/>
      <c r="Z837" s="2572">
        <v>10</v>
      </c>
      <c r="AA837" s="2573"/>
      <c r="AB837" s="2573"/>
      <c r="AC837" s="2573"/>
      <c r="AD837" s="2573"/>
      <c r="AE837" s="2574"/>
      <c r="AF837" s="2572">
        <f>IF(T837&gt;Z837,Z837,T837)</f>
        <v>0</v>
      </c>
      <c r="AG837" s="2573"/>
      <c r="AH837" s="2573"/>
      <c r="AI837" s="2573"/>
      <c r="AJ837" s="2573"/>
      <c r="AK837" s="2574"/>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1568</v>
      </c>
      <c r="D838" s="819"/>
      <c r="E838" s="819"/>
      <c r="F838" s="819"/>
      <c r="G838" s="819"/>
      <c r="H838" s="819"/>
      <c r="I838" s="819"/>
      <c r="J838" s="819"/>
      <c r="K838" s="819"/>
      <c r="L838" s="819"/>
      <c r="M838" s="819"/>
      <c r="N838" s="819"/>
      <c r="O838" s="819"/>
      <c r="P838" s="819"/>
      <c r="Q838" s="819"/>
      <c r="R838" s="817"/>
      <c r="S838" s="820"/>
      <c r="T838" s="2460">
        <f>AK351</f>
        <v>0</v>
      </c>
      <c r="U838" s="2460"/>
      <c r="V838" s="2460"/>
      <c r="W838" s="2460"/>
      <c r="X838" s="2460"/>
      <c r="Y838" s="2460"/>
      <c r="Z838" s="2471">
        <v>20</v>
      </c>
      <c r="AA838" s="2472"/>
      <c r="AB838" s="2472"/>
      <c r="AC838" s="2472"/>
      <c r="AD838" s="2472"/>
      <c r="AE838" s="2473"/>
      <c r="AF838" s="2570"/>
      <c r="AG838" s="2570"/>
      <c r="AH838" s="2570"/>
      <c r="AI838" s="2570"/>
      <c r="AJ838" s="2570"/>
      <c r="AK838" s="2570"/>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541" t="s">
        <v>844</v>
      </c>
      <c r="C839" s="2541"/>
      <c r="D839" s="2541"/>
      <c r="E839" s="2541"/>
      <c r="F839" s="2541"/>
      <c r="G839" s="2541"/>
      <c r="H839" s="2541"/>
      <c r="I839" s="2541"/>
      <c r="J839" s="2541"/>
      <c r="K839" s="2541"/>
      <c r="L839" s="2541"/>
      <c r="M839" s="2541"/>
      <c r="N839" s="2541"/>
      <c r="O839" s="2541"/>
      <c r="P839" s="2541"/>
      <c r="Q839" s="2541"/>
      <c r="R839" s="2541"/>
      <c r="S839" s="2542"/>
      <c r="T839" s="2567">
        <f>AK482</f>
        <v>10</v>
      </c>
      <c r="U839" s="2567"/>
      <c r="V839" s="2567"/>
      <c r="W839" s="2567"/>
      <c r="X839" s="2567"/>
      <c r="Y839" s="2567"/>
      <c r="Z839" s="2572">
        <v>10</v>
      </c>
      <c r="AA839" s="2573"/>
      <c r="AB839" s="2573"/>
      <c r="AC839" s="2573"/>
      <c r="AD839" s="2573"/>
      <c r="AE839" s="2574"/>
      <c r="AF839" s="2539">
        <f>IF(T839&gt;Z839,Z839,T839)</f>
        <v>10</v>
      </c>
      <c r="AG839" s="2539"/>
      <c r="AH839" s="2539"/>
      <c r="AI839" s="2539"/>
      <c r="AJ839" s="2539"/>
      <c r="AK839" s="2539"/>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541" t="s">
        <v>1549</v>
      </c>
      <c r="C840" s="2541"/>
      <c r="D840" s="2541"/>
      <c r="E840" s="2541"/>
      <c r="F840" s="2541"/>
      <c r="G840" s="2541"/>
      <c r="H840" s="2541"/>
      <c r="I840" s="2541"/>
      <c r="J840" s="2541"/>
      <c r="K840" s="2541"/>
      <c r="L840" s="2541"/>
      <c r="M840" s="2541"/>
      <c r="N840" s="2541"/>
      <c r="O840" s="2541"/>
      <c r="P840" s="2541"/>
      <c r="Q840" s="2541"/>
      <c r="R840" s="2541"/>
      <c r="S840" s="2542"/>
      <c r="T840" s="2567">
        <f>AK572</f>
        <v>12</v>
      </c>
      <c r="U840" s="2567"/>
      <c r="V840" s="2567"/>
      <c r="W840" s="2567"/>
      <c r="X840" s="2567"/>
      <c r="Y840" s="2567"/>
      <c r="Z840" s="2572">
        <v>12</v>
      </c>
      <c r="AA840" s="2573"/>
      <c r="AB840" s="2573"/>
      <c r="AC840" s="2573"/>
      <c r="AD840" s="2573"/>
      <c r="AE840" s="2574"/>
      <c r="AF840" s="2539">
        <f>IF(T840&gt;Z840,Z840,T840)</f>
        <v>12</v>
      </c>
      <c r="AG840" s="2539"/>
      <c r="AH840" s="2539"/>
      <c r="AI840" s="2539"/>
      <c r="AJ840" s="2539"/>
      <c r="AK840" s="2539"/>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541" t="s">
        <v>1569</v>
      </c>
      <c r="C841" s="2541"/>
      <c r="D841" s="2541"/>
      <c r="E841" s="2541"/>
      <c r="F841" s="2541"/>
      <c r="G841" s="2541"/>
      <c r="H841" s="2541"/>
      <c r="I841" s="2541"/>
      <c r="J841" s="2541"/>
      <c r="K841" s="2541"/>
      <c r="L841" s="2541"/>
      <c r="M841" s="2541"/>
      <c r="N841" s="2541"/>
      <c r="O841" s="2541"/>
      <c r="P841" s="2541"/>
      <c r="Q841" s="2541"/>
      <c r="R841" s="2541"/>
      <c r="S841" s="2542"/>
      <c r="T841" s="2567">
        <f>AK816</f>
        <v>10</v>
      </c>
      <c r="U841" s="2567"/>
      <c r="V841" s="2567"/>
      <c r="W841" s="2567"/>
      <c r="X841" s="2567"/>
      <c r="Y841" s="2567"/>
      <c r="Z841" s="2572">
        <v>10</v>
      </c>
      <c r="AA841" s="2573"/>
      <c r="AB841" s="2573"/>
      <c r="AC841" s="2573"/>
      <c r="AD841" s="2573"/>
      <c r="AE841" s="2574"/>
      <c r="AF841" s="2539">
        <f>IF(T841&gt;Z841,Z841,T841)</f>
        <v>10</v>
      </c>
      <c r="AG841" s="2539"/>
      <c r="AH841" s="2539"/>
      <c r="AI841" s="2539"/>
      <c r="AJ841" s="2539"/>
      <c r="AK841" s="2539"/>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571"/>
      <c r="U842" s="2571"/>
      <c r="V842" s="2571"/>
      <c r="W842" s="2571"/>
      <c r="X842" s="2571"/>
      <c r="Y842" s="2571"/>
      <c r="Z842" s="2461" t="s">
        <v>1571</v>
      </c>
      <c r="AA842" s="2461"/>
      <c r="AB842" s="2461"/>
      <c r="AC842" s="2461"/>
      <c r="AD842" s="2461"/>
      <c r="AE842" s="2461"/>
      <c r="AF842" s="2572">
        <f>ABS(T842)</f>
        <v>0</v>
      </c>
      <c r="AG842" s="2573"/>
      <c r="AH842" s="2573"/>
      <c r="AI842" s="2573"/>
      <c r="AJ842" s="2573"/>
      <c r="AK842" s="2574"/>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575" t="s">
        <v>1572</v>
      </c>
      <c r="B843" s="2576"/>
      <c r="C843" s="2576"/>
      <c r="D843" s="2576"/>
      <c r="E843" s="2576"/>
      <c r="F843" s="2576"/>
      <c r="G843" s="2576"/>
      <c r="H843" s="2576"/>
      <c r="I843" s="2576"/>
      <c r="J843" s="2576"/>
      <c r="K843" s="2576"/>
      <c r="L843" s="2576"/>
      <c r="M843" s="2576"/>
      <c r="N843" s="2576"/>
      <c r="O843" s="2576"/>
      <c r="P843" s="2576"/>
      <c r="Q843" s="2576"/>
      <c r="R843" s="2576"/>
      <c r="S843" s="2576"/>
      <c r="T843" s="2576"/>
      <c r="U843" s="2576"/>
      <c r="V843" s="2576"/>
      <c r="W843" s="2576"/>
      <c r="X843" s="2576"/>
      <c r="Y843" s="2576"/>
      <c r="Z843" s="2576"/>
      <c r="AA843" s="2576"/>
      <c r="AB843" s="2576"/>
      <c r="AC843" s="2576"/>
      <c r="AD843" s="2576"/>
      <c r="AE843" s="2577"/>
      <c r="AF843" s="2581">
        <f>SUM(AF826:AK841)-AF842</f>
        <v>101</v>
      </c>
      <c r="AG843" s="2582"/>
      <c r="AH843" s="2582"/>
      <c r="AI843" s="2582"/>
      <c r="AJ843" s="2582"/>
      <c r="AK843" s="2583"/>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578"/>
      <c r="B844" s="2579"/>
      <c r="C844" s="2579"/>
      <c r="D844" s="2579"/>
      <c r="E844" s="2579"/>
      <c r="F844" s="2579"/>
      <c r="G844" s="2579"/>
      <c r="H844" s="2579"/>
      <c r="I844" s="2579"/>
      <c r="J844" s="2579"/>
      <c r="K844" s="2579"/>
      <c r="L844" s="2579"/>
      <c r="M844" s="2579"/>
      <c r="N844" s="2579"/>
      <c r="O844" s="2579"/>
      <c r="P844" s="2579"/>
      <c r="Q844" s="2579"/>
      <c r="R844" s="2579"/>
      <c r="S844" s="2579"/>
      <c r="T844" s="2579"/>
      <c r="U844" s="2579"/>
      <c r="V844" s="2579"/>
      <c r="W844" s="2579"/>
      <c r="X844" s="2579"/>
      <c r="Y844" s="2579"/>
      <c r="Z844" s="2579"/>
      <c r="AA844" s="2579"/>
      <c r="AB844" s="2579"/>
      <c r="AC844" s="2579"/>
      <c r="AD844" s="2579"/>
      <c r="AE844" s="2580"/>
      <c r="AF844" s="2584"/>
      <c r="AG844" s="2585"/>
      <c r="AH844" s="2585"/>
      <c r="AI844" s="2585"/>
      <c r="AJ844" s="2585"/>
      <c r="AK844" s="2586"/>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Orest Dolyniuk</cp:lastModifiedBy>
  <cp:lastPrinted>2024-12-09T20:28:29Z</cp:lastPrinted>
  <dcterms:created xsi:type="dcterms:W3CDTF">2007-12-27T18:26:28Z</dcterms:created>
  <dcterms:modified xsi:type="dcterms:W3CDTF">2026-01-30T19:10:16Z</dcterms:modified>
</cp:coreProperties>
</file>